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slicers/slicer2.xml" ContentType="application/vnd.ms-excel.slicer+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1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2.xml" ContentType="application/vnd.openxmlformats-officedocument.spreadsheetml.pivotTab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drawings/drawing24.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7.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2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drawings/drawing29.xml" ContentType="application/vnd.openxmlformats-officedocument.drawingml.chartshapes+xml"/>
  <Override PartName="/xl/charts/chart13.xml" ContentType="application/vnd.openxmlformats-officedocument.drawingml.chart+xml"/>
  <Override PartName="/xl/theme/themeOverride12.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3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drawings/drawing33.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pivotTables/pivotTable3.xml" ContentType="application/vnd.openxmlformats-officedocument.spreadsheetml.pivotTable+xml"/>
  <Override PartName="/xl/drawings/drawing3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hidePivotFieldList="1"/>
  <mc:AlternateContent xmlns:mc="http://schemas.openxmlformats.org/markup-compatibility/2006">
    <mc:Choice Requires="x15">
      <x15ac:absPath xmlns:x15ac="http://schemas.microsoft.com/office/spreadsheetml/2010/11/ac" url="/Volumes/users_home_ssp/bilslr/Documents BILSLR/Nyreg jan 23/"/>
    </mc:Choice>
  </mc:AlternateContent>
  <xr:revisionPtr revIDLastSave="0" documentId="13_ncr:1_{256AC9CB-6487-6A4C-9903-C4CFC071E94F}" xr6:coauthVersionLast="47" xr6:coauthVersionMax="47" xr10:uidLastSave="{00000000-0000-0000-0000-000000000000}"/>
  <bookViews>
    <workbookView xWindow="34940" yWindow="740" windowWidth="26400" windowHeight="17140" tabRatio="773" xr2:uid="{00000000-000D-0000-FFFF-FFFF00000000}"/>
  </bookViews>
  <sheets>
    <sheet name="Innehåll" sheetId="1" r:id="rId1"/>
    <sheet name="A. Personbilar" sheetId="2" r:id="rId2"/>
    <sheet name="A.1 Rankinglista PB" sheetId="8" r:id="rId3"/>
    <sheet name="A.2 Fabrikat och modeller PB" sheetId="45" r:id="rId4"/>
    <sheet name="A.3 Generalagenter PB" sheetId="21" r:id="rId5"/>
    <sheet name="A.4 Drivmedel PB" sheetId="13" r:id="rId6"/>
    <sheet name="A.5 Laddbara PB" sheetId="10" r:id="rId7"/>
    <sheet name="A.51 Elbilar PB" sheetId="35" r:id="rId8"/>
    <sheet name="A.52 Laddhybrider PB" sheetId="36" r:id="rId9"/>
    <sheet name="A.6 Klimatbonusbilar" sheetId="14" r:id="rId10"/>
    <sheet name="A.7 Koldioxidutsläpp PB" sheetId="12" r:id="rId11"/>
    <sheet name="A.8 Fysiska-Juridiska" sheetId="16" r:id="rId12"/>
    <sheet name="B. Lastbilar" sheetId="20" r:id="rId13"/>
    <sheet name="B.1 Lätta lastbilar" sheetId="3" r:id="rId14"/>
    <sheet name="B.2 Fabrikat LLB" sheetId="17" r:id="rId15"/>
    <sheet name="B.3 Eldrivna LLB" sheetId="18" r:id="rId16"/>
    <sheet name="B.4 Tunga lastbilar" sheetId="4" r:id="rId17"/>
    <sheet name="B.5 Fabrikatlista TLB" sheetId="19" r:id="rId18"/>
    <sheet name="C. Bussar" sheetId="5" r:id="rId19"/>
    <sheet name="C.1 Eldrivna bussar" sheetId="11" r:id="rId20"/>
    <sheet name="C.2 Privatimporterade bussar" sheetId="26" r:id="rId21"/>
  </sheets>
  <definedNames>
    <definedName name="_xlnm._FilterDatabase" localSheetId="12"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5" hidden="1">'B.3 Eldrivna LLB'!$A$7:$L$31</definedName>
    <definedName name="bdsql12_BDmodell_getAggRechargeModels_1" localSheetId="6" hidden="1">'A.5 Laddbara PB'!$A$41:$M$214</definedName>
    <definedName name="bdsql12_BDmodell_getAggRechargeModels_1" localSheetId="7" hidden="1">'A.51 Elbilar PB'!$A$39:$M$212</definedName>
    <definedName name="bdsql12_BDmodell_getAggRechargeModels_1" localSheetId="8" hidden="1">'A.52 Laddhybrider PB'!$A$40:$M$213</definedName>
    <definedName name="bdsql12_BDmodell_PB" localSheetId="2" hidden="1">'A.1 Rankinglista PB'!$A$7:$L$301</definedName>
    <definedName name="bdsql12_BDnewRegistrations_getAggBuss" localSheetId="18" hidden="1">'C. Bussar'!#REF!</definedName>
    <definedName name="bdsql12_BDnewRegistrations_getAggBussEL" localSheetId="19" hidden="1">'C.1 Eldrivna bussar'!$A$7:$I$9</definedName>
    <definedName name="bdsql12_BDnewRegistrations_getAggFysJur" localSheetId="11" hidden="1">'A.8 Fysiska-Juridiska'!$A$8:$Q$60</definedName>
    <definedName name="bdsql12_BDnewRegistrations_getAggKlimatBonusModels" localSheetId="9" hidden="1">'A.6 Klimatbonusbilar'!$A$8:$M$177</definedName>
    <definedName name="bdsql12_BDnewRegistrations_getAggMakes" localSheetId="14" hidden="1">'B.2 Fabrikat LLB'!$A$7:$I$24</definedName>
    <definedName name="bdsql12_BDnewRegistrations_getAggPBCO2Emissions" localSheetId="10" hidden="1">'A.7 Koldioxidutsläpp PB'!$B$7:$G$14</definedName>
    <definedName name="bdsql12_BDnewRegistrations_getAggTotalCO2" localSheetId="10" hidden="1">'A.7 Koldioxidutsläpp PB'!$A$152:$B$154</definedName>
    <definedName name="bdsql12_BDnewRegistrationsgetAggPBCO2EmissionsWLTP" localSheetId="10" hidden="1">'A.7 Koldioxidutsläpp PB'!$A$27:$G$35</definedName>
    <definedName name="bdsql12_Transportstyrelsen_sumPrelNyregImportPBTotaler_1" localSheetId="1" hidden="1">'A. Personbilar'!$Q$26:$T$29</definedName>
    <definedName name="CalcAvgCO2Man">'A.7 Koldioxidutsläpp PB'!$B$153</definedName>
    <definedName name="CalcAvgCO2Sum">'A.7 Koldioxidutsläpp PB'!$Q$122</definedName>
    <definedName name="CalcAvgCO2YTD">'A.7 Koldioxidutsläpp PB'!$B$154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PB'!$E$357</definedName>
    <definedName name="CntPeriod">#REF!</definedName>
    <definedName name="CntPeriodPrevYear" localSheetId="3">'A.2 Fabrikat och modeller PB'!$F$357</definedName>
    <definedName name="CntPeriodPrevYear">#REF!</definedName>
    <definedName name="CntPrevYear" localSheetId="3">'A.2 Fabrikat och modeller PB'!#REF!</definedName>
    <definedName name="CntPrevYear">#REF!</definedName>
    <definedName name="CntPrevYearAck" localSheetId="3">'A.2 Fabrikat och modeller PB'!$K$357</definedName>
    <definedName name="CntPrevYearAck">#REF!</definedName>
    <definedName name="CntYearAck" localSheetId="3">'A.2 Fabrikat och modeller PB'!$J$357</definedName>
    <definedName name="CntYearAck">#REF!</definedName>
    <definedName name="ExternalData_1" localSheetId="5" hidden="1">'A.4 Drivmedel PB'!$A$7:$G$15</definedName>
    <definedName name="ExternalData_1" localSheetId="17" hidden="1">'B.5 Fabrikatlista TLB'!$A$7:$I$13</definedName>
    <definedName name="ExternalData_1" localSheetId="18" hidden="1">'C. Bussar'!$A$31:$I$39</definedName>
    <definedName name="ExternalData_2" localSheetId="18" hidden="1">'C. Bussar'!$A$8:$I$17</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licer_miljoklass1">#N/A</definedName>
    <definedName name="SprValSidfot" localSheetId="0">Innehåll!$B$98</definedName>
    <definedName name="TextLastLine" localSheetId="3">'A.2 Fabrikat och modeller PB'!$B$358</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9">'A.6 Klimatbonusbilar'!$1:$6</definedName>
    <definedName name="_xlnm.Print_Titles" localSheetId="11">'A.8 Fysiska-Juridiska'!$1:$7</definedName>
    <definedName name="_xlnm.Print_Titles" localSheetId="14">'B.2 Fabrikat LLB'!$1:$6</definedName>
    <definedName name="_xlnm.Print_Titles" localSheetId="15">'B.3 Eldrivna LLB'!$1:$6</definedName>
    <definedName name="_xlnm.Print_Titles" localSheetId="20">'C.2 Privatimporterade bussar'!$1:$5</definedName>
    <definedName name="YTDAret">Innehåll!$D$81</definedName>
    <definedName name="YTDFGAr">Innehåll!$D$82</definedName>
  </definedNames>
  <calcPr calcId="191029"/>
  <pivotCaches>
    <pivotCache cacheId="109" r:id="rId22"/>
    <pivotCache cacheId="110" r:id="rId23"/>
    <pivotCache cacheId="111" r:id="rId2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0" i="2" l="1"/>
  <c r="R49" i="2"/>
  <c r="R60" i="2"/>
  <c r="R59" i="2"/>
  <c r="R58" i="2"/>
  <c r="R57" i="2"/>
  <c r="R56" i="2"/>
  <c r="R55" i="2"/>
  <c r="R54" i="2"/>
  <c r="R53" i="2"/>
  <c r="R52" i="2"/>
  <c r="R51" i="2"/>
  <c r="K357" i="45" l="1"/>
  <c r="J357" i="45"/>
  <c r="J358" i="45" s="1"/>
  <c r="F357" i="45"/>
  <c r="E357" i="45"/>
  <c r="N355" i="45"/>
  <c r="M355" i="45"/>
  <c r="L355" i="45"/>
  <c r="G355" i="45"/>
  <c r="C355" i="45"/>
  <c r="M354" i="45"/>
  <c r="L354" i="45"/>
  <c r="I354" i="45"/>
  <c r="H354" i="45"/>
  <c r="G354" i="45"/>
  <c r="C354" i="45"/>
  <c r="N353" i="45"/>
  <c r="M353" i="45"/>
  <c r="L353" i="45"/>
  <c r="H353" i="45"/>
  <c r="G353" i="45"/>
  <c r="C353" i="45"/>
  <c r="M352" i="45"/>
  <c r="L352" i="45"/>
  <c r="I352" i="45"/>
  <c r="H352" i="45"/>
  <c r="G352" i="45"/>
  <c r="C352" i="45"/>
  <c r="N351" i="45"/>
  <c r="M351" i="45"/>
  <c r="L351" i="45"/>
  <c r="H351" i="45"/>
  <c r="G351" i="45"/>
  <c r="C351" i="45"/>
  <c r="M350" i="45"/>
  <c r="L350" i="45"/>
  <c r="I350" i="45"/>
  <c r="H350" i="45"/>
  <c r="G350" i="45"/>
  <c r="C350" i="45"/>
  <c r="N349" i="45"/>
  <c r="M349" i="45"/>
  <c r="L349" i="45"/>
  <c r="H349" i="45"/>
  <c r="G349" i="45"/>
  <c r="C349" i="45"/>
  <c r="M348" i="45"/>
  <c r="L348" i="45"/>
  <c r="I348" i="45"/>
  <c r="H348" i="45"/>
  <c r="G348" i="45"/>
  <c r="C348" i="45"/>
  <c r="N347" i="45"/>
  <c r="M347" i="45"/>
  <c r="L347" i="45"/>
  <c r="H347" i="45"/>
  <c r="G347" i="45"/>
  <c r="C347" i="45"/>
  <c r="N346" i="45"/>
  <c r="M346" i="45"/>
  <c r="L346" i="45"/>
  <c r="I346" i="45"/>
  <c r="H346" i="45"/>
  <c r="G346" i="45"/>
  <c r="C346" i="45"/>
  <c r="N345" i="45"/>
  <c r="M345" i="45"/>
  <c r="L345" i="45"/>
  <c r="H345" i="45"/>
  <c r="G345" i="45"/>
  <c r="C345" i="45"/>
  <c r="N344" i="45"/>
  <c r="M344" i="45"/>
  <c r="L344" i="45"/>
  <c r="I344" i="45"/>
  <c r="H344" i="45"/>
  <c r="G344" i="45"/>
  <c r="C344" i="45"/>
  <c r="N343" i="45"/>
  <c r="M343" i="45"/>
  <c r="L343" i="45"/>
  <c r="I343" i="45"/>
  <c r="H343" i="45"/>
  <c r="G343" i="45"/>
  <c r="C343" i="45"/>
  <c r="N342" i="45"/>
  <c r="M342" i="45"/>
  <c r="L342" i="45"/>
  <c r="I342" i="45"/>
  <c r="G342" i="45"/>
  <c r="C342" i="45"/>
  <c r="N341" i="45"/>
  <c r="M341" i="45"/>
  <c r="L341" i="45"/>
  <c r="I341" i="45"/>
  <c r="H341" i="45"/>
  <c r="G341" i="45"/>
  <c r="C341" i="45"/>
  <c r="N340" i="45"/>
  <c r="M340" i="45"/>
  <c r="L340" i="45"/>
  <c r="I340" i="45"/>
  <c r="G340" i="45"/>
  <c r="C340" i="45"/>
  <c r="N339" i="45"/>
  <c r="M339" i="45"/>
  <c r="L339" i="45"/>
  <c r="I339" i="45"/>
  <c r="H339" i="45"/>
  <c r="G339" i="45"/>
  <c r="C339" i="45"/>
  <c r="N338" i="45"/>
  <c r="M338" i="45"/>
  <c r="L338" i="45"/>
  <c r="I338" i="45"/>
  <c r="H338" i="45"/>
  <c r="G338" i="45"/>
  <c r="C338" i="45"/>
  <c r="N337" i="45"/>
  <c r="M337" i="45"/>
  <c r="L337" i="45"/>
  <c r="I337" i="45"/>
  <c r="H337" i="45"/>
  <c r="G337" i="45"/>
  <c r="C337" i="45"/>
  <c r="N336" i="45"/>
  <c r="M336" i="45"/>
  <c r="L336" i="45"/>
  <c r="I336" i="45"/>
  <c r="H336" i="45"/>
  <c r="G336" i="45"/>
  <c r="C336" i="45"/>
  <c r="N335" i="45"/>
  <c r="M335" i="45"/>
  <c r="L335" i="45"/>
  <c r="I335" i="45"/>
  <c r="H335" i="45"/>
  <c r="G335" i="45"/>
  <c r="C335" i="45"/>
  <c r="N334" i="45"/>
  <c r="M334" i="45"/>
  <c r="L334" i="45"/>
  <c r="I334" i="45"/>
  <c r="H334" i="45"/>
  <c r="G334" i="45"/>
  <c r="C334" i="45"/>
  <c r="N333" i="45"/>
  <c r="M333" i="45"/>
  <c r="L333" i="45"/>
  <c r="I333" i="45"/>
  <c r="H333" i="45"/>
  <c r="G333" i="45"/>
  <c r="C333" i="45"/>
  <c r="N332" i="45"/>
  <c r="M332" i="45"/>
  <c r="L332" i="45"/>
  <c r="I332" i="45"/>
  <c r="G332" i="45"/>
  <c r="C332" i="45"/>
  <c r="N331" i="45"/>
  <c r="M331" i="45"/>
  <c r="L331" i="45"/>
  <c r="I331" i="45"/>
  <c r="H331" i="45"/>
  <c r="G331" i="45"/>
  <c r="C331" i="45"/>
  <c r="N330" i="45"/>
  <c r="M330" i="45"/>
  <c r="L330" i="45"/>
  <c r="I330" i="45"/>
  <c r="H330" i="45"/>
  <c r="G330" i="45"/>
  <c r="C330" i="45"/>
  <c r="N329" i="45"/>
  <c r="M329" i="45"/>
  <c r="L329" i="45"/>
  <c r="I329" i="45"/>
  <c r="H329" i="45"/>
  <c r="G329" i="45"/>
  <c r="C329" i="45"/>
  <c r="N328" i="45"/>
  <c r="M328" i="45"/>
  <c r="L328" i="45"/>
  <c r="I328" i="45"/>
  <c r="H328" i="45"/>
  <c r="G328" i="45"/>
  <c r="C328" i="45"/>
  <c r="N327" i="45"/>
  <c r="M327" i="45"/>
  <c r="L327" i="45"/>
  <c r="I327" i="45"/>
  <c r="H327" i="45"/>
  <c r="G327" i="45"/>
  <c r="C327" i="45"/>
  <c r="N326" i="45"/>
  <c r="M326" i="45"/>
  <c r="L326" i="45"/>
  <c r="I326" i="45"/>
  <c r="H326" i="45"/>
  <c r="G326" i="45"/>
  <c r="C326" i="45"/>
  <c r="N325" i="45"/>
  <c r="M325" i="45"/>
  <c r="L325" i="45"/>
  <c r="I325" i="45"/>
  <c r="H325" i="45"/>
  <c r="G325" i="45"/>
  <c r="C325" i="45"/>
  <c r="N324" i="45"/>
  <c r="M324" i="45"/>
  <c r="L324" i="45"/>
  <c r="I324" i="45"/>
  <c r="G324" i="45"/>
  <c r="C324" i="45"/>
  <c r="N323" i="45"/>
  <c r="M323" i="45"/>
  <c r="L323" i="45"/>
  <c r="I323" i="45"/>
  <c r="H323" i="45"/>
  <c r="G323" i="45"/>
  <c r="C323" i="45"/>
  <c r="N322" i="45"/>
  <c r="M322" i="45"/>
  <c r="L322" i="45"/>
  <c r="I322" i="45"/>
  <c r="H322" i="45"/>
  <c r="G322" i="45"/>
  <c r="C322" i="45"/>
  <c r="N321" i="45"/>
  <c r="M321" i="45"/>
  <c r="L321" i="45"/>
  <c r="I321" i="45"/>
  <c r="H321" i="45"/>
  <c r="G321" i="45"/>
  <c r="C321" i="45"/>
  <c r="N320" i="45"/>
  <c r="M320" i="45"/>
  <c r="L320" i="45"/>
  <c r="I320" i="45"/>
  <c r="H320" i="45"/>
  <c r="G320" i="45"/>
  <c r="C320" i="45"/>
  <c r="N319" i="45"/>
  <c r="M319" i="45"/>
  <c r="L319" i="45"/>
  <c r="I319" i="45"/>
  <c r="H319" i="45"/>
  <c r="G319" i="45"/>
  <c r="C319" i="45"/>
  <c r="N318" i="45"/>
  <c r="M318" i="45"/>
  <c r="L318" i="45"/>
  <c r="I318" i="45"/>
  <c r="H318" i="45"/>
  <c r="G318" i="45"/>
  <c r="C318" i="45"/>
  <c r="N317" i="45"/>
  <c r="M317" i="45"/>
  <c r="L317" i="45"/>
  <c r="I317" i="45"/>
  <c r="H317" i="45"/>
  <c r="G317" i="45"/>
  <c r="C317" i="45"/>
  <c r="N316" i="45"/>
  <c r="M316" i="45"/>
  <c r="L316" i="45"/>
  <c r="I316" i="45"/>
  <c r="H316" i="45"/>
  <c r="G316" i="45"/>
  <c r="C316" i="45"/>
  <c r="N315" i="45"/>
  <c r="M315" i="45"/>
  <c r="L315" i="45"/>
  <c r="I315" i="45"/>
  <c r="H315" i="45"/>
  <c r="G315" i="45"/>
  <c r="C315" i="45"/>
  <c r="N314" i="45"/>
  <c r="M314" i="45"/>
  <c r="L314" i="45"/>
  <c r="I314" i="45"/>
  <c r="H314" i="45"/>
  <c r="G314" i="45"/>
  <c r="C314" i="45"/>
  <c r="N313" i="45"/>
  <c r="M313" i="45"/>
  <c r="L313" i="45"/>
  <c r="I313" i="45"/>
  <c r="H313" i="45"/>
  <c r="G313" i="45"/>
  <c r="C313" i="45"/>
  <c r="N312" i="45"/>
  <c r="M312" i="45"/>
  <c r="L312" i="45"/>
  <c r="I312" i="45"/>
  <c r="H312" i="45"/>
  <c r="G312" i="45"/>
  <c r="C312" i="45"/>
  <c r="N311" i="45"/>
  <c r="M311" i="45"/>
  <c r="L311" i="45"/>
  <c r="I311" i="45"/>
  <c r="H311" i="45"/>
  <c r="G311" i="45"/>
  <c r="C311" i="45"/>
  <c r="N310" i="45"/>
  <c r="M310" i="45"/>
  <c r="L310" i="45"/>
  <c r="I310" i="45"/>
  <c r="H310" i="45"/>
  <c r="G310" i="45"/>
  <c r="C310" i="45"/>
  <c r="N309" i="45"/>
  <c r="M309" i="45"/>
  <c r="L309" i="45"/>
  <c r="I309" i="45"/>
  <c r="H309" i="45"/>
  <c r="G309" i="45"/>
  <c r="C309" i="45"/>
  <c r="N308" i="45"/>
  <c r="M308" i="45"/>
  <c r="L308" i="45"/>
  <c r="I308" i="45"/>
  <c r="H308" i="45"/>
  <c r="G308" i="45"/>
  <c r="C308" i="45"/>
  <c r="N307" i="45"/>
  <c r="M307" i="45"/>
  <c r="L307" i="45"/>
  <c r="I307" i="45"/>
  <c r="H307" i="45"/>
  <c r="G307" i="45"/>
  <c r="C307" i="45"/>
  <c r="N306" i="45"/>
  <c r="M306" i="45"/>
  <c r="L306" i="45"/>
  <c r="I306" i="45"/>
  <c r="H306" i="45"/>
  <c r="G306" i="45"/>
  <c r="C306" i="45"/>
  <c r="N305" i="45"/>
  <c r="M305" i="45"/>
  <c r="L305" i="45"/>
  <c r="I305" i="45"/>
  <c r="H305" i="45"/>
  <c r="G305" i="45"/>
  <c r="C305" i="45"/>
  <c r="N304" i="45"/>
  <c r="M304" i="45"/>
  <c r="L304" i="45"/>
  <c r="I304" i="45"/>
  <c r="H304" i="45"/>
  <c r="G304" i="45"/>
  <c r="C304" i="45"/>
  <c r="N303" i="45"/>
  <c r="M303" i="45"/>
  <c r="L303" i="45"/>
  <c r="I303" i="45"/>
  <c r="H303" i="45"/>
  <c r="G303" i="45"/>
  <c r="C303" i="45"/>
  <c r="N302" i="45"/>
  <c r="M302" i="45"/>
  <c r="L302" i="45"/>
  <c r="I302" i="45"/>
  <c r="H302" i="45"/>
  <c r="G302" i="45"/>
  <c r="C302" i="45"/>
  <c r="N301" i="45"/>
  <c r="M301" i="45"/>
  <c r="L301" i="45"/>
  <c r="I301" i="45"/>
  <c r="H301" i="45"/>
  <c r="G301" i="45"/>
  <c r="C301" i="45"/>
  <c r="N300" i="45"/>
  <c r="M300" i="45"/>
  <c r="L300" i="45"/>
  <c r="I300" i="45"/>
  <c r="H300" i="45"/>
  <c r="G300" i="45"/>
  <c r="C300" i="45"/>
  <c r="N299" i="45"/>
  <c r="M299" i="45"/>
  <c r="L299" i="45"/>
  <c r="I299" i="45"/>
  <c r="H299" i="45"/>
  <c r="G299" i="45"/>
  <c r="C299" i="45"/>
  <c r="N298" i="45"/>
  <c r="M298" i="45"/>
  <c r="L298" i="45"/>
  <c r="I298" i="45"/>
  <c r="H298" i="45"/>
  <c r="G298" i="45"/>
  <c r="C298" i="45"/>
  <c r="N297" i="45"/>
  <c r="M297" i="45"/>
  <c r="L297" i="45"/>
  <c r="I297" i="45"/>
  <c r="H297" i="45"/>
  <c r="G297" i="45"/>
  <c r="C297" i="45"/>
  <c r="N296" i="45"/>
  <c r="M296" i="45"/>
  <c r="L296" i="45"/>
  <c r="I296" i="45"/>
  <c r="H296" i="45"/>
  <c r="G296" i="45"/>
  <c r="C296" i="45"/>
  <c r="N295" i="45"/>
  <c r="M295" i="45"/>
  <c r="L295" i="45"/>
  <c r="I295" i="45"/>
  <c r="H295" i="45"/>
  <c r="G295" i="45"/>
  <c r="C295" i="45"/>
  <c r="N294" i="45"/>
  <c r="M294" i="45"/>
  <c r="L294" i="45"/>
  <c r="I294" i="45"/>
  <c r="H294" i="45"/>
  <c r="G294" i="45"/>
  <c r="C294" i="45"/>
  <c r="N293" i="45"/>
  <c r="M293" i="45"/>
  <c r="L293" i="45"/>
  <c r="I293" i="45"/>
  <c r="H293" i="45"/>
  <c r="G293" i="45"/>
  <c r="C293" i="45"/>
  <c r="N292" i="45"/>
  <c r="M292" i="45"/>
  <c r="L292" i="45"/>
  <c r="I292" i="45"/>
  <c r="H292" i="45"/>
  <c r="G292" i="45"/>
  <c r="C292" i="45"/>
  <c r="N291" i="45"/>
  <c r="M291" i="45"/>
  <c r="L291" i="45"/>
  <c r="I291" i="45"/>
  <c r="H291" i="45"/>
  <c r="G291" i="45"/>
  <c r="C291" i="45"/>
  <c r="N290" i="45"/>
  <c r="M290" i="45"/>
  <c r="L290" i="45"/>
  <c r="I290" i="45"/>
  <c r="H290" i="45"/>
  <c r="G290" i="45"/>
  <c r="C290" i="45"/>
  <c r="N289" i="45"/>
  <c r="M289" i="45"/>
  <c r="L289" i="45"/>
  <c r="I289" i="45"/>
  <c r="H289" i="45"/>
  <c r="G289" i="45"/>
  <c r="C289" i="45"/>
  <c r="N288" i="45"/>
  <c r="M288" i="45"/>
  <c r="L288" i="45"/>
  <c r="I288" i="45"/>
  <c r="H288" i="45"/>
  <c r="G288" i="45"/>
  <c r="C288" i="45"/>
  <c r="N287" i="45"/>
  <c r="M287" i="45"/>
  <c r="L287" i="45"/>
  <c r="I287" i="45"/>
  <c r="H287" i="45"/>
  <c r="G287" i="45"/>
  <c r="C287" i="45"/>
  <c r="N286" i="45"/>
  <c r="M286" i="45"/>
  <c r="L286" i="45"/>
  <c r="I286" i="45"/>
  <c r="H286" i="45"/>
  <c r="G286" i="45"/>
  <c r="C286" i="45"/>
  <c r="N285" i="45"/>
  <c r="M285" i="45"/>
  <c r="L285" i="45"/>
  <c r="I285" i="45"/>
  <c r="H285" i="45"/>
  <c r="G285" i="45"/>
  <c r="C285" i="45"/>
  <c r="N284" i="45"/>
  <c r="M284" i="45"/>
  <c r="L284" i="45"/>
  <c r="I284" i="45"/>
  <c r="H284" i="45"/>
  <c r="G284" i="45"/>
  <c r="C284" i="45"/>
  <c r="N283" i="45"/>
  <c r="M283" i="45"/>
  <c r="L283" i="45"/>
  <c r="I283" i="45"/>
  <c r="H283" i="45"/>
  <c r="G283" i="45"/>
  <c r="C283" i="45"/>
  <c r="N282" i="45"/>
  <c r="M282" i="45"/>
  <c r="L282" i="45"/>
  <c r="I282" i="45"/>
  <c r="H282" i="45"/>
  <c r="G282" i="45"/>
  <c r="C282" i="45"/>
  <c r="N281" i="45"/>
  <c r="M281" i="45"/>
  <c r="L281" i="45"/>
  <c r="I281" i="45"/>
  <c r="H281" i="45"/>
  <c r="G281" i="45"/>
  <c r="C281" i="45"/>
  <c r="N280" i="45"/>
  <c r="M280" i="45"/>
  <c r="L280" i="45"/>
  <c r="I280" i="45"/>
  <c r="H280" i="45"/>
  <c r="G280" i="45"/>
  <c r="C280" i="45"/>
  <c r="N279" i="45"/>
  <c r="M279" i="45"/>
  <c r="L279" i="45"/>
  <c r="I279" i="45"/>
  <c r="H279" i="45"/>
  <c r="G279" i="45"/>
  <c r="C279" i="45"/>
  <c r="N278" i="45"/>
  <c r="M278" i="45"/>
  <c r="L278" i="45"/>
  <c r="I278" i="45"/>
  <c r="H278" i="45"/>
  <c r="G278" i="45"/>
  <c r="C278" i="45"/>
  <c r="N277" i="45"/>
  <c r="M277" i="45"/>
  <c r="L277" i="45"/>
  <c r="I277" i="45"/>
  <c r="H277" i="45"/>
  <c r="G277" i="45"/>
  <c r="C277" i="45"/>
  <c r="N276" i="45"/>
  <c r="M276" i="45"/>
  <c r="L276" i="45"/>
  <c r="I276" i="45"/>
  <c r="H276" i="45"/>
  <c r="G276" i="45"/>
  <c r="C276" i="45"/>
  <c r="N275" i="45"/>
  <c r="M275" i="45"/>
  <c r="L275" i="45"/>
  <c r="I275" i="45"/>
  <c r="H275" i="45"/>
  <c r="G275" i="45"/>
  <c r="C275" i="45"/>
  <c r="N274" i="45"/>
  <c r="M274" i="45"/>
  <c r="L274" i="45"/>
  <c r="I274" i="45"/>
  <c r="H274" i="45"/>
  <c r="G274" i="45"/>
  <c r="C274" i="45"/>
  <c r="N273" i="45"/>
  <c r="M273" i="45"/>
  <c r="L273" i="45"/>
  <c r="I273" i="45"/>
  <c r="H273" i="45"/>
  <c r="G273" i="45"/>
  <c r="C273" i="45"/>
  <c r="N272" i="45"/>
  <c r="M272" i="45"/>
  <c r="L272" i="45"/>
  <c r="I272" i="45"/>
  <c r="H272" i="45"/>
  <c r="G272" i="45"/>
  <c r="C272" i="45"/>
  <c r="N271" i="45"/>
  <c r="M271" i="45"/>
  <c r="L271" i="45"/>
  <c r="I271" i="45"/>
  <c r="H271" i="45"/>
  <c r="G271" i="45"/>
  <c r="C271" i="45"/>
  <c r="N270" i="45"/>
  <c r="M270" i="45"/>
  <c r="L270" i="45"/>
  <c r="I270" i="45"/>
  <c r="H270" i="45"/>
  <c r="G270" i="45"/>
  <c r="C270" i="45"/>
  <c r="N269" i="45"/>
  <c r="M269" i="45"/>
  <c r="L269" i="45"/>
  <c r="I269" i="45"/>
  <c r="H269" i="45"/>
  <c r="G269" i="45"/>
  <c r="C269" i="45"/>
  <c r="N268" i="45"/>
  <c r="M268" i="45"/>
  <c r="L268" i="45"/>
  <c r="I268" i="45"/>
  <c r="H268" i="45"/>
  <c r="G268" i="45"/>
  <c r="C268" i="45"/>
  <c r="N267" i="45"/>
  <c r="M267" i="45"/>
  <c r="L267" i="45"/>
  <c r="I267" i="45"/>
  <c r="H267" i="45"/>
  <c r="G267" i="45"/>
  <c r="C267" i="45"/>
  <c r="N266" i="45"/>
  <c r="M266" i="45"/>
  <c r="L266" i="45"/>
  <c r="I266" i="45"/>
  <c r="H266" i="45"/>
  <c r="G266" i="45"/>
  <c r="C266" i="45"/>
  <c r="N265" i="45"/>
  <c r="M265" i="45"/>
  <c r="L265" i="45"/>
  <c r="I265" i="45"/>
  <c r="H265" i="45"/>
  <c r="G265" i="45"/>
  <c r="C265" i="45"/>
  <c r="N264" i="45"/>
  <c r="M264" i="45"/>
  <c r="L264" i="45"/>
  <c r="I264" i="45"/>
  <c r="H264" i="45"/>
  <c r="G264" i="45"/>
  <c r="C264" i="45"/>
  <c r="N263" i="45"/>
  <c r="M263" i="45"/>
  <c r="L263" i="45"/>
  <c r="I263" i="45"/>
  <c r="H263" i="45"/>
  <c r="G263" i="45"/>
  <c r="C263" i="45"/>
  <c r="N262" i="45"/>
  <c r="M262" i="45"/>
  <c r="L262" i="45"/>
  <c r="I262" i="45"/>
  <c r="H262" i="45"/>
  <c r="G262" i="45"/>
  <c r="C262" i="45"/>
  <c r="N261" i="45"/>
  <c r="M261" i="45"/>
  <c r="L261" i="45"/>
  <c r="I261" i="45"/>
  <c r="H261" i="45"/>
  <c r="G261" i="45"/>
  <c r="C261" i="45"/>
  <c r="N260" i="45"/>
  <c r="M260" i="45"/>
  <c r="L260" i="45"/>
  <c r="I260" i="45"/>
  <c r="H260" i="45"/>
  <c r="G260" i="45"/>
  <c r="C260" i="45"/>
  <c r="N259" i="45"/>
  <c r="M259" i="45"/>
  <c r="L259" i="45"/>
  <c r="I259" i="45"/>
  <c r="H259" i="45"/>
  <c r="G259" i="45"/>
  <c r="C259" i="45"/>
  <c r="N258" i="45"/>
  <c r="M258" i="45"/>
  <c r="L258" i="45"/>
  <c r="I258" i="45"/>
  <c r="H258" i="45"/>
  <c r="G258" i="45"/>
  <c r="C258" i="45"/>
  <c r="N257" i="45"/>
  <c r="M257" i="45"/>
  <c r="L257" i="45"/>
  <c r="I257" i="45"/>
  <c r="H257" i="45"/>
  <c r="G257" i="45"/>
  <c r="C257" i="45"/>
  <c r="N256" i="45"/>
  <c r="M256" i="45"/>
  <c r="L256" i="45"/>
  <c r="I256" i="45"/>
  <c r="H256" i="45"/>
  <c r="G256" i="45"/>
  <c r="C256" i="45"/>
  <c r="N255" i="45"/>
  <c r="M255" i="45"/>
  <c r="L255" i="45"/>
  <c r="I255" i="45"/>
  <c r="H255" i="45"/>
  <c r="G255" i="45"/>
  <c r="C255" i="45"/>
  <c r="N254" i="45"/>
  <c r="M254" i="45"/>
  <c r="L254" i="45"/>
  <c r="I254" i="45"/>
  <c r="H254" i="45"/>
  <c r="G254" i="45"/>
  <c r="C254" i="45"/>
  <c r="N253" i="45"/>
  <c r="M253" i="45"/>
  <c r="L253" i="45"/>
  <c r="I253" i="45"/>
  <c r="H253" i="45"/>
  <c r="G253" i="45"/>
  <c r="C253" i="45"/>
  <c r="N252" i="45"/>
  <c r="M252" i="45"/>
  <c r="L252" i="45"/>
  <c r="I252" i="45"/>
  <c r="H252" i="45"/>
  <c r="G252" i="45"/>
  <c r="C252" i="45"/>
  <c r="N251" i="45"/>
  <c r="M251" i="45"/>
  <c r="L251" i="45"/>
  <c r="I251" i="45"/>
  <c r="H251" i="45"/>
  <c r="G251" i="45"/>
  <c r="C251" i="45"/>
  <c r="N250" i="45"/>
  <c r="M250" i="45"/>
  <c r="L250" i="45"/>
  <c r="I250" i="45"/>
  <c r="H250" i="45"/>
  <c r="G250" i="45"/>
  <c r="C250" i="45"/>
  <c r="N249" i="45"/>
  <c r="M249" i="45"/>
  <c r="L249" i="45"/>
  <c r="I249" i="45"/>
  <c r="H249" i="45"/>
  <c r="G249" i="45"/>
  <c r="C249" i="45"/>
  <c r="N248" i="45"/>
  <c r="M248" i="45"/>
  <c r="L248" i="45"/>
  <c r="I248" i="45"/>
  <c r="H248" i="45"/>
  <c r="G248" i="45"/>
  <c r="C248" i="45"/>
  <c r="N247" i="45"/>
  <c r="M247" i="45"/>
  <c r="L247" i="45"/>
  <c r="I247" i="45"/>
  <c r="H247" i="45"/>
  <c r="G247" i="45"/>
  <c r="C247" i="45"/>
  <c r="N246" i="45"/>
  <c r="M246" i="45"/>
  <c r="L246" i="45"/>
  <c r="I246" i="45"/>
  <c r="H246" i="45"/>
  <c r="G246" i="45"/>
  <c r="C246" i="45"/>
  <c r="N245" i="45"/>
  <c r="M245" i="45"/>
  <c r="L245" i="45"/>
  <c r="I245" i="45"/>
  <c r="H245" i="45"/>
  <c r="G245" i="45"/>
  <c r="C245" i="45"/>
  <c r="N244" i="45"/>
  <c r="M244" i="45"/>
  <c r="L244" i="45"/>
  <c r="I244" i="45"/>
  <c r="H244" i="45"/>
  <c r="G244" i="45"/>
  <c r="C244" i="45"/>
  <c r="N243" i="45"/>
  <c r="M243" i="45"/>
  <c r="L243" i="45"/>
  <c r="I243" i="45"/>
  <c r="H243" i="45"/>
  <c r="G243" i="45"/>
  <c r="C243" i="45"/>
  <c r="N242" i="45"/>
  <c r="M242" i="45"/>
  <c r="L242" i="45"/>
  <c r="I242" i="45"/>
  <c r="H242" i="45"/>
  <c r="G242" i="45"/>
  <c r="C242" i="45"/>
  <c r="N241" i="45"/>
  <c r="M241" i="45"/>
  <c r="L241" i="45"/>
  <c r="I241" i="45"/>
  <c r="H241" i="45"/>
  <c r="G241" i="45"/>
  <c r="C241" i="45"/>
  <c r="N240" i="45"/>
  <c r="M240" i="45"/>
  <c r="L240" i="45"/>
  <c r="I240" i="45"/>
  <c r="H240" i="45"/>
  <c r="G240" i="45"/>
  <c r="C240" i="45"/>
  <c r="N239" i="45"/>
  <c r="M239" i="45"/>
  <c r="L239" i="45"/>
  <c r="I239" i="45"/>
  <c r="H239" i="45"/>
  <c r="G239" i="45"/>
  <c r="C239" i="45"/>
  <c r="N238" i="45"/>
  <c r="M238" i="45"/>
  <c r="L238" i="45"/>
  <c r="I238" i="45"/>
  <c r="H238" i="45"/>
  <c r="G238" i="45"/>
  <c r="C238" i="45"/>
  <c r="N237" i="45"/>
  <c r="M237" i="45"/>
  <c r="L237" i="45"/>
  <c r="I237" i="45"/>
  <c r="H237" i="45"/>
  <c r="G237" i="45"/>
  <c r="C237" i="45"/>
  <c r="N236" i="45"/>
  <c r="M236" i="45"/>
  <c r="L236" i="45"/>
  <c r="I236" i="45"/>
  <c r="H236" i="45"/>
  <c r="G236" i="45"/>
  <c r="C236" i="45"/>
  <c r="N235" i="45"/>
  <c r="M235" i="45"/>
  <c r="L235" i="45"/>
  <c r="I235" i="45"/>
  <c r="H235" i="45"/>
  <c r="G235" i="45"/>
  <c r="C235" i="45"/>
  <c r="N234" i="45"/>
  <c r="M234" i="45"/>
  <c r="L234" i="45"/>
  <c r="I234" i="45"/>
  <c r="H234" i="45"/>
  <c r="G234" i="45"/>
  <c r="C234" i="45"/>
  <c r="N233" i="45"/>
  <c r="M233" i="45"/>
  <c r="L233" i="45"/>
  <c r="I233" i="45"/>
  <c r="H233" i="45"/>
  <c r="G233" i="45"/>
  <c r="C233" i="45"/>
  <c r="N232" i="45"/>
  <c r="M232" i="45"/>
  <c r="L232" i="45"/>
  <c r="I232" i="45"/>
  <c r="H232" i="45"/>
  <c r="G232" i="45"/>
  <c r="C232" i="45"/>
  <c r="N231" i="45"/>
  <c r="M231" i="45"/>
  <c r="L231" i="45"/>
  <c r="I231" i="45"/>
  <c r="H231" i="45"/>
  <c r="G231" i="45"/>
  <c r="C231" i="45"/>
  <c r="N230" i="45"/>
  <c r="M230" i="45"/>
  <c r="L230" i="45"/>
  <c r="I230" i="45"/>
  <c r="H230" i="45"/>
  <c r="G230" i="45"/>
  <c r="C230" i="45"/>
  <c r="N229" i="45"/>
  <c r="M229" i="45"/>
  <c r="L229" i="45"/>
  <c r="I229" i="45"/>
  <c r="H229" i="45"/>
  <c r="G229" i="45"/>
  <c r="C229" i="45"/>
  <c r="N228" i="45"/>
  <c r="M228" i="45"/>
  <c r="L228" i="45"/>
  <c r="I228" i="45"/>
  <c r="H228" i="45"/>
  <c r="G228" i="45"/>
  <c r="C228" i="45"/>
  <c r="N227" i="45"/>
  <c r="M227" i="45"/>
  <c r="L227" i="45"/>
  <c r="I227" i="45"/>
  <c r="H227" i="45"/>
  <c r="G227" i="45"/>
  <c r="C227" i="45"/>
  <c r="N226" i="45"/>
  <c r="M226" i="45"/>
  <c r="L226" i="45"/>
  <c r="I226" i="45"/>
  <c r="H226" i="45"/>
  <c r="G226" i="45"/>
  <c r="C226" i="45"/>
  <c r="N225" i="45"/>
  <c r="M225" i="45"/>
  <c r="L225" i="45"/>
  <c r="I225" i="45"/>
  <c r="H225" i="45"/>
  <c r="G225" i="45"/>
  <c r="C225" i="45"/>
  <c r="N224" i="45"/>
  <c r="M224" i="45"/>
  <c r="L224" i="45"/>
  <c r="I224" i="45"/>
  <c r="H224" i="45"/>
  <c r="G224" i="45"/>
  <c r="C224" i="45"/>
  <c r="N223" i="45"/>
  <c r="M223" i="45"/>
  <c r="L223" i="45"/>
  <c r="I223" i="45"/>
  <c r="H223" i="45"/>
  <c r="G223" i="45"/>
  <c r="C223" i="45"/>
  <c r="N222" i="45"/>
  <c r="M222" i="45"/>
  <c r="L222" i="45"/>
  <c r="I222" i="45"/>
  <c r="H222" i="45"/>
  <c r="G222" i="45"/>
  <c r="C222" i="45"/>
  <c r="N221" i="45"/>
  <c r="M221" i="45"/>
  <c r="L221" i="45"/>
  <c r="I221" i="45"/>
  <c r="H221" i="45"/>
  <c r="G221" i="45"/>
  <c r="C221" i="45"/>
  <c r="N220" i="45"/>
  <c r="M220" i="45"/>
  <c r="L220" i="45"/>
  <c r="I220" i="45"/>
  <c r="H220" i="45"/>
  <c r="G220" i="45"/>
  <c r="C220" i="45"/>
  <c r="N219" i="45"/>
  <c r="M219" i="45"/>
  <c r="L219" i="45"/>
  <c r="I219" i="45"/>
  <c r="H219" i="45"/>
  <c r="G219" i="45"/>
  <c r="C219" i="45"/>
  <c r="N218" i="45"/>
  <c r="M218" i="45"/>
  <c r="L218" i="45"/>
  <c r="I218" i="45"/>
  <c r="H218" i="45"/>
  <c r="G218" i="45"/>
  <c r="C218" i="45"/>
  <c r="N217" i="45"/>
  <c r="M217" i="45"/>
  <c r="L217" i="45"/>
  <c r="I217" i="45"/>
  <c r="H217" i="45"/>
  <c r="G217" i="45"/>
  <c r="C217" i="45"/>
  <c r="N216" i="45"/>
  <c r="M216" i="45"/>
  <c r="L216" i="45"/>
  <c r="I216" i="45"/>
  <c r="H216" i="45"/>
  <c r="G216" i="45"/>
  <c r="C216" i="45"/>
  <c r="N215" i="45"/>
  <c r="M215" i="45"/>
  <c r="L215" i="45"/>
  <c r="I215" i="45"/>
  <c r="H215" i="45"/>
  <c r="G215" i="45"/>
  <c r="C215" i="45"/>
  <c r="N214" i="45"/>
  <c r="M214" i="45"/>
  <c r="L214" i="45"/>
  <c r="I214" i="45"/>
  <c r="H214" i="45"/>
  <c r="G214" i="45"/>
  <c r="C214" i="45"/>
  <c r="N213" i="45"/>
  <c r="M213" i="45"/>
  <c r="L213" i="45"/>
  <c r="I213" i="45"/>
  <c r="H213" i="45"/>
  <c r="G213" i="45"/>
  <c r="C213" i="45"/>
  <c r="N212" i="45"/>
  <c r="M212" i="45"/>
  <c r="L212" i="45"/>
  <c r="I212" i="45"/>
  <c r="H212" i="45"/>
  <c r="G212" i="45"/>
  <c r="C212" i="45"/>
  <c r="N211" i="45"/>
  <c r="M211" i="45"/>
  <c r="L211" i="45"/>
  <c r="I211" i="45"/>
  <c r="H211" i="45"/>
  <c r="G211" i="45"/>
  <c r="C211" i="45"/>
  <c r="N210" i="45"/>
  <c r="M210" i="45"/>
  <c r="L210" i="45"/>
  <c r="I210" i="45"/>
  <c r="H210" i="45"/>
  <c r="G210" i="45"/>
  <c r="C210" i="45"/>
  <c r="N209" i="45"/>
  <c r="M209" i="45"/>
  <c r="L209" i="45"/>
  <c r="I209" i="45"/>
  <c r="H209" i="45"/>
  <c r="G209" i="45"/>
  <c r="C209" i="45"/>
  <c r="N208" i="45"/>
  <c r="M208" i="45"/>
  <c r="L208" i="45"/>
  <c r="I208" i="45"/>
  <c r="H208" i="45"/>
  <c r="G208" i="45"/>
  <c r="C208" i="45"/>
  <c r="N207" i="45"/>
  <c r="M207" i="45"/>
  <c r="L207" i="45"/>
  <c r="I207" i="45"/>
  <c r="H207" i="45"/>
  <c r="G207" i="45"/>
  <c r="C207" i="45"/>
  <c r="N206" i="45"/>
  <c r="M206" i="45"/>
  <c r="L206" i="45"/>
  <c r="I206" i="45"/>
  <c r="H206" i="45"/>
  <c r="G206" i="45"/>
  <c r="C206" i="45"/>
  <c r="N205" i="45"/>
  <c r="M205" i="45"/>
  <c r="L205" i="45"/>
  <c r="I205" i="45"/>
  <c r="H205" i="45"/>
  <c r="G205" i="45"/>
  <c r="C205" i="45"/>
  <c r="N204" i="45"/>
  <c r="M204" i="45"/>
  <c r="L204" i="45"/>
  <c r="I204" i="45"/>
  <c r="H204" i="45"/>
  <c r="G204" i="45"/>
  <c r="C204" i="45"/>
  <c r="N203" i="45"/>
  <c r="M203" i="45"/>
  <c r="L203" i="45"/>
  <c r="I203" i="45"/>
  <c r="H203" i="45"/>
  <c r="G203" i="45"/>
  <c r="C203" i="45"/>
  <c r="N202" i="45"/>
  <c r="M202" i="45"/>
  <c r="L202" i="45"/>
  <c r="I202" i="45"/>
  <c r="H202" i="45"/>
  <c r="G202" i="45"/>
  <c r="C202" i="45"/>
  <c r="N201" i="45"/>
  <c r="M201" i="45"/>
  <c r="L201" i="45"/>
  <c r="I201" i="45"/>
  <c r="H201" i="45"/>
  <c r="G201" i="45"/>
  <c r="C201" i="45"/>
  <c r="N200" i="45"/>
  <c r="M200" i="45"/>
  <c r="L200" i="45"/>
  <c r="I200" i="45"/>
  <c r="H200" i="45"/>
  <c r="G200" i="45"/>
  <c r="C200" i="45"/>
  <c r="N199" i="45"/>
  <c r="M199" i="45"/>
  <c r="L199" i="45"/>
  <c r="I199" i="45"/>
  <c r="H199" i="45"/>
  <c r="G199" i="45"/>
  <c r="C199" i="45"/>
  <c r="N198" i="45"/>
  <c r="M198" i="45"/>
  <c r="L198" i="45"/>
  <c r="I198" i="45"/>
  <c r="H198" i="45"/>
  <c r="G198" i="45"/>
  <c r="C198" i="45"/>
  <c r="N197" i="45"/>
  <c r="M197" i="45"/>
  <c r="L197" i="45"/>
  <c r="I197" i="45"/>
  <c r="H197" i="45"/>
  <c r="G197" i="45"/>
  <c r="C197" i="45"/>
  <c r="N196" i="45"/>
  <c r="M196" i="45"/>
  <c r="L196" i="45"/>
  <c r="I196" i="45"/>
  <c r="H196" i="45"/>
  <c r="G196" i="45"/>
  <c r="C196" i="45"/>
  <c r="N195" i="45"/>
  <c r="M195" i="45"/>
  <c r="L195" i="45"/>
  <c r="I195" i="45"/>
  <c r="H195" i="45"/>
  <c r="G195" i="45"/>
  <c r="C195" i="45"/>
  <c r="N194" i="45"/>
  <c r="M194" i="45"/>
  <c r="L194" i="45"/>
  <c r="I194" i="45"/>
  <c r="H194" i="45"/>
  <c r="G194" i="45"/>
  <c r="C194" i="45"/>
  <c r="N193" i="45"/>
  <c r="M193" i="45"/>
  <c r="L193" i="45"/>
  <c r="I193" i="45"/>
  <c r="H193" i="45"/>
  <c r="G193" i="45"/>
  <c r="C193" i="45"/>
  <c r="N192" i="45"/>
  <c r="M192" i="45"/>
  <c r="L192" i="45"/>
  <c r="I192" i="45"/>
  <c r="H192" i="45"/>
  <c r="G192" i="45"/>
  <c r="C192" i="45"/>
  <c r="N191" i="45"/>
  <c r="M191" i="45"/>
  <c r="L191" i="45"/>
  <c r="I191" i="45"/>
  <c r="H191" i="45"/>
  <c r="G191" i="45"/>
  <c r="C191" i="45"/>
  <c r="N190" i="45"/>
  <c r="M190" i="45"/>
  <c r="L190" i="45"/>
  <c r="I190" i="45"/>
  <c r="H190" i="45"/>
  <c r="G190" i="45"/>
  <c r="C190" i="45"/>
  <c r="N189" i="45"/>
  <c r="M189" i="45"/>
  <c r="L189" i="45"/>
  <c r="I189" i="45"/>
  <c r="H189" i="45"/>
  <c r="G189" i="45"/>
  <c r="C189" i="45"/>
  <c r="N188" i="45"/>
  <c r="M188" i="45"/>
  <c r="L188" i="45"/>
  <c r="I188" i="45"/>
  <c r="H188" i="45"/>
  <c r="G188" i="45"/>
  <c r="C188" i="45"/>
  <c r="N187" i="45"/>
  <c r="M187" i="45"/>
  <c r="L187" i="45"/>
  <c r="I187" i="45"/>
  <c r="H187" i="45"/>
  <c r="G187" i="45"/>
  <c r="C187" i="45"/>
  <c r="N186" i="45"/>
  <c r="M186" i="45"/>
  <c r="L186" i="45"/>
  <c r="I186" i="45"/>
  <c r="H186" i="45"/>
  <c r="G186" i="45"/>
  <c r="C186" i="45"/>
  <c r="N185" i="45"/>
  <c r="M185" i="45"/>
  <c r="L185" i="45"/>
  <c r="I185" i="45"/>
  <c r="H185" i="45"/>
  <c r="G185" i="45"/>
  <c r="C185" i="45"/>
  <c r="N184" i="45"/>
  <c r="M184" i="45"/>
  <c r="L184" i="45"/>
  <c r="I184" i="45"/>
  <c r="H184" i="45"/>
  <c r="G184" i="45"/>
  <c r="C184" i="45"/>
  <c r="N183" i="45"/>
  <c r="M183" i="45"/>
  <c r="L183" i="45"/>
  <c r="I183" i="45"/>
  <c r="H183" i="45"/>
  <c r="G183" i="45"/>
  <c r="C183" i="45"/>
  <c r="N182" i="45"/>
  <c r="M182" i="45"/>
  <c r="L182" i="45"/>
  <c r="I182" i="45"/>
  <c r="H182" i="45"/>
  <c r="G182" i="45"/>
  <c r="C182" i="45"/>
  <c r="N181" i="45"/>
  <c r="M181" i="45"/>
  <c r="L181" i="45"/>
  <c r="I181" i="45"/>
  <c r="H181" i="45"/>
  <c r="G181" i="45"/>
  <c r="C181" i="45"/>
  <c r="N180" i="45"/>
  <c r="M180" i="45"/>
  <c r="L180" i="45"/>
  <c r="I180" i="45"/>
  <c r="H180" i="45"/>
  <c r="G180" i="45"/>
  <c r="C180" i="45"/>
  <c r="N179" i="45"/>
  <c r="M179" i="45"/>
  <c r="L179" i="45"/>
  <c r="I179" i="45"/>
  <c r="H179" i="45"/>
  <c r="G179" i="45"/>
  <c r="C179" i="45"/>
  <c r="N178" i="45"/>
  <c r="M178" i="45"/>
  <c r="L178" i="45"/>
  <c r="I178" i="45"/>
  <c r="H178" i="45"/>
  <c r="G178" i="45"/>
  <c r="C178" i="45"/>
  <c r="N177" i="45"/>
  <c r="M177" i="45"/>
  <c r="L177" i="45"/>
  <c r="I177" i="45"/>
  <c r="H177" i="45"/>
  <c r="G177" i="45"/>
  <c r="C177" i="45"/>
  <c r="N176" i="45"/>
  <c r="M176" i="45"/>
  <c r="L176" i="45"/>
  <c r="I176" i="45"/>
  <c r="H176" i="45"/>
  <c r="G176" i="45"/>
  <c r="C176" i="45"/>
  <c r="N175" i="45"/>
  <c r="M175" i="45"/>
  <c r="L175" i="45"/>
  <c r="I175" i="45"/>
  <c r="H175" i="45"/>
  <c r="G175" i="45"/>
  <c r="C175" i="45"/>
  <c r="N174" i="45"/>
  <c r="M174" i="45"/>
  <c r="L174" i="45"/>
  <c r="I174" i="45"/>
  <c r="H174" i="45"/>
  <c r="G174" i="45"/>
  <c r="C174" i="45"/>
  <c r="N173" i="45"/>
  <c r="M173" i="45"/>
  <c r="L173" i="45"/>
  <c r="I173" i="45"/>
  <c r="H173" i="45"/>
  <c r="G173" i="45"/>
  <c r="C173" i="45"/>
  <c r="N172" i="45"/>
  <c r="M172" i="45"/>
  <c r="L172" i="45"/>
  <c r="I172" i="45"/>
  <c r="H172" i="45"/>
  <c r="G172" i="45"/>
  <c r="C172" i="45"/>
  <c r="N171" i="45"/>
  <c r="M171" i="45"/>
  <c r="L171" i="45"/>
  <c r="I171" i="45"/>
  <c r="H171" i="45"/>
  <c r="G171" i="45"/>
  <c r="C171" i="45"/>
  <c r="N170" i="45"/>
  <c r="M170" i="45"/>
  <c r="L170" i="45"/>
  <c r="I170" i="45"/>
  <c r="H170" i="45"/>
  <c r="G170" i="45"/>
  <c r="C170" i="45"/>
  <c r="N169" i="45"/>
  <c r="M169" i="45"/>
  <c r="L169" i="45"/>
  <c r="I169" i="45"/>
  <c r="H169" i="45"/>
  <c r="G169" i="45"/>
  <c r="C169" i="45"/>
  <c r="N168" i="45"/>
  <c r="M168" i="45"/>
  <c r="L168" i="45"/>
  <c r="I168" i="45"/>
  <c r="H168" i="45"/>
  <c r="G168" i="45"/>
  <c r="C168" i="45"/>
  <c r="N167" i="45"/>
  <c r="M167" i="45"/>
  <c r="L167" i="45"/>
  <c r="I167" i="45"/>
  <c r="H167" i="45"/>
  <c r="G167" i="45"/>
  <c r="C167" i="45"/>
  <c r="N166" i="45"/>
  <c r="M166" i="45"/>
  <c r="L166" i="45"/>
  <c r="I166" i="45"/>
  <c r="H166" i="45"/>
  <c r="G166" i="45"/>
  <c r="C166" i="45"/>
  <c r="N165" i="45"/>
  <c r="M165" i="45"/>
  <c r="L165" i="45"/>
  <c r="I165" i="45"/>
  <c r="H165" i="45"/>
  <c r="G165" i="45"/>
  <c r="C165" i="45"/>
  <c r="N164" i="45"/>
  <c r="M164" i="45"/>
  <c r="L164" i="45"/>
  <c r="I164" i="45"/>
  <c r="H164" i="45"/>
  <c r="G164" i="45"/>
  <c r="C164" i="45"/>
  <c r="N163" i="45"/>
  <c r="M163" i="45"/>
  <c r="L163" i="45"/>
  <c r="I163" i="45"/>
  <c r="H163" i="45"/>
  <c r="G163" i="45"/>
  <c r="C163" i="45"/>
  <c r="N162" i="45"/>
  <c r="M162" i="45"/>
  <c r="L162" i="45"/>
  <c r="I162" i="45"/>
  <c r="H162" i="45"/>
  <c r="G162" i="45"/>
  <c r="C162" i="45"/>
  <c r="N161" i="45"/>
  <c r="M161" i="45"/>
  <c r="L161" i="45"/>
  <c r="I161" i="45"/>
  <c r="H161" i="45"/>
  <c r="G161" i="45"/>
  <c r="C161" i="45"/>
  <c r="N160" i="45"/>
  <c r="M160" i="45"/>
  <c r="L160" i="45"/>
  <c r="I160" i="45"/>
  <c r="H160" i="45"/>
  <c r="G160" i="45"/>
  <c r="C160" i="45"/>
  <c r="N159" i="45"/>
  <c r="M159" i="45"/>
  <c r="L159" i="45"/>
  <c r="I159" i="45"/>
  <c r="H159" i="45"/>
  <c r="G159" i="45"/>
  <c r="C159" i="45"/>
  <c r="N158" i="45"/>
  <c r="M158" i="45"/>
  <c r="L158" i="45"/>
  <c r="I158" i="45"/>
  <c r="H158" i="45"/>
  <c r="G158" i="45"/>
  <c r="C158" i="45"/>
  <c r="N157" i="45"/>
  <c r="M157" i="45"/>
  <c r="L157" i="45"/>
  <c r="I157" i="45"/>
  <c r="H157" i="45"/>
  <c r="G157" i="45"/>
  <c r="C157" i="45"/>
  <c r="N156" i="45"/>
  <c r="M156" i="45"/>
  <c r="L156" i="45"/>
  <c r="I156" i="45"/>
  <c r="H156" i="45"/>
  <c r="G156" i="45"/>
  <c r="C156" i="45"/>
  <c r="N155" i="45"/>
  <c r="M155" i="45"/>
  <c r="L155" i="45"/>
  <c r="I155" i="45"/>
  <c r="H155" i="45"/>
  <c r="G155" i="45"/>
  <c r="C155" i="45"/>
  <c r="N154" i="45"/>
  <c r="M154" i="45"/>
  <c r="L154" i="45"/>
  <c r="I154" i="45"/>
  <c r="H154" i="45"/>
  <c r="G154" i="45"/>
  <c r="C154" i="45"/>
  <c r="N153" i="45"/>
  <c r="M153" i="45"/>
  <c r="L153" i="45"/>
  <c r="I153" i="45"/>
  <c r="H153" i="45"/>
  <c r="G153" i="45"/>
  <c r="C153" i="45"/>
  <c r="N152" i="45"/>
  <c r="M152" i="45"/>
  <c r="L152" i="45"/>
  <c r="I152" i="45"/>
  <c r="H152" i="45"/>
  <c r="G152" i="45"/>
  <c r="C152" i="45"/>
  <c r="N151" i="45"/>
  <c r="M151" i="45"/>
  <c r="L151" i="45"/>
  <c r="I151" i="45"/>
  <c r="H151" i="45"/>
  <c r="G151" i="45"/>
  <c r="C151" i="45"/>
  <c r="N150" i="45"/>
  <c r="M150" i="45"/>
  <c r="L150" i="45"/>
  <c r="I150" i="45"/>
  <c r="H150" i="45"/>
  <c r="G150" i="45"/>
  <c r="C150" i="45"/>
  <c r="N149" i="45"/>
  <c r="M149" i="45"/>
  <c r="L149" i="45"/>
  <c r="I149" i="45"/>
  <c r="H149" i="45"/>
  <c r="G149" i="45"/>
  <c r="C149" i="45"/>
  <c r="N148" i="45"/>
  <c r="M148" i="45"/>
  <c r="L148" i="45"/>
  <c r="I148" i="45"/>
  <c r="H148" i="45"/>
  <c r="G148" i="45"/>
  <c r="C148" i="45"/>
  <c r="N147" i="45"/>
  <c r="M147" i="45"/>
  <c r="L147" i="45"/>
  <c r="I147" i="45"/>
  <c r="H147" i="45"/>
  <c r="G147" i="45"/>
  <c r="C147" i="45"/>
  <c r="N146" i="45"/>
  <c r="M146" i="45"/>
  <c r="L146" i="45"/>
  <c r="I146" i="45"/>
  <c r="H146" i="45"/>
  <c r="G146" i="45"/>
  <c r="C146" i="45"/>
  <c r="N145" i="45"/>
  <c r="M145" i="45"/>
  <c r="L145" i="45"/>
  <c r="I145" i="45"/>
  <c r="H145" i="45"/>
  <c r="G145" i="45"/>
  <c r="C145" i="45"/>
  <c r="N144" i="45"/>
  <c r="M144" i="45"/>
  <c r="L144" i="45"/>
  <c r="I144" i="45"/>
  <c r="H144" i="45"/>
  <c r="G144" i="45"/>
  <c r="C144" i="45"/>
  <c r="N143" i="45"/>
  <c r="M143" i="45"/>
  <c r="L143" i="45"/>
  <c r="I143" i="45"/>
  <c r="H143" i="45"/>
  <c r="G143" i="45"/>
  <c r="C143" i="45"/>
  <c r="N142" i="45"/>
  <c r="M142" i="45"/>
  <c r="L142" i="45"/>
  <c r="I142" i="45"/>
  <c r="H142" i="45"/>
  <c r="G142" i="45"/>
  <c r="C142" i="45"/>
  <c r="N141" i="45"/>
  <c r="M141" i="45"/>
  <c r="L141" i="45"/>
  <c r="I141" i="45"/>
  <c r="H141" i="45"/>
  <c r="G141" i="45"/>
  <c r="C141" i="45"/>
  <c r="N140" i="45"/>
  <c r="M140" i="45"/>
  <c r="L140" i="45"/>
  <c r="I140" i="45"/>
  <c r="H140" i="45"/>
  <c r="G140" i="45"/>
  <c r="C140" i="45"/>
  <c r="N139" i="45"/>
  <c r="M139" i="45"/>
  <c r="L139" i="45"/>
  <c r="I139" i="45"/>
  <c r="H139" i="45"/>
  <c r="G139" i="45"/>
  <c r="C139" i="45"/>
  <c r="N138" i="45"/>
  <c r="M138" i="45"/>
  <c r="L138" i="45"/>
  <c r="I138" i="45"/>
  <c r="H138" i="45"/>
  <c r="G138" i="45"/>
  <c r="C138" i="45"/>
  <c r="N137" i="45"/>
  <c r="M137" i="45"/>
  <c r="L137" i="45"/>
  <c r="I137" i="45"/>
  <c r="H137" i="45"/>
  <c r="G137" i="45"/>
  <c r="C137" i="45"/>
  <c r="N136" i="45"/>
  <c r="M136" i="45"/>
  <c r="L136" i="45"/>
  <c r="I136" i="45"/>
  <c r="H136" i="45"/>
  <c r="G136" i="45"/>
  <c r="C136" i="45"/>
  <c r="N135" i="45"/>
  <c r="M135" i="45"/>
  <c r="L135" i="45"/>
  <c r="I135" i="45"/>
  <c r="H135" i="45"/>
  <c r="G135" i="45"/>
  <c r="C135" i="45"/>
  <c r="N134" i="45"/>
  <c r="M134" i="45"/>
  <c r="L134" i="45"/>
  <c r="I134" i="45"/>
  <c r="H134" i="45"/>
  <c r="G134" i="45"/>
  <c r="C134" i="45"/>
  <c r="N133" i="45"/>
  <c r="M133" i="45"/>
  <c r="L133" i="45"/>
  <c r="I133" i="45"/>
  <c r="H133" i="45"/>
  <c r="G133" i="45"/>
  <c r="C133" i="45"/>
  <c r="N132" i="45"/>
  <c r="M132" i="45"/>
  <c r="L132" i="45"/>
  <c r="I132" i="45"/>
  <c r="H132" i="45"/>
  <c r="G132" i="45"/>
  <c r="C132" i="45"/>
  <c r="N131" i="45"/>
  <c r="M131" i="45"/>
  <c r="L131" i="45"/>
  <c r="I131" i="45"/>
  <c r="H131" i="45"/>
  <c r="G131" i="45"/>
  <c r="C131" i="45"/>
  <c r="N130" i="45"/>
  <c r="M130" i="45"/>
  <c r="L130" i="45"/>
  <c r="I130" i="45"/>
  <c r="H130" i="45"/>
  <c r="G130" i="45"/>
  <c r="C130" i="45"/>
  <c r="N129" i="45"/>
  <c r="M129" i="45"/>
  <c r="L129" i="45"/>
  <c r="I129" i="45"/>
  <c r="H129" i="45"/>
  <c r="G129" i="45"/>
  <c r="C129" i="45"/>
  <c r="N128" i="45"/>
  <c r="M128" i="45"/>
  <c r="L128" i="45"/>
  <c r="I128" i="45"/>
  <c r="H128" i="45"/>
  <c r="G128" i="45"/>
  <c r="C128" i="45"/>
  <c r="N127" i="45"/>
  <c r="M127" i="45"/>
  <c r="L127" i="45"/>
  <c r="I127" i="45"/>
  <c r="H127" i="45"/>
  <c r="G127" i="45"/>
  <c r="C127" i="45"/>
  <c r="N126" i="45"/>
  <c r="M126" i="45"/>
  <c r="L126" i="45"/>
  <c r="I126" i="45"/>
  <c r="H126" i="45"/>
  <c r="G126" i="45"/>
  <c r="C126" i="45"/>
  <c r="N125" i="45"/>
  <c r="M125" i="45"/>
  <c r="L125" i="45"/>
  <c r="I125" i="45"/>
  <c r="H125" i="45"/>
  <c r="G125" i="45"/>
  <c r="C125" i="45"/>
  <c r="N124" i="45"/>
  <c r="M124" i="45"/>
  <c r="L124" i="45"/>
  <c r="I124" i="45"/>
  <c r="H124" i="45"/>
  <c r="G124" i="45"/>
  <c r="C124" i="45"/>
  <c r="N123" i="45"/>
  <c r="M123" i="45"/>
  <c r="L123" i="45"/>
  <c r="I123" i="45"/>
  <c r="H123" i="45"/>
  <c r="G123" i="45"/>
  <c r="C123" i="45"/>
  <c r="N122" i="45"/>
  <c r="M122" i="45"/>
  <c r="L122" i="45"/>
  <c r="I122" i="45"/>
  <c r="H122" i="45"/>
  <c r="G122" i="45"/>
  <c r="C122" i="45"/>
  <c r="N121" i="45"/>
  <c r="M121" i="45"/>
  <c r="L121" i="45"/>
  <c r="I121" i="45"/>
  <c r="H121" i="45"/>
  <c r="G121" i="45"/>
  <c r="C121" i="45"/>
  <c r="N120" i="45"/>
  <c r="M120" i="45"/>
  <c r="L120" i="45"/>
  <c r="I120" i="45"/>
  <c r="H120" i="45"/>
  <c r="G120" i="45"/>
  <c r="C120" i="45"/>
  <c r="N119" i="45"/>
  <c r="M119" i="45"/>
  <c r="L119" i="45"/>
  <c r="I119" i="45"/>
  <c r="H119" i="45"/>
  <c r="G119" i="45"/>
  <c r="C119" i="45"/>
  <c r="N118" i="45"/>
  <c r="M118" i="45"/>
  <c r="L118" i="45"/>
  <c r="I118" i="45"/>
  <c r="H118" i="45"/>
  <c r="G118" i="45"/>
  <c r="C118" i="45"/>
  <c r="N117" i="45"/>
  <c r="M117" i="45"/>
  <c r="L117" i="45"/>
  <c r="I117" i="45"/>
  <c r="H117" i="45"/>
  <c r="G117" i="45"/>
  <c r="C117" i="45"/>
  <c r="N116" i="45"/>
  <c r="M116" i="45"/>
  <c r="L116" i="45"/>
  <c r="I116" i="45"/>
  <c r="H116" i="45"/>
  <c r="G116" i="45"/>
  <c r="C116" i="45"/>
  <c r="N115" i="45"/>
  <c r="M115" i="45"/>
  <c r="L115" i="45"/>
  <c r="I115" i="45"/>
  <c r="H115" i="45"/>
  <c r="G115" i="45"/>
  <c r="C115" i="45"/>
  <c r="N114" i="45"/>
  <c r="M114" i="45"/>
  <c r="L114" i="45"/>
  <c r="I114" i="45"/>
  <c r="H114" i="45"/>
  <c r="G114" i="45"/>
  <c r="C114" i="45"/>
  <c r="N113" i="45"/>
  <c r="M113" i="45"/>
  <c r="L113" i="45"/>
  <c r="I113" i="45"/>
  <c r="H113" i="45"/>
  <c r="G113" i="45"/>
  <c r="C113" i="45"/>
  <c r="N112" i="45"/>
  <c r="M112" i="45"/>
  <c r="L112" i="45"/>
  <c r="I112" i="45"/>
  <c r="H112" i="45"/>
  <c r="G112" i="45"/>
  <c r="C112" i="45"/>
  <c r="N111" i="45"/>
  <c r="M111" i="45"/>
  <c r="L111" i="45"/>
  <c r="I111" i="45"/>
  <c r="H111" i="45"/>
  <c r="G111" i="45"/>
  <c r="C111" i="45"/>
  <c r="N110" i="45"/>
  <c r="M110" i="45"/>
  <c r="L110" i="45"/>
  <c r="I110" i="45"/>
  <c r="H110" i="45"/>
  <c r="G110" i="45"/>
  <c r="C110" i="45"/>
  <c r="N109" i="45"/>
  <c r="M109" i="45"/>
  <c r="L109" i="45"/>
  <c r="I109" i="45"/>
  <c r="H109" i="45"/>
  <c r="G109" i="45"/>
  <c r="C109" i="45"/>
  <c r="N108" i="45"/>
  <c r="M108" i="45"/>
  <c r="L108" i="45"/>
  <c r="I108" i="45"/>
  <c r="H108" i="45"/>
  <c r="G108" i="45"/>
  <c r="C108" i="45"/>
  <c r="N107" i="45"/>
  <c r="M107" i="45"/>
  <c r="L107" i="45"/>
  <c r="I107" i="45"/>
  <c r="H107" i="45"/>
  <c r="G107" i="45"/>
  <c r="C107" i="45"/>
  <c r="N106" i="45"/>
  <c r="M106" i="45"/>
  <c r="L106" i="45"/>
  <c r="I106" i="45"/>
  <c r="H106" i="45"/>
  <c r="G106" i="45"/>
  <c r="C106" i="45"/>
  <c r="N105" i="45"/>
  <c r="M105" i="45"/>
  <c r="L105" i="45"/>
  <c r="I105" i="45"/>
  <c r="H105" i="45"/>
  <c r="G105" i="45"/>
  <c r="C105" i="45"/>
  <c r="N104" i="45"/>
  <c r="M104" i="45"/>
  <c r="L104" i="45"/>
  <c r="I104" i="45"/>
  <c r="H104" i="45"/>
  <c r="G104" i="45"/>
  <c r="C104" i="45"/>
  <c r="N103" i="45"/>
  <c r="M103" i="45"/>
  <c r="L103" i="45"/>
  <c r="I103" i="45"/>
  <c r="H103" i="45"/>
  <c r="G103" i="45"/>
  <c r="C103" i="45"/>
  <c r="N102" i="45"/>
  <c r="M102" i="45"/>
  <c r="L102" i="45"/>
  <c r="I102" i="45"/>
  <c r="H102" i="45"/>
  <c r="G102" i="45"/>
  <c r="C102" i="45"/>
  <c r="N101" i="45"/>
  <c r="M101" i="45"/>
  <c r="L101" i="45"/>
  <c r="I101" i="45"/>
  <c r="H101" i="45"/>
  <c r="G101" i="45"/>
  <c r="C101" i="45"/>
  <c r="N100" i="45"/>
  <c r="M100" i="45"/>
  <c r="L100" i="45"/>
  <c r="I100" i="45"/>
  <c r="H100" i="45"/>
  <c r="G100" i="45"/>
  <c r="C100" i="45"/>
  <c r="N99" i="45"/>
  <c r="M99" i="45"/>
  <c r="L99" i="45"/>
  <c r="I99" i="45"/>
  <c r="H99" i="45"/>
  <c r="G99" i="45"/>
  <c r="C99" i="45"/>
  <c r="N98" i="45"/>
  <c r="M98" i="45"/>
  <c r="L98" i="45"/>
  <c r="I98" i="45"/>
  <c r="H98" i="45"/>
  <c r="G98" i="45"/>
  <c r="C98" i="45"/>
  <c r="N97" i="45"/>
  <c r="M97" i="45"/>
  <c r="L97" i="45"/>
  <c r="I97" i="45"/>
  <c r="H97" i="45"/>
  <c r="G97" i="45"/>
  <c r="C97" i="45"/>
  <c r="N96" i="45"/>
  <c r="M96" i="45"/>
  <c r="L96" i="45"/>
  <c r="I96" i="45"/>
  <c r="H96" i="45"/>
  <c r="G96" i="45"/>
  <c r="C96" i="45"/>
  <c r="N95" i="45"/>
  <c r="M95" i="45"/>
  <c r="L95" i="45"/>
  <c r="I95" i="45"/>
  <c r="H95" i="45"/>
  <c r="G95" i="45"/>
  <c r="C95" i="45"/>
  <c r="N94" i="45"/>
  <c r="M94" i="45"/>
  <c r="L94" i="45"/>
  <c r="I94" i="45"/>
  <c r="H94" i="45"/>
  <c r="G94" i="45"/>
  <c r="C94" i="45"/>
  <c r="N93" i="45"/>
  <c r="M93" i="45"/>
  <c r="L93" i="45"/>
  <c r="I93" i="45"/>
  <c r="H93" i="45"/>
  <c r="G93" i="45"/>
  <c r="C93" i="45"/>
  <c r="N92" i="45"/>
  <c r="M92" i="45"/>
  <c r="L92" i="45"/>
  <c r="I92" i="45"/>
  <c r="H92" i="45"/>
  <c r="G92" i="45"/>
  <c r="C92" i="45"/>
  <c r="N91" i="45"/>
  <c r="M91" i="45"/>
  <c r="L91" i="45"/>
  <c r="I91" i="45"/>
  <c r="H91" i="45"/>
  <c r="G91" i="45"/>
  <c r="C91" i="45"/>
  <c r="N90" i="45"/>
  <c r="M90" i="45"/>
  <c r="L90" i="45"/>
  <c r="I90" i="45"/>
  <c r="H90" i="45"/>
  <c r="G90" i="45"/>
  <c r="C90" i="45"/>
  <c r="N89" i="45"/>
  <c r="M89" i="45"/>
  <c r="L89" i="45"/>
  <c r="I89" i="45"/>
  <c r="H89" i="45"/>
  <c r="G89" i="45"/>
  <c r="C89" i="45"/>
  <c r="N88" i="45"/>
  <c r="M88" i="45"/>
  <c r="L88" i="45"/>
  <c r="I88" i="45"/>
  <c r="H88" i="45"/>
  <c r="G88" i="45"/>
  <c r="C88" i="45"/>
  <c r="N87" i="45"/>
  <c r="M87" i="45"/>
  <c r="L87" i="45"/>
  <c r="I87" i="45"/>
  <c r="H87" i="45"/>
  <c r="G87" i="45"/>
  <c r="C87" i="45"/>
  <c r="N86" i="45"/>
  <c r="M86" i="45"/>
  <c r="L86" i="45"/>
  <c r="I86" i="45"/>
  <c r="H86" i="45"/>
  <c r="G86" i="45"/>
  <c r="C86" i="45"/>
  <c r="N85" i="45"/>
  <c r="M85" i="45"/>
  <c r="L85" i="45"/>
  <c r="I85" i="45"/>
  <c r="H85" i="45"/>
  <c r="G85" i="45"/>
  <c r="C85" i="45"/>
  <c r="N84" i="45"/>
  <c r="M84" i="45"/>
  <c r="L84" i="45"/>
  <c r="I84" i="45"/>
  <c r="H84" i="45"/>
  <c r="G84" i="45"/>
  <c r="C84" i="45"/>
  <c r="N83" i="45"/>
  <c r="M83" i="45"/>
  <c r="L83" i="45"/>
  <c r="I83" i="45"/>
  <c r="H83" i="45"/>
  <c r="G83" i="45"/>
  <c r="C83" i="45"/>
  <c r="N82" i="45"/>
  <c r="M82" i="45"/>
  <c r="L82" i="45"/>
  <c r="I82" i="45"/>
  <c r="H82" i="45"/>
  <c r="G82" i="45"/>
  <c r="C82" i="45"/>
  <c r="N81" i="45"/>
  <c r="M81" i="45"/>
  <c r="L81" i="45"/>
  <c r="I81" i="45"/>
  <c r="H81" i="45"/>
  <c r="G81" i="45"/>
  <c r="C81" i="45"/>
  <c r="N80" i="45"/>
  <c r="M80" i="45"/>
  <c r="L80" i="45"/>
  <c r="I80" i="45"/>
  <c r="H80" i="45"/>
  <c r="G80" i="45"/>
  <c r="C80" i="45"/>
  <c r="N79" i="45"/>
  <c r="M79" i="45"/>
  <c r="L79" i="45"/>
  <c r="I79" i="45"/>
  <c r="H79" i="45"/>
  <c r="G79" i="45"/>
  <c r="C79" i="45"/>
  <c r="N78" i="45"/>
  <c r="M78" i="45"/>
  <c r="L78" i="45"/>
  <c r="I78" i="45"/>
  <c r="H78" i="45"/>
  <c r="G78" i="45"/>
  <c r="C78" i="45"/>
  <c r="N77" i="45"/>
  <c r="M77" i="45"/>
  <c r="L77" i="45"/>
  <c r="I77" i="45"/>
  <c r="H77" i="45"/>
  <c r="G77" i="45"/>
  <c r="C77" i="45"/>
  <c r="N76" i="45"/>
  <c r="M76" i="45"/>
  <c r="L76" i="45"/>
  <c r="I76" i="45"/>
  <c r="H76" i="45"/>
  <c r="G76" i="45"/>
  <c r="C76" i="45"/>
  <c r="N75" i="45"/>
  <c r="M75" i="45"/>
  <c r="L75" i="45"/>
  <c r="I75" i="45"/>
  <c r="H75" i="45"/>
  <c r="G75" i="45"/>
  <c r="C75" i="45"/>
  <c r="N74" i="45"/>
  <c r="M74" i="45"/>
  <c r="L74" i="45"/>
  <c r="I74" i="45"/>
  <c r="H74" i="45"/>
  <c r="G74" i="45"/>
  <c r="C74" i="45"/>
  <c r="N73" i="45"/>
  <c r="M73" i="45"/>
  <c r="L73" i="45"/>
  <c r="I73" i="45"/>
  <c r="H73" i="45"/>
  <c r="G73" i="45"/>
  <c r="C73" i="45"/>
  <c r="N72" i="45"/>
  <c r="M72" i="45"/>
  <c r="L72" i="45"/>
  <c r="I72" i="45"/>
  <c r="H72" i="45"/>
  <c r="G72" i="45"/>
  <c r="C72" i="45"/>
  <c r="N71" i="45"/>
  <c r="M71" i="45"/>
  <c r="L71" i="45"/>
  <c r="I71" i="45"/>
  <c r="H71" i="45"/>
  <c r="G71" i="45"/>
  <c r="C71" i="45"/>
  <c r="N70" i="45"/>
  <c r="M70" i="45"/>
  <c r="L70" i="45"/>
  <c r="I70" i="45"/>
  <c r="H70" i="45"/>
  <c r="G70" i="45"/>
  <c r="C70" i="45"/>
  <c r="N69" i="45"/>
  <c r="M69" i="45"/>
  <c r="L69" i="45"/>
  <c r="I69" i="45"/>
  <c r="H69" i="45"/>
  <c r="G69" i="45"/>
  <c r="C69" i="45"/>
  <c r="N68" i="45"/>
  <c r="M68" i="45"/>
  <c r="L68" i="45"/>
  <c r="I68" i="45"/>
  <c r="H68" i="45"/>
  <c r="G68" i="45"/>
  <c r="C68" i="45"/>
  <c r="N67" i="45"/>
  <c r="M67" i="45"/>
  <c r="L67" i="45"/>
  <c r="I67" i="45"/>
  <c r="H67" i="45"/>
  <c r="G67" i="45"/>
  <c r="C67" i="45"/>
  <c r="N66" i="45"/>
  <c r="M66" i="45"/>
  <c r="L66" i="45"/>
  <c r="I66" i="45"/>
  <c r="H66" i="45"/>
  <c r="G66" i="45"/>
  <c r="C66" i="45"/>
  <c r="N65" i="45"/>
  <c r="M65" i="45"/>
  <c r="L65" i="45"/>
  <c r="I65" i="45"/>
  <c r="H65" i="45"/>
  <c r="G65" i="45"/>
  <c r="C65" i="45"/>
  <c r="N64" i="45"/>
  <c r="M64" i="45"/>
  <c r="L64" i="45"/>
  <c r="I64" i="45"/>
  <c r="H64" i="45"/>
  <c r="G64" i="45"/>
  <c r="C64" i="45"/>
  <c r="N63" i="45"/>
  <c r="M63" i="45"/>
  <c r="L63" i="45"/>
  <c r="I63" i="45"/>
  <c r="H63" i="45"/>
  <c r="G63" i="45"/>
  <c r="C63" i="45"/>
  <c r="N62" i="45"/>
  <c r="M62" i="45"/>
  <c r="L62" i="45"/>
  <c r="I62" i="45"/>
  <c r="H62" i="45"/>
  <c r="G62" i="45"/>
  <c r="C62" i="45"/>
  <c r="N61" i="45"/>
  <c r="M61" i="45"/>
  <c r="L61" i="45"/>
  <c r="I61" i="45"/>
  <c r="H61" i="45"/>
  <c r="G61" i="45"/>
  <c r="C61" i="45"/>
  <c r="N60" i="45"/>
  <c r="M60" i="45"/>
  <c r="L60" i="45"/>
  <c r="I60" i="45"/>
  <c r="H60" i="45"/>
  <c r="G60" i="45"/>
  <c r="C60" i="45"/>
  <c r="N59" i="45"/>
  <c r="M59" i="45"/>
  <c r="L59" i="45"/>
  <c r="I59" i="45"/>
  <c r="H59" i="45"/>
  <c r="G59" i="45"/>
  <c r="C59" i="45"/>
  <c r="N58" i="45"/>
  <c r="M58" i="45"/>
  <c r="L58" i="45"/>
  <c r="I58" i="45"/>
  <c r="H58" i="45"/>
  <c r="G58" i="45"/>
  <c r="C58" i="45"/>
  <c r="N57" i="45"/>
  <c r="M57" i="45"/>
  <c r="L57" i="45"/>
  <c r="I57" i="45"/>
  <c r="H57" i="45"/>
  <c r="G57" i="45"/>
  <c r="C57" i="45"/>
  <c r="N56" i="45"/>
  <c r="M56" i="45"/>
  <c r="L56" i="45"/>
  <c r="I56" i="45"/>
  <c r="H56" i="45"/>
  <c r="G56" i="45"/>
  <c r="C56" i="45"/>
  <c r="N55" i="45"/>
  <c r="M55" i="45"/>
  <c r="L55" i="45"/>
  <c r="I55" i="45"/>
  <c r="H55" i="45"/>
  <c r="G55" i="45"/>
  <c r="C55" i="45"/>
  <c r="N54" i="45"/>
  <c r="M54" i="45"/>
  <c r="L54" i="45"/>
  <c r="I54" i="45"/>
  <c r="H54" i="45"/>
  <c r="G54" i="45"/>
  <c r="C54" i="45"/>
  <c r="N53" i="45"/>
  <c r="M53" i="45"/>
  <c r="L53" i="45"/>
  <c r="I53" i="45"/>
  <c r="H53" i="45"/>
  <c r="G53" i="45"/>
  <c r="C53" i="45"/>
  <c r="N52" i="45"/>
  <c r="M52" i="45"/>
  <c r="L52" i="45"/>
  <c r="I52" i="45"/>
  <c r="H52" i="45"/>
  <c r="G52" i="45"/>
  <c r="C52" i="45"/>
  <c r="N51" i="45"/>
  <c r="M51" i="45"/>
  <c r="L51" i="45"/>
  <c r="I51" i="45"/>
  <c r="H51" i="45"/>
  <c r="G51" i="45"/>
  <c r="C51" i="45"/>
  <c r="N50" i="45"/>
  <c r="M50" i="45"/>
  <c r="L50" i="45"/>
  <c r="I50" i="45"/>
  <c r="H50" i="45"/>
  <c r="G50" i="45"/>
  <c r="C50" i="45"/>
  <c r="N49" i="45"/>
  <c r="M49" i="45"/>
  <c r="L49" i="45"/>
  <c r="I49" i="45"/>
  <c r="H49" i="45"/>
  <c r="G49" i="45"/>
  <c r="C49" i="45"/>
  <c r="N48" i="45"/>
  <c r="M48" i="45"/>
  <c r="L48" i="45"/>
  <c r="I48" i="45"/>
  <c r="H48" i="45"/>
  <c r="G48" i="45"/>
  <c r="C48" i="45"/>
  <c r="N47" i="45"/>
  <c r="M47" i="45"/>
  <c r="L47" i="45"/>
  <c r="I47" i="45"/>
  <c r="H47" i="45"/>
  <c r="G47" i="45"/>
  <c r="C47" i="45"/>
  <c r="N46" i="45"/>
  <c r="M46" i="45"/>
  <c r="L46" i="45"/>
  <c r="I46" i="45"/>
  <c r="H46" i="45"/>
  <c r="G46" i="45"/>
  <c r="C46" i="45"/>
  <c r="N45" i="45"/>
  <c r="M45" i="45"/>
  <c r="L45" i="45"/>
  <c r="I45" i="45"/>
  <c r="H45" i="45"/>
  <c r="G45" i="45"/>
  <c r="C45" i="45"/>
  <c r="N44" i="45"/>
  <c r="M44" i="45"/>
  <c r="L44" i="45"/>
  <c r="I44" i="45"/>
  <c r="H44" i="45"/>
  <c r="G44" i="45"/>
  <c r="C44" i="45"/>
  <c r="N43" i="45"/>
  <c r="M43" i="45"/>
  <c r="L43" i="45"/>
  <c r="I43" i="45"/>
  <c r="H43" i="45"/>
  <c r="G43" i="45"/>
  <c r="C43" i="45"/>
  <c r="N42" i="45"/>
  <c r="M42" i="45"/>
  <c r="L42" i="45"/>
  <c r="I42" i="45"/>
  <c r="H42" i="45"/>
  <c r="G42" i="45"/>
  <c r="C42" i="45"/>
  <c r="N41" i="45"/>
  <c r="M41" i="45"/>
  <c r="L41" i="45"/>
  <c r="I41" i="45"/>
  <c r="H41" i="45"/>
  <c r="G41" i="45"/>
  <c r="C41" i="45"/>
  <c r="N40" i="45"/>
  <c r="M40" i="45"/>
  <c r="L40" i="45"/>
  <c r="I40" i="45"/>
  <c r="H40" i="45"/>
  <c r="G40" i="45"/>
  <c r="C40" i="45"/>
  <c r="N39" i="45"/>
  <c r="M39" i="45"/>
  <c r="L39" i="45"/>
  <c r="I39" i="45"/>
  <c r="H39" i="45"/>
  <c r="G39" i="45"/>
  <c r="C39" i="45"/>
  <c r="N38" i="45"/>
  <c r="M38" i="45"/>
  <c r="L38" i="45"/>
  <c r="I38" i="45"/>
  <c r="H38" i="45"/>
  <c r="G38" i="45"/>
  <c r="C38" i="45"/>
  <c r="N37" i="45"/>
  <c r="M37" i="45"/>
  <c r="L37" i="45"/>
  <c r="I37" i="45"/>
  <c r="H37" i="45"/>
  <c r="G37" i="45"/>
  <c r="C37" i="45"/>
  <c r="N36" i="45"/>
  <c r="M36" i="45"/>
  <c r="L36" i="45"/>
  <c r="I36" i="45"/>
  <c r="H36" i="45"/>
  <c r="G36" i="45"/>
  <c r="C36" i="45"/>
  <c r="N35" i="45"/>
  <c r="M35" i="45"/>
  <c r="L35" i="45"/>
  <c r="I35" i="45"/>
  <c r="H35" i="45"/>
  <c r="G35" i="45"/>
  <c r="C35" i="45"/>
  <c r="N34" i="45"/>
  <c r="M34" i="45"/>
  <c r="L34" i="45"/>
  <c r="I34" i="45"/>
  <c r="H34" i="45"/>
  <c r="G34" i="45"/>
  <c r="C34" i="45"/>
  <c r="N33" i="45"/>
  <c r="M33" i="45"/>
  <c r="L33" i="45"/>
  <c r="I33" i="45"/>
  <c r="H33" i="45"/>
  <c r="G33" i="45"/>
  <c r="C33" i="45"/>
  <c r="N32" i="45"/>
  <c r="M32" i="45"/>
  <c r="L32" i="45"/>
  <c r="I32" i="45"/>
  <c r="H32" i="45"/>
  <c r="G32" i="45"/>
  <c r="C32" i="45"/>
  <c r="N31" i="45"/>
  <c r="M31" i="45"/>
  <c r="L31" i="45"/>
  <c r="I31" i="45"/>
  <c r="H31" i="45"/>
  <c r="G31" i="45"/>
  <c r="C31" i="45"/>
  <c r="N30" i="45"/>
  <c r="M30" i="45"/>
  <c r="L30" i="45"/>
  <c r="I30" i="45"/>
  <c r="H30" i="45"/>
  <c r="G30" i="45"/>
  <c r="C30" i="45"/>
  <c r="N29" i="45"/>
  <c r="M29" i="45"/>
  <c r="L29" i="45"/>
  <c r="I29" i="45"/>
  <c r="H29" i="45"/>
  <c r="G29" i="45"/>
  <c r="C29" i="45"/>
  <c r="N28" i="45"/>
  <c r="M28" i="45"/>
  <c r="L28" i="45"/>
  <c r="I28" i="45"/>
  <c r="H28" i="45"/>
  <c r="G28" i="45"/>
  <c r="C28" i="45"/>
  <c r="N27" i="45"/>
  <c r="M27" i="45"/>
  <c r="L27" i="45"/>
  <c r="I27" i="45"/>
  <c r="H27" i="45"/>
  <c r="G27" i="45"/>
  <c r="C27" i="45"/>
  <c r="N26" i="45"/>
  <c r="M26" i="45"/>
  <c r="L26" i="45"/>
  <c r="I26" i="45"/>
  <c r="H26" i="45"/>
  <c r="G26" i="45"/>
  <c r="C26" i="45"/>
  <c r="N25" i="45"/>
  <c r="M25" i="45"/>
  <c r="L25" i="45"/>
  <c r="I25" i="45"/>
  <c r="H25" i="45"/>
  <c r="G25" i="45"/>
  <c r="C25" i="45"/>
  <c r="N24" i="45"/>
  <c r="M24" i="45"/>
  <c r="L24" i="45"/>
  <c r="I24" i="45"/>
  <c r="H24" i="45"/>
  <c r="G24" i="45"/>
  <c r="C24" i="45"/>
  <c r="N23" i="45"/>
  <c r="M23" i="45"/>
  <c r="L23" i="45"/>
  <c r="I23" i="45"/>
  <c r="H23" i="45"/>
  <c r="G23" i="45"/>
  <c r="C23" i="45"/>
  <c r="N22" i="45"/>
  <c r="M22" i="45"/>
  <c r="L22" i="45"/>
  <c r="I22" i="45"/>
  <c r="H22" i="45"/>
  <c r="G22" i="45"/>
  <c r="C22" i="45"/>
  <c r="N21" i="45"/>
  <c r="M21" i="45"/>
  <c r="L21" i="45"/>
  <c r="I21" i="45"/>
  <c r="H21" i="45"/>
  <c r="G21" i="45"/>
  <c r="C21" i="45"/>
  <c r="N20" i="45"/>
  <c r="M20" i="45"/>
  <c r="L20" i="45"/>
  <c r="I20" i="45"/>
  <c r="H20" i="45"/>
  <c r="G20" i="45"/>
  <c r="C20" i="45"/>
  <c r="N19" i="45"/>
  <c r="M19" i="45"/>
  <c r="L19" i="45"/>
  <c r="I19" i="45"/>
  <c r="H19" i="45"/>
  <c r="G19" i="45"/>
  <c r="C19" i="45"/>
  <c r="N18" i="45"/>
  <c r="M18" i="45"/>
  <c r="L18" i="45"/>
  <c r="I18" i="45"/>
  <c r="H18" i="45"/>
  <c r="G18" i="45"/>
  <c r="C18" i="45"/>
  <c r="N17" i="45"/>
  <c r="M17" i="45"/>
  <c r="L17" i="45"/>
  <c r="I17" i="45"/>
  <c r="H17" i="45"/>
  <c r="G17" i="45"/>
  <c r="C17" i="45"/>
  <c r="N16" i="45"/>
  <c r="M16" i="45"/>
  <c r="L16" i="45"/>
  <c r="I16" i="45"/>
  <c r="H16" i="45"/>
  <c r="G16" i="45"/>
  <c r="C16" i="45"/>
  <c r="N15" i="45"/>
  <c r="M15" i="45"/>
  <c r="L15" i="45"/>
  <c r="I15" i="45"/>
  <c r="H15" i="45"/>
  <c r="G15" i="45"/>
  <c r="C15" i="45"/>
  <c r="N14" i="45"/>
  <c r="M14" i="45"/>
  <c r="L14" i="45"/>
  <c r="I14" i="45"/>
  <c r="H14" i="45"/>
  <c r="G14" i="45"/>
  <c r="C14" i="45"/>
  <c r="N13" i="45"/>
  <c r="M13" i="45"/>
  <c r="L13" i="45"/>
  <c r="I13" i="45"/>
  <c r="H13" i="45"/>
  <c r="G13" i="45"/>
  <c r="C13" i="45"/>
  <c r="N12" i="45"/>
  <c r="M12" i="45"/>
  <c r="L12" i="45"/>
  <c r="I12" i="45"/>
  <c r="H12" i="45"/>
  <c r="G12" i="45"/>
  <c r="C12" i="45"/>
  <c r="N11" i="45"/>
  <c r="M11" i="45"/>
  <c r="L11" i="45"/>
  <c r="I11" i="45"/>
  <c r="H11" i="45"/>
  <c r="G11" i="45"/>
  <c r="C11" i="45"/>
  <c r="N10" i="45"/>
  <c r="M10" i="45"/>
  <c r="L10" i="45"/>
  <c r="I10" i="45"/>
  <c r="H10" i="45"/>
  <c r="G10" i="45"/>
  <c r="C10" i="45"/>
  <c r="H4" i="45"/>
  <c r="H3" i="45"/>
  <c r="E358" i="45" l="1"/>
  <c r="L358" i="45"/>
  <c r="H324" i="45"/>
  <c r="H332" i="45"/>
  <c r="H340" i="45"/>
  <c r="H355" i="45"/>
  <c r="G358" i="45"/>
  <c r="H342" i="45"/>
  <c r="I345" i="45"/>
  <c r="I347" i="45"/>
  <c r="N348" i="45"/>
  <c r="I349" i="45"/>
  <c r="N350" i="45"/>
  <c r="I351" i="45"/>
  <c r="N352" i="45"/>
  <c r="I353" i="45"/>
  <c r="N354" i="45"/>
  <c r="I355" i="45"/>
  <c r="R61" i="4" l="1"/>
  <c r="R61" i="3"/>
  <c r="R61" i="2"/>
  <c r="B10" i="11"/>
  <c r="C10" i="11"/>
  <c r="D10" i="11"/>
  <c r="E10" i="11"/>
  <c r="H10" i="11"/>
  <c r="I10" i="11"/>
  <c r="B40" i="5"/>
  <c r="C40" i="5"/>
  <c r="F40" i="5" s="1"/>
  <c r="D40" i="5"/>
  <c r="E40" i="5"/>
  <c r="H40" i="5"/>
  <c r="I40" i="5"/>
  <c r="B18" i="5"/>
  <c r="F18" i="5" s="1"/>
  <c r="C18" i="5"/>
  <c r="D18" i="5"/>
  <c r="G18" i="5" s="1"/>
  <c r="E18" i="5"/>
  <c r="H18" i="5"/>
  <c r="I18" i="5"/>
  <c r="B14" i="19"/>
  <c r="C14" i="19"/>
  <c r="F14" i="19" s="1"/>
  <c r="D14" i="19"/>
  <c r="G14" i="19" s="1"/>
  <c r="E14" i="19"/>
  <c r="H14" i="19"/>
  <c r="I14" i="19"/>
  <c r="C32" i="18"/>
  <c r="D32" i="18"/>
  <c r="E32" i="18"/>
  <c r="F32" i="18"/>
  <c r="I32" i="18"/>
  <c r="J32" i="18"/>
  <c r="K32" i="18"/>
  <c r="L32" i="18"/>
  <c r="B25" i="17"/>
  <c r="C25" i="17"/>
  <c r="D25" i="17"/>
  <c r="E25" i="17"/>
  <c r="F25" i="17"/>
  <c r="H25" i="17"/>
  <c r="I25" i="17"/>
  <c r="B61" i="16"/>
  <c r="C61" i="16"/>
  <c r="D61" i="16"/>
  <c r="E61" i="16"/>
  <c r="H61" i="16"/>
  <c r="I61" i="16"/>
  <c r="G61" i="16" s="1"/>
  <c r="J61" i="16"/>
  <c r="K61" i="16"/>
  <c r="L61" i="16"/>
  <c r="M61" i="16"/>
  <c r="P61" i="16"/>
  <c r="Q61" i="16"/>
  <c r="O61" i="16" s="1"/>
  <c r="J8" i="12"/>
  <c r="J9" i="12"/>
  <c r="J10" i="12"/>
  <c r="J11" i="12"/>
  <c r="J12" i="12"/>
  <c r="J13" i="12"/>
  <c r="J14" i="12"/>
  <c r="K8" i="12"/>
  <c r="K9" i="12"/>
  <c r="K10" i="12"/>
  <c r="K11" i="12"/>
  <c r="K12" i="12"/>
  <c r="K13" i="12"/>
  <c r="K14" i="12"/>
  <c r="J28" i="12"/>
  <c r="J29" i="12"/>
  <c r="J30" i="12"/>
  <c r="J31" i="12"/>
  <c r="J32" i="12"/>
  <c r="J33" i="12"/>
  <c r="J34" i="12"/>
  <c r="J35" i="12"/>
  <c r="K28" i="12"/>
  <c r="K29" i="12"/>
  <c r="K30" i="12"/>
  <c r="K31" i="12"/>
  <c r="K32" i="12"/>
  <c r="K33" i="12"/>
  <c r="K34" i="12"/>
  <c r="K35" i="12"/>
  <c r="D178" i="14"/>
  <c r="E178" i="14"/>
  <c r="F178" i="14"/>
  <c r="G178" i="14"/>
  <c r="D214" i="36"/>
  <c r="E214" i="36"/>
  <c r="H214" i="36" s="1"/>
  <c r="F214" i="36"/>
  <c r="I214" i="36" s="1"/>
  <c r="G214" i="36"/>
  <c r="D213" i="35"/>
  <c r="E213" i="35"/>
  <c r="F213" i="35"/>
  <c r="G213" i="35"/>
  <c r="D215" i="10"/>
  <c r="E215" i="10"/>
  <c r="F215" i="10"/>
  <c r="G215" i="10"/>
  <c r="I215" i="10" s="1"/>
  <c r="B16" i="13"/>
  <c r="D9" i="13" s="1"/>
  <c r="C16" i="13"/>
  <c r="E11" i="13" s="1"/>
  <c r="F16" i="13"/>
  <c r="H9" i="13" s="1"/>
  <c r="G16" i="13"/>
  <c r="I15" i="13" s="1"/>
  <c r="E15" i="13"/>
  <c r="H8" i="13"/>
  <c r="J8" i="13"/>
  <c r="J9" i="13"/>
  <c r="J10" i="13"/>
  <c r="J11" i="13"/>
  <c r="J12" i="13"/>
  <c r="J13" i="13"/>
  <c r="J14" i="13"/>
  <c r="J15" i="13"/>
  <c r="C302" i="8"/>
  <c r="D302" i="8"/>
  <c r="L213" i="35" s="1"/>
  <c r="E302" i="8"/>
  <c r="K215" i="10" s="1"/>
  <c r="F302" i="8"/>
  <c r="M215" i="10" s="1"/>
  <c r="I302" i="8"/>
  <c r="J302" i="8"/>
  <c r="K302" i="8"/>
  <c r="L302" i="8"/>
  <c r="G302" i="8" l="1"/>
  <c r="E13" i="13"/>
  <c r="H213" i="35"/>
  <c r="L178" i="14"/>
  <c r="G25" i="17"/>
  <c r="I14" i="13"/>
  <c r="E12" i="13"/>
  <c r="G32" i="18"/>
  <c r="E14" i="13"/>
  <c r="I13" i="13"/>
  <c r="E10" i="13"/>
  <c r="F10" i="11"/>
  <c r="I10" i="13"/>
  <c r="E9" i="13"/>
  <c r="H12" i="13"/>
  <c r="E8" i="13"/>
  <c r="J214" i="36"/>
  <c r="M178" i="14"/>
  <c r="H302" i="8"/>
  <c r="I12" i="13"/>
  <c r="M214" i="36"/>
  <c r="G10" i="11"/>
  <c r="I11" i="13"/>
  <c r="J215" i="10"/>
  <c r="L214" i="36"/>
  <c r="K178" i="14"/>
  <c r="G40" i="5"/>
  <c r="M213" i="35"/>
  <c r="I9" i="13"/>
  <c r="I178" i="14"/>
  <c r="F61" i="16"/>
  <c r="I8" i="13"/>
  <c r="I213" i="35"/>
  <c r="J178" i="14"/>
  <c r="N61" i="16"/>
  <c r="H32" i="18"/>
  <c r="H178" i="14"/>
  <c r="K214" i="36"/>
  <c r="J213" i="35"/>
  <c r="K213" i="35"/>
  <c r="H215" i="10"/>
  <c r="L215" i="10"/>
  <c r="D12" i="13"/>
  <c r="D8" i="13"/>
  <c r="H14" i="13"/>
  <c r="H10" i="13"/>
  <c r="D14" i="13"/>
  <c r="D10" i="13"/>
  <c r="H15" i="13"/>
  <c r="H13" i="13"/>
  <c r="H11" i="13"/>
  <c r="D15" i="13"/>
  <c r="D13" i="13"/>
  <c r="D11" i="13"/>
  <c r="R49" i="4"/>
  <c r="S18" i="4"/>
  <c r="R18" i="4"/>
  <c r="R19" i="4"/>
  <c r="R60" i="3"/>
  <c r="R59" i="3"/>
  <c r="R58" i="3"/>
  <c r="R57" i="3"/>
  <c r="R56" i="3"/>
  <c r="R55" i="3"/>
  <c r="R54" i="3"/>
  <c r="R53" i="3"/>
  <c r="R52" i="3"/>
  <c r="R51" i="3"/>
  <c r="R50" i="3"/>
  <c r="R49" i="3"/>
  <c r="S18" i="3"/>
  <c r="R18" i="3"/>
  <c r="R19" i="3"/>
  <c r="P80" i="12"/>
  <c r="P79" i="12"/>
  <c r="P78" i="12"/>
  <c r="P77" i="12"/>
  <c r="P76" i="12"/>
  <c r="P75" i="12"/>
  <c r="P74" i="12"/>
  <c r="Q18" i="36"/>
  <c r="P18" i="36"/>
  <c r="Q18" i="35"/>
  <c r="P18" i="35"/>
  <c r="P19" i="35"/>
  <c r="S18" i="2"/>
  <c r="R18" i="2"/>
  <c r="P81" i="12" l="1"/>
  <c r="R19" i="2"/>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D16" i="13" l="1"/>
  <c r="I16" i="13"/>
  <c r="I29" i="1"/>
  <c r="H16" i="13" l="1"/>
  <c r="E16" i="13"/>
  <c r="I24" i="1"/>
  <c r="I31" i="1"/>
  <c r="I26" i="1"/>
  <c r="I23" i="1"/>
  <c r="I22" i="1"/>
  <c r="I19" i="1"/>
  <c r="I18" i="1" l="1"/>
  <c r="G29" i="1" l="1"/>
  <c r="F29" i="1"/>
  <c r="G24" i="1"/>
  <c r="F24" i="1"/>
  <c r="H29" i="1" l="1"/>
  <c r="H24" i="1"/>
  <c r="G15" i="12"/>
  <c r="F15" i="12"/>
  <c r="C15" i="12"/>
  <c r="B15" i="12"/>
  <c r="E9" i="12" l="1"/>
  <c r="E11" i="12"/>
  <c r="E13" i="12"/>
  <c r="E8" i="12"/>
  <c r="E10" i="12"/>
  <c r="E12" i="12"/>
  <c r="E14" i="12"/>
  <c r="D8" i="12"/>
  <c r="D10" i="12"/>
  <c r="D12" i="12"/>
  <c r="D14" i="12"/>
  <c r="D9" i="12"/>
  <c r="D11" i="12"/>
  <c r="D13" i="12"/>
  <c r="H8" i="12"/>
  <c r="H10" i="12"/>
  <c r="H12" i="12"/>
  <c r="H14" i="12"/>
  <c r="H9" i="12"/>
  <c r="H11" i="12"/>
  <c r="H13" i="12"/>
  <c r="I9" i="12"/>
  <c r="I11" i="12"/>
  <c r="I13" i="12"/>
  <c r="I8" i="12"/>
  <c r="I10" i="12"/>
  <c r="I12" i="12"/>
  <c r="I14" i="12"/>
  <c r="E15" i="12" l="1"/>
  <c r="H15" i="12"/>
  <c r="I15" i="12"/>
  <c r="D15" i="12"/>
  <c r="B36" i="12" l="1"/>
  <c r="D29" i="12" l="1"/>
  <c r="D31" i="12"/>
  <c r="D33" i="12"/>
  <c r="D35" i="12"/>
  <c r="D28" i="12"/>
  <c r="D30" i="12"/>
  <c r="D32" i="12"/>
  <c r="D34" i="12"/>
  <c r="Q80" i="12" l="1"/>
  <c r="G36" i="12" l="1"/>
  <c r="F36" i="12"/>
  <c r="C36" i="12"/>
  <c r="D36" i="12"/>
  <c r="E29" i="12" l="1"/>
  <c r="E31" i="12"/>
  <c r="E33" i="12"/>
  <c r="E35" i="12"/>
  <c r="E28" i="12"/>
  <c r="E30" i="12"/>
  <c r="E32" i="12"/>
  <c r="E34" i="12"/>
  <c r="I29" i="12"/>
  <c r="I31" i="12"/>
  <c r="I33" i="12"/>
  <c r="I35" i="12"/>
  <c r="I28" i="12"/>
  <c r="I30" i="12"/>
  <c r="I32" i="12"/>
  <c r="I34" i="12"/>
  <c r="H29" i="12"/>
  <c r="H31" i="12"/>
  <c r="H33" i="12"/>
  <c r="H35" i="12"/>
  <c r="H28" i="12"/>
  <c r="H30" i="12"/>
  <c r="H32" i="12"/>
  <c r="H34" i="12"/>
  <c r="H36" i="12"/>
  <c r="J36" i="12"/>
  <c r="E36" i="12"/>
  <c r="I36" i="12"/>
  <c r="K36" i="12"/>
  <c r="J5" i="16" l="1"/>
  <c r="B5" i="16"/>
  <c r="E6" i="11" l="1"/>
  <c r="D6" i="11"/>
  <c r="C6" i="11"/>
  <c r="B6" i="11"/>
  <c r="E30" i="5"/>
  <c r="D30" i="5"/>
  <c r="C30" i="5"/>
  <c r="B30" i="5"/>
  <c r="E6" i="5"/>
  <c r="D6" i="5"/>
  <c r="C6" i="5"/>
  <c r="B6" i="5"/>
  <c r="E6" i="19"/>
  <c r="D6" i="19"/>
  <c r="C6" i="19"/>
  <c r="B6" i="19"/>
  <c r="E6" i="17"/>
  <c r="D6" i="17"/>
  <c r="C6" i="17"/>
  <c r="B6" i="17"/>
  <c r="E6" i="20"/>
  <c r="D6" i="20"/>
  <c r="C6" i="20"/>
  <c r="B6" i="20"/>
  <c r="C7" i="16"/>
  <c r="B7" i="16"/>
  <c r="G26" i="12"/>
  <c r="F26" i="12"/>
  <c r="C26" i="12"/>
  <c r="B26" i="12"/>
  <c r="G6" i="12"/>
  <c r="F6" i="12"/>
  <c r="C6" i="12"/>
  <c r="B6" i="12"/>
  <c r="G6" i="14"/>
  <c r="F6" i="14"/>
  <c r="E6" i="14"/>
  <c r="D6" i="14"/>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G6" i="20"/>
  <c r="F6" i="20"/>
  <c r="Q7" i="16"/>
  <c r="P7" i="16"/>
  <c r="I26" i="12"/>
  <c r="K26" i="12"/>
  <c r="E26" i="12"/>
  <c r="J26" i="12"/>
  <c r="H6" i="12"/>
  <c r="I6" i="12"/>
  <c r="K6" i="12"/>
  <c r="D6" i="12"/>
  <c r="E6" i="12"/>
  <c r="J6" i="12"/>
  <c r="M6" i="14"/>
  <c r="I6" i="14"/>
  <c r="L6" i="14"/>
  <c r="H6" i="14"/>
  <c r="M39" i="36"/>
  <c r="K39" i="36"/>
  <c r="L39" i="36"/>
  <c r="J39" i="36"/>
  <c r="M38" i="35"/>
  <c r="I38" i="35"/>
  <c r="L38" i="35"/>
  <c r="H38" i="35"/>
  <c r="M40" i="10"/>
  <c r="I40" i="10"/>
  <c r="L40" i="10"/>
  <c r="H40" i="10"/>
  <c r="I6" i="13"/>
  <c r="H6" i="13"/>
  <c r="E6" i="13"/>
  <c r="D6" i="13"/>
  <c r="I6" i="21"/>
  <c r="H6" i="21"/>
  <c r="F6" i="21"/>
  <c r="L6" i="8"/>
  <c r="J6" i="8"/>
  <c r="K6" i="8"/>
  <c r="I6" i="8"/>
  <c r="G6" i="21" l="1"/>
  <c r="H6" i="8"/>
  <c r="J38" i="35"/>
  <c r="J6" i="14"/>
  <c r="I39" i="36"/>
  <c r="G6" i="17"/>
  <c r="G6" i="11"/>
  <c r="G30" i="5"/>
  <c r="G6" i="5"/>
  <c r="G6" i="19"/>
  <c r="F7" i="16"/>
  <c r="J7" i="16"/>
  <c r="N7" i="16"/>
  <c r="G7" i="16"/>
  <c r="K7" i="16"/>
  <c r="O7" i="16"/>
  <c r="D7" i="16"/>
  <c r="H7" i="16"/>
  <c r="L7" i="16"/>
  <c r="E7" i="16"/>
  <c r="I7" i="16"/>
  <c r="M7" i="16"/>
  <c r="D26" i="12"/>
  <c r="H26" i="12"/>
  <c r="K6" i="14"/>
  <c r="H39" i="36"/>
  <c r="K38" i="35"/>
  <c r="J40" i="10"/>
  <c r="K40" i="10"/>
  <c r="G6" i="8"/>
  <c r="R60" i="4" l="1"/>
  <c r="R59" i="4"/>
  <c r="R58" i="4"/>
  <c r="R57" i="4"/>
  <c r="R56" i="4"/>
  <c r="R55" i="4"/>
  <c r="R54" i="4"/>
  <c r="R53" i="4"/>
  <c r="R52" i="4"/>
  <c r="R51" i="4"/>
  <c r="R50" i="4"/>
  <c r="R48" i="2"/>
  <c r="R47" i="2"/>
  <c r="R46" i="2"/>
  <c r="R45" i="2"/>
  <c r="R44" i="2"/>
  <c r="R43" i="2"/>
  <c r="R42" i="2"/>
  <c r="R41" i="2"/>
  <c r="R40" i="2"/>
  <c r="R39" i="2"/>
  <c r="R38" i="2"/>
  <c r="Q19" i="36" l="1"/>
  <c r="P19" i="36"/>
  <c r="R18" i="36"/>
  <c r="R18" i="35" l="1"/>
  <c r="Q19" i="35"/>
  <c r="O55" i="12" l="1"/>
  <c r="G12" i="1" l="1"/>
  <c r="F12" i="1"/>
  <c r="G31" i="1"/>
  <c r="G30" i="1" s="1"/>
  <c r="F31" i="1"/>
  <c r="F30" i="1" s="1"/>
  <c r="G19" i="1"/>
  <c r="F19" i="1"/>
  <c r="F23" i="1"/>
  <c r="F26" i="1"/>
  <c r="G22" i="1"/>
  <c r="G23" i="1"/>
  <c r="G26" i="1"/>
  <c r="F22" i="1"/>
  <c r="G25" i="1" l="1"/>
  <c r="F25" i="1"/>
  <c r="H30" i="1"/>
  <c r="H22" i="1"/>
  <c r="H23" i="1"/>
  <c r="H31" i="1"/>
  <c r="H26" i="1"/>
  <c r="H19" i="1"/>
  <c r="H25" i="1" l="1"/>
  <c r="S25" i="2" l="1"/>
  <c r="T18" i="2" l="1"/>
  <c r="T18" i="4" l="1"/>
  <c r="T18" i="3"/>
  <c r="N47" i="12" l="1"/>
  <c r="L30" i="13"/>
  <c r="R18" i="10" l="1"/>
  <c r="S19" i="4" l="1"/>
  <c r="S19" i="3"/>
  <c r="S19" i="2"/>
  <c r="R37" i="2" l="1"/>
  <c r="Q73" i="12" l="1"/>
  <c r="F6" i="18"/>
  <c r="L6" i="18" s="1"/>
  <c r="E6" i="18"/>
  <c r="J6" i="18" s="1"/>
  <c r="D6" i="18"/>
  <c r="K6" i="18" s="1"/>
  <c r="C6" i="18"/>
  <c r="I6" i="18" s="1"/>
  <c r="Q79" i="12"/>
  <c r="Q78" i="12"/>
  <c r="Q77" i="12"/>
  <c r="Q76" i="12"/>
  <c r="Q75" i="12"/>
  <c r="Q74" i="12"/>
  <c r="Q81" i="12" l="1"/>
  <c r="G6" i="18"/>
  <c r="H6" i="18"/>
  <c r="J15" i="12" l="1"/>
  <c r="O49" i="12"/>
  <c r="O51" i="12"/>
  <c r="O53" i="12"/>
  <c r="O50" i="12"/>
  <c r="O52" i="12"/>
  <c r="O54" i="12"/>
  <c r="K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5000000}" keepAlive="1" name="bdsql12 BDnewRegistrations getAggKlimatBonusModels" type="5" refreshedVersion="4" minRefreshableVersion="3" savePassword="1" deleted="1" saveData="1">
    <dbPr connection="" command=""/>
  </connection>
  <connection id="7" xr16:uid="{00000000-0015-0000-FFFF-FFFF06000000}" keepAlive="1" name="bdsql12 BDnewRegistrations getAggLB" type="5" refreshedVersion="4" savePassword="1" deleted="1" saveData="1">
    <dbPr connection="" command=""/>
  </connection>
  <connection id="8" xr16:uid="{00000000-0015-0000-FFFF-FFFF07000000}" keepAlive="1" name="bdsql12 BDnewRegistrations getAggLBbyWeigth" type="5" refreshedVersion="4" savePassword="1" deleted="1" saveData="1">
    <dbPr connection="" command=""/>
  </connection>
  <connection id="9" xr16:uid="{00000000-0015-0000-FFFF-FFFF08000000}" keepAlive="1" name="bdsql12 BDnewRegistrations getAggMakes2" type="5" refreshedVersion="4" minRefreshableVersion="3" savePassword="1" deleted="1" saveData="1">
    <dbPr connection="" command=""/>
  </connection>
  <connection id="10" xr16:uid="{00000000-0015-0000-FFFF-FFFF09000000}" keepAlive="1" name="bdsql12 BDnewRegistrations getAggModels PB" type="5" refreshedVersion="4" savePassword="1" deleted="1" saveData="1">
    <dbPr connection="" command=""/>
  </connection>
  <connection id="11" xr16:uid="{00000000-0015-0000-FFFF-FFFF0A000000}" keepAlive="1" name="bdsql12 BDnewRegistrations getAggModelsFuelType LLB" type="5" refreshedVersion="4" savePassword="1" deleted="1" saveData="1">
    <dbPr connection="" command=""/>
  </connection>
  <connection id="12" xr16:uid="{00000000-0015-0000-FFFF-FFFF0B000000}" keepAlive="1" name="bdsql12 BDnewRegistrations getAggPBCO2Emissions" type="5" refreshedVersion="4" savePassword="1" deleted="1" saveData="1">
    <dbPr connection="" command=""/>
  </connection>
  <connection id="13" xr16:uid="{00000000-0015-0000-FFFF-FFFF0C000000}" keepAlive="1" name="bdsql12 BDnewRegistrations getAggPBCO2EmissionsWLTP" type="5" refreshedVersion="4" savePassword="1" deleted="1" saveData="1">
    <dbPr connection="" command=""/>
  </connection>
  <connection id="14" xr16:uid="{00000000-0015-0000-FFFF-FFFF0D000000}" keepAlive="1" name="bdsql12 BDnewRegistrations getAggPBFuelTypes" type="5" refreshedVersion="4" savePassword="1" deleted="1" saveData="1">
    <dbPr connection="" command=""/>
  </connection>
  <connection id="15" xr16:uid="{00000000-0015-0000-FFFF-FFFF0E000000}" keepAlive="1" name="bdsql12 BDnewRegistrations getAggRechargeModelsII" type="5" refreshedVersion="4" savePassword="1" deleted="1" saveData="1">
    <dbPr connection="" command=""/>
  </connection>
  <connection id="16" xr16:uid="{00000000-0015-0000-FFFF-FFFF0F000000}" keepAlive="1" name="bdsql12 BDnewRegistrations getAggRechargeModelsII1" type="5" refreshedVersion="4" savePassword="1" deleted="1" saveData="1">
    <dbPr connection="" command=""/>
  </connection>
  <connection id="17" xr16:uid="{00000000-0015-0000-FFFF-FFFF10000000}" keepAlive="1" name="bdsql12 BDnewRegistrations getAggRechargeModelsII11" type="5" refreshedVersion="4" savePassword="1" deleted="1" saveData="1">
    <dbPr connection="" command=""/>
  </connection>
  <connection id="18" xr16:uid="{00000000-0015-0000-FFFF-FFFF11000000}" keepAlive="1" name="bdsql12 BDnewRegistrations getAggTotalCO2" type="5" refreshedVersion="4" minRefreshableVersion="3" savePassword="1" deleted="1" saveData="1">
    <dbPr connection="" command=""/>
  </connection>
  <connection id="19" xr16:uid="{00000000-0015-0000-FFFF-FFFF12000000}" keepAlive="1" name="bdsql12 Transportstyrelsen sumPrelNyregImportBUSS" type="5" refreshedVersion="4" savePassword="1" deleted="1" saveData="1">
    <dbPr connection="" command=""/>
  </connection>
  <connection id="20"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<sst xmlns="http://schemas.openxmlformats.org/spreadsheetml/2006/main" count="3033" uniqueCount="1188">
  <si>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</si>
  <si>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</si>
  <si>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</si>
  <si>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</si>
  <si>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</si>
  <si>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</si>
  <si>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</si>
  <si>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</si>
  <si>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</si>
  <si>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</si>
  <si>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</si>
  <si>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</si>
  <si>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</si>
  <si>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</si>
  <si>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</si>
  <si>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</si>
  <si>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Nyregistrerade tunga lastbilar &gt;16 ton per månad</t>
  </si>
  <si>
    <t>61-95 g</t>
  </si>
  <si>
    <t>96-120 g</t>
  </si>
  <si>
    <t>Över 140 g</t>
  </si>
  <si>
    <t>Bensin</t>
  </si>
  <si>
    <t>Diesel</t>
  </si>
  <si>
    <t>Elhybrid</t>
  </si>
  <si>
    <t>Laddhybrid</t>
  </si>
  <si>
    <t>El</t>
  </si>
  <si>
    <t>Gas</t>
  </si>
  <si>
    <t>Etanol</t>
  </si>
  <si>
    <t>Nyregistrerade personbilar fördelat på koldioxidutsläpp</t>
  </si>
  <si>
    <t>61-95g</t>
  </si>
  <si>
    <t>96-120g</t>
  </si>
  <si>
    <t>121-130g</t>
  </si>
  <si>
    <t>131-140g</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</si>
  <si>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</si>
  <si>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</si>
  <si>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</si>
  <si>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</si>
  <si>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</si>
  <si>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</si>
  <si>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</si>
  <si>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</si>
  <si>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</si>
  <si>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</si>
  <si>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</si>
  <si>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</si>
  <si>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</si>
  <si>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</si>
  <si>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</si>
  <si>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</si>
  <si>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</si>
  <si>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</si>
  <si>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</si>
  <si>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</si>
  <si>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</si>
  <si>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</si>
  <si>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</si>
  <si>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</si>
  <si>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</si>
  <si>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</si>
  <si>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</si>
  <si>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</si>
  <si>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</si>
  <si>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</si>
  <si>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</si>
  <si>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</si>
  <si>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</si>
  <si>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</si>
  <si>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</si>
  <si>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</si>
  <si>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</si>
  <si>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</si>
  <si>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</si>
  <si>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</si>
  <si>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</si>
  <si>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</si>
  <si>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</si>
  <si>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</si>
  <si>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</si>
  <si>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</si>
  <si>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</si>
  <si>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</si>
  <si>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</si>
  <si>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</si>
  <si>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</si>
  <si>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</si>
  <si>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</si>
  <si>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</si>
  <si>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</si>
  <si>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</si>
  <si>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</si>
  <si>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</si>
  <si>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</si>
  <si>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</si>
  <si>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</si>
  <si>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</si>
  <si>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</si>
  <si>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</si>
  <si>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</si>
  <si>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</si>
  <si>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</si>
  <si>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</si>
  <si>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</si>
  <si>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</si>
  <si>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</si>
  <si>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</si>
  <si>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</si>
  <si>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</si>
  <si>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</si>
  <si>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</si>
  <si>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</si>
  <si>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</si>
  <si>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</si>
  <si>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</si>
  <si>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</si>
  <si>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</si>
  <si>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</si>
  <si>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</si>
  <si>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</si>
  <si>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</si>
  <si>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</si>
  <si>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</si>
  <si>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</si>
  <si>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</si>
  <si>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</si>
  <si>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</si>
  <si>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LEXUS</t>
  </si>
  <si>
    <t xml:space="preserve">HONDA CIVIC             </t>
  </si>
  <si>
    <t xml:space="preserve">HONDA CR-V              </t>
  </si>
  <si>
    <t>HYUNDAI TUCSON</t>
  </si>
  <si>
    <t>SUBARU XV</t>
  </si>
  <si>
    <t>DACIA SANDERO</t>
  </si>
  <si>
    <t>BMW X5</t>
  </si>
  <si>
    <t>LEXUS NX300H</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</si>
  <si>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</si>
  <si>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</si>
  <si>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</si>
  <si>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</si>
  <si>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</si>
  <si>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</si>
  <si>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</si>
  <si>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</si>
  <si>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</si>
  <si>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</si>
  <si>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</si>
  <si>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</si>
  <si>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</si>
  <si>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</si>
  <si>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</si>
  <si>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</si>
  <si>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</si>
  <si>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</si>
  <si>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</si>
  <si>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</si>
  <si>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</si>
  <si>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</si>
  <si>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</si>
  <si>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</si>
  <si>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</si>
  <si>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</si>
  <si>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</si>
  <si>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</si>
  <si>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</si>
  <si>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</si>
  <si>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</si>
  <si>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</si>
  <si>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</si>
  <si>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</si>
  <si>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</si>
  <si>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</si>
  <si>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</si>
  <si>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</si>
  <si>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</si>
  <si>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</si>
  <si>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</si>
  <si>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</si>
  <si>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</si>
  <si>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</si>
  <si>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</si>
  <si>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</si>
  <si>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</si>
  <si>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</si>
  <si>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</si>
  <si>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</si>
  <si>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</si>
  <si>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</si>
  <si>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</si>
  <si>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</si>
  <si>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</si>
  <si>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</si>
  <si>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</si>
  <si>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</si>
  <si>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</si>
  <si>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</si>
  <si>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</si>
  <si>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</si>
  <si>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</si>
  <si>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</si>
  <si>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</si>
  <si>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</si>
  <si>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</si>
  <si>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</si>
  <si>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</si>
  <si>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</si>
  <si>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</si>
  <si>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</si>
  <si>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</si>
  <si>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</si>
  <si>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</si>
  <si>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</si>
  <si>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</si>
  <si>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</si>
  <si>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</si>
  <si>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</si>
  <si>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</si>
  <si>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</si>
  <si>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</si>
  <si>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</si>
  <si>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</si>
  <si>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</si>
  <si>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</si>
  <si>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</si>
  <si>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</si>
  <si>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</si>
  <si>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</si>
  <si>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</si>
  <si>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</si>
  <si>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</si>
  <si>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</si>
  <si>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</si>
  <si>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</si>
  <si>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</si>
  <si>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</si>
  <si>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</si>
  <si>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</si>
  <si>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</si>
  <si>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</si>
  <si>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</si>
  <si>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</si>
  <si>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</si>
  <si>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</si>
  <si>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</si>
  <si>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</si>
  <si>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</si>
  <si>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</si>
  <si>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</si>
  <si>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</si>
  <si>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</si>
  <si>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</si>
  <si>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</si>
  <si>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</si>
  <si>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</si>
  <si>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</si>
  <si>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Nyregistreringar klimatbonusbilar</t>
  </si>
  <si>
    <t>SEAT LEON STYLE</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</si>
  <si>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</si>
  <si>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</si>
  <si>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</si>
  <si>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</si>
  <si>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</si>
  <si>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</si>
  <si>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</si>
  <si>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</si>
  <si>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</si>
  <si>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</si>
  <si>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</si>
  <si>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</si>
  <si>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</si>
  <si>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</si>
  <si>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</si>
  <si>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</si>
  <si>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</si>
  <si>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</si>
  <si>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</si>
  <si>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</si>
  <si>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</si>
  <si>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</si>
  <si>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</si>
  <si>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</si>
  <si>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</si>
  <si>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</si>
  <si>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</si>
  <si>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</si>
  <si>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</si>
  <si>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</si>
  <si>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</si>
  <si>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</si>
  <si>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</si>
  <si>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</si>
  <si>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</si>
  <si>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</si>
  <si>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</si>
  <si>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</si>
  <si>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</si>
  <si>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</si>
  <si>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</si>
  <si>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</si>
  <si>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</si>
  <si>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</si>
  <si>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</si>
  <si>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</si>
  <si>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</si>
  <si>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</si>
  <si>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</si>
  <si>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</si>
  <si>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</si>
  <si>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</si>
  <si>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</si>
  <si>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</si>
  <si>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</si>
  <si>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</si>
  <si>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</si>
  <si>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</si>
  <si>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</si>
  <si>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Nyregistrerade tunga lastbilar över 16 ton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</si>
  <si>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</si>
  <si>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</si>
  <si>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</si>
  <si>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</si>
  <si>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</si>
  <si>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</si>
  <si>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</si>
  <si>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</si>
  <si>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</si>
  <si>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</si>
  <si>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</si>
  <si>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</si>
  <si>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</si>
  <si>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</si>
  <si>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</si>
  <si>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</si>
  <si>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</si>
  <si>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</si>
  <si>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</si>
  <si>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</si>
  <si>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</si>
  <si>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</si>
  <si>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</si>
  <si>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</si>
  <si>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</si>
  <si>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</si>
  <si>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</si>
  <si>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</si>
  <si>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</si>
  <si>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</si>
  <si>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</si>
  <si>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</si>
  <si>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</si>
  <si>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</si>
  <si>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</si>
  <si>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</si>
  <si>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</si>
  <si>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</si>
  <si>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</si>
  <si>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</si>
  <si>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Nyregistreringar personbilar fördelat på CO2-utsläpp (enl. NEDC)</t>
  </si>
  <si>
    <t>61 - 95g</t>
  </si>
  <si>
    <t>96 - 120g</t>
  </si>
  <si>
    <t>121 - 130g</t>
  </si>
  <si>
    <t>131 - 140g</t>
  </si>
  <si>
    <t>Statistiken baseras på den av tillverkaren angivna certifierade koldioxidvärdena enligt NEDC, för både innevarande och föregående år, för att få jämförbarhet.</t>
  </si>
  <si>
    <t>co2utsläpp</t>
  </si>
  <si>
    <t>Column6</t>
  </si>
  <si>
    <t>121-130 g</t>
  </si>
  <si>
    <t>131-140 g</t>
  </si>
  <si>
    <t>perioden</t>
  </si>
  <si>
    <t>perioden fg. År</t>
  </si>
  <si>
    <t>acc innev. År</t>
  </si>
  <si>
    <t>acc fg. År</t>
  </si>
  <si>
    <t>året</t>
  </si>
  <si>
    <t>fg. År</t>
  </si>
  <si>
    <t>månaden</t>
  </si>
  <si>
    <t>månFrånTill</t>
  </si>
  <si>
    <t>MERCEDES C-KLASS (205)</t>
  </si>
  <si>
    <t>Nyregistrerade personbilar per CO2-utsläpp (NEDC-värden)</t>
  </si>
  <si>
    <t>B.5 Fabrikatlista TLB</t>
  </si>
  <si>
    <t>Mercedes-Benz Sverige</t>
  </si>
  <si>
    <t>SEAT LEON ST STYLE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</si>
  <si>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</si>
  <si>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</si>
  <si>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</si>
  <si>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</si>
  <si>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</si>
  <si>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</si>
  <si>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</si>
  <si>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</si>
  <si>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</si>
  <si>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</si>
  <si>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</si>
  <si>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</si>
  <si>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</si>
  <si>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</si>
  <si>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</si>
  <si>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</si>
  <si>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</si>
  <si>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CO2-utsläpp nya personbilar per månad</t>
  </si>
  <si>
    <t xml:space="preserve">FORD PUMA               </t>
  </si>
  <si>
    <t>MERCEDES Sprinter</t>
  </si>
  <si>
    <t>DS 3</t>
  </si>
  <si>
    <t>KIA CEED SW PLUG-IN HYBR</t>
  </si>
  <si>
    <t>BMW X3 30E XDRIVE</t>
  </si>
  <si>
    <t>AUDI Q5 TFSIE</t>
  </si>
  <si>
    <t>MERCEDES A-KLASS (177)</t>
  </si>
  <si>
    <t>FORD KUGA PLUG-IN</t>
  </si>
  <si>
    <t>DS 7 CROSSBACK</t>
  </si>
  <si>
    <t>AUDI A4 G-TRON</t>
  </si>
  <si>
    <t>Mercedes</t>
  </si>
  <si>
    <t>noRegs</t>
  </si>
  <si>
    <t>avgCO2</t>
  </si>
  <si>
    <t>TOYOTA PROACE CITY</t>
  </si>
  <si>
    <t>KIA XCEED PLUG-IN HYBRID</t>
  </si>
  <si>
    <t>AUDI A5 SPORTBACK</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</si>
  <si>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</si>
  <si>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</si>
  <si>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</si>
  <si>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</si>
  <si>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</si>
  <si>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</si>
  <si>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</si>
  <si>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</si>
  <si>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</si>
  <si>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</si>
  <si>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</si>
  <si>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</si>
  <si>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</si>
  <si>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</si>
  <si>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</si>
  <si>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</si>
  <si>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</si>
  <si>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</si>
  <si>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</si>
  <si>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</si>
  <si>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</si>
  <si>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</si>
  <si>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</si>
  <si>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</si>
  <si>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</si>
  <si>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SEAT ARONA STYLE</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</si>
  <si>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</si>
  <si>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</si>
  <si>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</si>
  <si>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</si>
  <si>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</si>
  <si>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</si>
  <si>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</si>
  <si>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</si>
  <si>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</si>
  <si>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</si>
  <si>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</si>
  <si>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</si>
  <si>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</si>
  <si>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</si>
  <si>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</si>
  <si>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</si>
  <si>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</si>
  <si>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</si>
  <si>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</si>
  <si>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</si>
  <si>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</si>
  <si>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</si>
  <si>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</si>
  <si>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</si>
  <si>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</si>
  <si>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</si>
  <si>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</si>
  <si>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</si>
  <si>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SKODA OCTAVIA G-TEC CNG</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</si>
  <si>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</si>
  <si>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</si>
  <si>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</si>
  <si>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</si>
  <si>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</si>
  <si>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</si>
  <si>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</si>
  <si>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</si>
  <si>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</si>
  <si>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</si>
  <si>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</si>
  <si>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</si>
  <si>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</si>
  <si>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</si>
  <si>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</si>
  <si>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</si>
  <si>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</si>
  <si>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</si>
  <si>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</si>
  <si>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</si>
  <si>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</si>
  <si>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</si>
  <si>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</si>
  <si>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</si>
  <si>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</si>
  <si>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</si>
  <si>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</si>
  <si>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</si>
  <si>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</si>
  <si>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</si>
  <si>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</si>
  <si>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</si>
  <si>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Nyregistreringar lätta lastbilar (&lt; 3,5 ton) per fabrikat</t>
  </si>
  <si>
    <t>Nyregistreringar eldrivna lätta lastbilar,  högst 3,5 ton</t>
  </si>
  <si>
    <t>Modell</t>
  </si>
  <si>
    <t>Nyregistreringar tunga lastbilar (över 16 ton) per fabrikat</t>
  </si>
  <si>
    <t>Mercedes Benz</t>
  </si>
  <si>
    <t>Scania</t>
  </si>
  <si>
    <t>Nyregistreringsstatistik</t>
  </si>
  <si>
    <t>Drivmedel</t>
  </si>
  <si>
    <t>Utsläpp</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</si>
  <si>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</si>
  <si>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</si>
  <si>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</si>
  <si>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</si>
  <si>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</si>
  <si>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</si>
  <si>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</si>
  <si>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</si>
  <si>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</si>
  <si>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</si>
  <si>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</si>
  <si>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</si>
  <si>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</si>
  <si>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</si>
  <si>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</si>
  <si>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</si>
  <si>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</si>
  <si>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</si>
  <si>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</si>
  <si>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</si>
  <si>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</si>
  <si>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</si>
  <si>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</si>
  <si>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</si>
  <si>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</si>
  <si>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</si>
  <si>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</si>
  <si>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</si>
  <si>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VW GOLF TGI</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</si>
  <si>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</si>
  <si>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</si>
  <si>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</si>
  <si>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</si>
  <si>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</si>
  <si>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</si>
  <si>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</si>
  <si>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</si>
  <si>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</si>
  <si>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</si>
  <si>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</si>
  <si>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</si>
  <si>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</si>
  <si>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</si>
  <si>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</si>
  <si>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</si>
  <si>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</si>
  <si>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</si>
  <si>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</si>
  <si>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</si>
  <si>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</si>
  <si>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</si>
  <si>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</si>
  <si>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</si>
  <si>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</si>
  <si>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</si>
  <si>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</si>
  <si>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</si>
  <si>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</si>
  <si>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</si>
  <si>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</si>
  <si>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</si>
  <si>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</si>
  <si>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</si>
  <si>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</si>
  <si>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</si>
  <si>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</si>
  <si>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</si>
  <si>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</si>
  <si>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</si>
  <si>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</si>
  <si>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</si>
  <si>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</si>
  <si>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</si>
  <si>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</si>
  <si>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</si>
  <si>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</si>
  <si>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</si>
  <si>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</si>
  <si>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</si>
  <si>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</si>
  <si>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</si>
  <si>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</si>
  <si>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</si>
  <si>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</si>
  <si>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</si>
  <si>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</si>
  <si>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</si>
  <si>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</si>
  <si>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</si>
  <si>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</si>
  <si>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</si>
  <si>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</si>
  <si>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</si>
  <si>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</si>
  <si>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</si>
  <si>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</si>
  <si>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</si>
  <si>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</si>
  <si>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</si>
  <si>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</si>
  <si>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</si>
  <si>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</si>
  <si>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</si>
  <si>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</si>
  <si>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</si>
  <si>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Högst  3,5 ton</t>
  </si>
  <si>
    <t>Över  16,0 ton</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</si>
  <si>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</si>
  <si>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</si>
  <si>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</si>
  <si>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</si>
  <si>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</si>
  <si>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</si>
  <si>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</si>
  <si>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</si>
  <si>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</si>
  <si>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</si>
  <si>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</si>
  <si>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</si>
  <si>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</si>
  <si>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</si>
  <si>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</si>
  <si>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</si>
  <si>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</si>
  <si>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</si>
  <si>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</si>
  <si>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</si>
  <si>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</si>
  <si>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</si>
  <si>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</si>
  <si>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</si>
  <si>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</si>
  <si>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</si>
  <si>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</si>
  <si>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</si>
  <si>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</si>
  <si>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</si>
  <si>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</si>
  <si>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</si>
  <si>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</si>
  <si>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</si>
  <si>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</si>
  <si>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</si>
  <si>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</si>
  <si>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</si>
  <si>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</si>
  <si>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</si>
  <si>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</si>
  <si>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</si>
  <si>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</si>
  <si>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</si>
  <si>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</si>
  <si>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</si>
  <si>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</si>
  <si>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</si>
  <si>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</si>
  <si>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</si>
  <si>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</si>
  <si>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</si>
  <si>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</si>
  <si>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</si>
  <si>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</si>
  <si>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</si>
  <si>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</si>
  <si>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</si>
  <si>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</si>
  <si>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</si>
  <si>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</si>
  <si>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</si>
  <si>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</si>
  <si>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</si>
  <si>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</si>
  <si>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</si>
  <si>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</si>
  <si>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</si>
  <si>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</si>
  <si>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</si>
  <si>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</si>
  <si>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</si>
  <si>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</si>
  <si>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</si>
  <si>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</si>
  <si>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</si>
  <si>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</si>
  <si>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</si>
  <si>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</si>
  <si>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</si>
  <si>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</si>
  <si>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</si>
  <si>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</si>
  <si>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</si>
  <si>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</si>
  <si>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</si>
  <si>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</si>
  <si>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</si>
  <si>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</si>
  <si>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</si>
  <si>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</si>
  <si>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</si>
  <si>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</si>
  <si>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</si>
  <si>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</si>
  <si>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</si>
  <si>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</si>
  <si>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</si>
  <si>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</si>
  <si>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</si>
  <si>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</si>
  <si>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</si>
  <si>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</si>
  <si>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</si>
  <si>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</si>
  <si>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</si>
  <si>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</si>
  <si>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</si>
  <si>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</si>
  <si>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</si>
  <si>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r>
      <rPr>
        <b/>
        <sz val="10"/>
        <color theme="1"/>
        <rFont val="Arial"/>
        <family val="2"/>
      </rPr>
      <t>OBS! Redovisningen av CO2-utsläpp</t>
    </r>
    <r>
      <rPr>
        <sz val="10"/>
        <color theme="1"/>
        <rFont val="Arial"/>
        <family val="2"/>
      </rPr>
      <t xml:space="preserve"> är justerad för att ge en bättre bild av fördelningen, och vissa siffor kan därför visa små differenser mot tidigare rapporter.</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</si>
  <si>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</si>
  <si>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</si>
  <si>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</si>
  <si>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</si>
  <si>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</si>
  <si>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</si>
  <si>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</si>
  <si>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</si>
  <si>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</si>
  <si>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</si>
  <si>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</si>
  <si>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</si>
  <si>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</si>
  <si>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</si>
  <si>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</si>
  <si>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</si>
  <si>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</si>
  <si>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</si>
  <si>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</si>
  <si>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</si>
  <si>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</si>
  <si>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</si>
  <si>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</si>
  <si>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</si>
  <si>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</si>
  <si>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</si>
  <si>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</si>
  <si>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</si>
  <si>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</si>
  <si>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</si>
  <si>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</si>
  <si>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</si>
  <si>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</si>
  <si>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</si>
  <si>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</si>
  <si>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</si>
  <si>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</si>
  <si>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</si>
  <si>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</si>
  <si>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</si>
  <si>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</si>
  <si>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</si>
  <si>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</si>
  <si>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</si>
  <si>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</si>
  <si>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</si>
  <si>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</si>
  <si>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</si>
  <si>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</si>
  <si>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</si>
  <si>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</si>
  <si>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</si>
  <si>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</si>
  <si>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</si>
  <si>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</si>
  <si>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</si>
  <si>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</si>
  <si>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</si>
  <si>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</si>
  <si>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</si>
  <si>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</si>
  <si>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</si>
  <si>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</si>
  <si>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</si>
  <si>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</si>
  <si>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</si>
  <si>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</si>
  <si>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</si>
  <si>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</si>
  <si>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</si>
  <si>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</si>
  <si>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</si>
  <si>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</si>
  <si>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</si>
  <si>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</si>
  <si>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</si>
  <si>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</si>
  <si>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</si>
  <si>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</si>
  <si>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</si>
  <si>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</si>
  <si>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</si>
  <si>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</si>
  <si>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</si>
  <si>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</si>
  <si>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</si>
  <si>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</si>
  <si>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</si>
  <si>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</si>
  <si>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</si>
  <si>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</si>
  <si>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</si>
  <si>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</si>
  <si>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</si>
  <si>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</si>
  <si>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</si>
  <si>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</si>
  <si>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</si>
  <si>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</si>
  <si>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</si>
  <si>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</si>
  <si>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</si>
  <si>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</si>
  <si>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</si>
  <si>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</si>
  <si>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</si>
  <si>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</si>
  <si>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</si>
  <si>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</si>
  <si>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</si>
  <si>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</si>
  <si>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</si>
  <si>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</si>
  <si>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</si>
  <si>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</si>
  <si>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</si>
  <si>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</si>
  <si>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</si>
  <si>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</si>
  <si>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</si>
  <si>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</si>
  <si>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</si>
  <si>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</si>
  <si>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</si>
  <si>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</si>
  <si>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</si>
  <si>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</si>
  <si>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</si>
  <si>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</si>
  <si>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</si>
  <si>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</si>
  <si>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</si>
  <si>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</si>
  <si>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</si>
  <si>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</si>
  <si>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</si>
  <si>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</si>
  <si>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</si>
  <si>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</si>
  <si>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</si>
  <si>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</si>
  <si>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</si>
  <si>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</si>
  <si>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</si>
  <si>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</si>
  <si>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</si>
  <si>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</si>
  <si>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</si>
  <si>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</si>
  <si>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</si>
  <si>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</si>
  <si>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</si>
  <si>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</si>
  <si>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</si>
  <si>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</si>
  <si>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</si>
  <si>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</si>
  <si>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</si>
  <si>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</si>
  <si>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</si>
  <si>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</si>
  <si>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</si>
  <si>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</si>
  <si>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</si>
  <si>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</si>
  <si>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</si>
  <si>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</si>
  <si>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</si>
  <si>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</si>
  <si>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</si>
  <si>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</si>
  <si>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</si>
  <si>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</si>
  <si>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</si>
  <si>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</si>
  <si>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</si>
  <si>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</si>
  <si>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</si>
  <si>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</si>
  <si>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</si>
  <si>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</si>
  <si>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</si>
  <si>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</si>
  <si>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</si>
  <si>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</si>
  <si>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</si>
  <si>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</si>
  <si>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</si>
  <si>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</si>
  <si>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</si>
  <si>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</si>
  <si>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</si>
  <si>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</si>
  <si>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</si>
  <si>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</si>
  <si>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</si>
  <si>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</si>
  <si>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</si>
  <si>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</si>
  <si>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</si>
  <si>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</si>
  <si>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</si>
  <si>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</si>
  <si>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</si>
  <si>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</si>
  <si>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</si>
  <si>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</si>
  <si>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</si>
  <si>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</si>
  <si>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</si>
  <si>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</si>
  <si>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</si>
  <si>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</si>
  <si>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</si>
  <si>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</si>
  <si>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</si>
  <si>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</si>
  <si>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</si>
  <si>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</si>
  <si>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</si>
  <si>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</si>
  <si>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</si>
  <si>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</si>
  <si>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</si>
  <si>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</si>
  <si>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</si>
  <si>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</si>
  <si>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</si>
  <si>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</si>
  <si>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</si>
  <si>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</si>
  <si>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</si>
  <si>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</si>
  <si>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</si>
  <si>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</si>
  <si>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</si>
  <si>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</si>
  <si>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</si>
  <si>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</si>
  <si>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</si>
  <si>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</si>
  <si>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</si>
  <si>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</si>
  <si>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</si>
  <si>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</si>
  <si>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</si>
  <si>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</si>
  <si>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</si>
  <si>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</si>
  <si>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</si>
  <si>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</si>
  <si>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</si>
  <si>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</si>
  <si>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</si>
  <si>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</si>
  <si>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</si>
  <si>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</si>
  <si>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</si>
  <si>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</si>
  <si>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</si>
  <si>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</si>
  <si>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</si>
  <si>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</si>
  <si>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</si>
  <si>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</si>
  <si>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</si>
  <si>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</si>
  <si>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</si>
  <si>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Nx300h</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</si>
  <si>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</si>
  <si>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</si>
  <si>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</si>
  <si>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</si>
  <si>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</si>
  <si>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</si>
  <si>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</si>
  <si>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</si>
  <si>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</si>
  <si>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</si>
  <si>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</si>
  <si>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</si>
  <si>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</si>
  <si>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</si>
  <si>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</si>
  <si>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</si>
  <si>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</si>
  <si>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</si>
  <si>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</si>
  <si>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</si>
  <si>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</si>
  <si>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</si>
  <si>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</si>
  <si>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</si>
  <si>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</si>
  <si>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</si>
  <si>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</si>
  <si>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</si>
  <si>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51-60 g</t>
  </si>
  <si>
    <t>51-60g</t>
  </si>
  <si>
    <t>MAZDA CX-60</t>
  </si>
  <si>
    <t xml:space="preserve">MERCEDES 300-600 SL     </t>
  </si>
  <si>
    <t>BMW IX M60</t>
  </si>
  <si>
    <t>MAXUS E-DELIVER 9 CHASSI</t>
  </si>
  <si>
    <t>Jul-22</t>
  </si>
  <si>
    <t>300-600 sl</t>
  </si>
  <si>
    <t>Cx-60</t>
  </si>
  <si>
    <t>41 - 60g</t>
  </si>
  <si>
    <t>OPEL ASTRA</t>
  </si>
  <si>
    <t>BMW 230E XDRIVE ACTIVE</t>
  </si>
  <si>
    <t/>
  </si>
  <si>
    <t>FIAT SCUDO</t>
  </si>
  <si>
    <t>Aug-22</t>
  </si>
  <si>
    <t>2(2)</t>
  </si>
  <si>
    <t>8(8)</t>
  </si>
  <si>
    <t>Elbussar, antal</t>
  </si>
  <si>
    <t>Elbilar, antal</t>
  </si>
  <si>
    <t>Laddhybrider, antal</t>
  </si>
  <si>
    <t>Lätta lastbilar ( upp till 3,5 ton), antal</t>
  </si>
  <si>
    <t>Lätta eldrivna lastbilar, antal</t>
  </si>
  <si>
    <t>Tunga lastbilar ( över 16 ton),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</si>
  <si>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</si>
  <si>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</si>
  <si>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</si>
  <si>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</si>
  <si>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</si>
  <si>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</si>
  <si>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</si>
  <si>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</si>
  <si>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</si>
  <si>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</si>
  <si>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</si>
  <si>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</si>
  <si>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Ospec.</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</si>
  <si>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</si>
  <si>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</si>
  <si>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</si>
  <si>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</si>
  <si>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</si>
  <si>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</si>
  <si>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</si>
  <si>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</si>
  <si>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</si>
  <si>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</si>
  <si>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</si>
  <si>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</si>
  <si>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</si>
  <si>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</si>
  <si>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</si>
  <si>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</si>
  <si>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</si>
  <si>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</si>
  <si>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</si>
  <si>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</si>
  <si>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</si>
  <si>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9(10)</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</si>
  <si>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</si>
  <si>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</si>
  <si>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</si>
  <si>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</si>
  <si>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</si>
  <si>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</si>
  <si>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</si>
  <si>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</si>
  <si>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</si>
  <si>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</si>
  <si>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</si>
  <si>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</si>
  <si>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</si>
  <si>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Jan - dec 2022</t>
  </si>
  <si>
    <t>Dec-22</t>
  </si>
  <si>
    <t>Model s</t>
  </si>
  <si>
    <t>Kangoo</t>
  </si>
  <si>
    <t>23(19)</t>
  </si>
  <si>
    <t>31(30)</t>
  </si>
  <si>
    <t>33(31)</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</si>
  <si>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</si>
  <si>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</si>
  <si>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</si>
  <si>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</si>
  <si>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</si>
  <si>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</si>
  <si>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</si>
  <si>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</si>
  <si>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</si>
  <si>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</si>
  <si>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</si>
  <si>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</si>
  <si>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</si>
  <si>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</si>
  <si>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</si>
  <si>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</si>
  <si>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</si>
  <si>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</si>
  <si>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</si>
  <si>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</si>
  <si>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</si>
  <si>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</si>
  <si>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</si>
  <si>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Januari  2023</t>
  </si>
  <si>
    <t>Januari</t>
  </si>
  <si>
    <t>Januari - januari</t>
  </si>
  <si>
    <t xml:space="preserve"> 2023</t>
  </si>
  <si>
    <t xml:space="preserve"> 2023-01</t>
  </si>
  <si>
    <t xml:space="preserve"> 2022-01</t>
  </si>
  <si>
    <t>YTD  2023</t>
  </si>
  <si>
    <t>Jan - jan 2023</t>
  </si>
  <si>
    <t>Jan - jan 2022</t>
  </si>
  <si>
    <t>Jan-23</t>
  </si>
  <si>
    <t>Personbilar nyregistreringar januari 2023</t>
  </si>
  <si>
    <t>2023-01-01 -&gt; 2023-01-31</t>
  </si>
  <si>
    <t>3(4)</t>
  </si>
  <si>
    <t>4(3)</t>
  </si>
  <si>
    <t>5(5)</t>
  </si>
  <si>
    <t>6(7)</t>
  </si>
  <si>
    <t>7(9)</t>
  </si>
  <si>
    <t>10(17)</t>
  </si>
  <si>
    <t>11(28)</t>
  </si>
  <si>
    <t>12(12)</t>
  </si>
  <si>
    <t>13(21)</t>
  </si>
  <si>
    <t>14(11)</t>
  </si>
  <si>
    <t>15(13)</t>
  </si>
  <si>
    <t>16(33)</t>
  </si>
  <si>
    <t>17(14)</t>
  </si>
  <si>
    <t>18(15)</t>
  </si>
  <si>
    <t>19(6)</t>
  </si>
  <si>
    <t>20(26)</t>
  </si>
  <si>
    <t>21(25)</t>
  </si>
  <si>
    <t>22(22)</t>
  </si>
  <si>
    <t>24(20)</t>
  </si>
  <si>
    <t>25(16)</t>
  </si>
  <si>
    <t>26(18)</t>
  </si>
  <si>
    <t>27(23)</t>
  </si>
  <si>
    <t>28(24)</t>
  </si>
  <si>
    <t>29(48)</t>
  </si>
  <si>
    <t>Cupra</t>
  </si>
  <si>
    <t>Born</t>
  </si>
  <si>
    <t>Formentor</t>
  </si>
  <si>
    <t>30(29)</t>
  </si>
  <si>
    <t>32(27)</t>
  </si>
  <si>
    <t>34(45)</t>
  </si>
  <si>
    <t>HAN</t>
  </si>
  <si>
    <t>35(51)</t>
  </si>
  <si>
    <t>36(35)</t>
  </si>
  <si>
    <t>37(47)</t>
  </si>
  <si>
    <t>38(38)</t>
  </si>
  <si>
    <t>39(42)</t>
  </si>
  <si>
    <t>40(49)</t>
  </si>
  <si>
    <t>41(36)</t>
  </si>
  <si>
    <t>42(37)</t>
  </si>
  <si>
    <t>43(40)</t>
  </si>
  <si>
    <t>44(46)</t>
  </si>
  <si>
    <t>45(34)</t>
  </si>
  <si>
    <t>46(39)</t>
  </si>
  <si>
    <t>47(50)</t>
  </si>
  <si>
    <t>ET7</t>
  </si>
  <si>
    <t>48(32)</t>
  </si>
  <si>
    <t>49(41)</t>
  </si>
  <si>
    <t>50(43)</t>
  </si>
  <si>
    <t>51(44)</t>
  </si>
  <si>
    <t>OBS Denna lista är sammanlänkad med A.5 Laddbara PB, vilket medför att placeringarna i kolumn A och marknadsandelarna är beräknade på laddbara bilar totalt.</t>
  </si>
  <si>
    <t xml:space="preserve">Den 12 juli trädde två förändringar i kraft inom Bonus-malus systemet. Dels infördes ett pristak för bonus på 700 000 kronor för personbilar och lätta lastbilar, </t>
  </si>
  <si>
    <t>dels sänktes bonusen för laddhybrider och CO2-gränsen för att erhålla bonus. För laddhybrider sänktes CO2-gränsen för att erhålla bonus från 60 g/km till 50 g/km - tabellen tar hänsyn till detta - men inte till pristaket.</t>
  </si>
  <si>
    <t>From 9 november avskaffades klimatbonusen, men alla beställningar till och med den 8 november omfattas av bonus.</t>
  </si>
  <si>
    <t>Se not nedan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</si>
</sst>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0.0\%"/>
  </numFmts>
  <fonts count="58">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b/>
      <sz val="10"/>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b/>
      <sz val="14"/>
      <color theme="3"/>
      <name val="Arial"/>
      <family val="2"/>
    </font>
    <font>
      <sz val="11"/>
      <name val="Arial"/>
      <family val="2"/>
    </font>
    <font>
      <b/>
      <sz val="10"/>
      <color theme="0"/>
      <name val="Arial"/>
      <family val="2"/>
    </font>
    <font>
      <sz val="9"/>
      <name val="Arial"/>
      <family val="2"/>
    </font>
    <font>
      <b/>
      <sz val="12"/>
      <color theme="3"/>
      <name val="Arial"/>
      <family val="2"/>
    </font>
    <font>
      <b/>
      <sz val="9"/>
      <color theme="1"/>
      <name val="Arial"/>
      <family val="2"/>
    </font>
    <font>
      <sz val="12"/>
      <color rgb="FF001489"/>
      <name val="Arial"/>
      <family val="2"/>
    </font>
    <font>
      <b/>
      <sz val="13"/>
      <color theme="3"/>
      <name val="Arial"/>
      <family val="2"/>
    </font>
    <font>
      <sz val="10"/>
      <color theme="3"/>
      <name val="Arial"/>
      <family val="2"/>
    </font>
    <font>
      <b/>
      <sz val="11"/>
      <color rgb="FF001489"/>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9" fillId="0" borderId="0"/>
    <xf numFmtId="43" fontId="19" fillId="0" borderId="0" applyFont="0" applyFill="0" applyBorder="0" applyAlignment="0" applyProtection="0"/>
  </cellStyleXfs>
  <cellXfs count="308">
    <xf numFmtId="0" fontId="0" fillId="0" borderId="0" xfId="0"/>
    <xf numFmtId="0" fontId="4" fillId="0" borderId="0" xfId="3" applyFont="1" applyBorder="1"/>
    <xf numFmtId="0" fontId="4" fillId="0" borderId="0" xfId="3" applyFont="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17" fontId="8" fillId="0" borderId="27" xfId="4" quotePrefix="1" applyNumberFormat="1" applyFont="1" applyBorder="1" applyAlignment="1">
      <alignment horizontal="right"/>
    </xf>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164" fontId="8" fillId="0" borderId="0" xfId="4" applyNumberFormat="1" applyFont="1"/>
    <xf numFmtId="0" fontId="8" fillId="0" borderId="28" xfId="4" applyFont="1" applyBorder="1"/>
    <xf numFmtId="3" fontId="8" fillId="0" borderId="28" xfId="4" applyNumberFormat="1" applyFont="1" applyBorder="1"/>
    <xf numFmtId="164" fontId="18" fillId="0" borderId="0" xfId="0" applyNumberFormat="1" applyFont="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20" fillId="0" borderId="0" xfId="4" applyNumberFormat="1" applyFont="1"/>
    <xf numFmtId="0" fontId="17" fillId="0" borderId="0" xfId="0" applyFont="1" applyAlignment="1">
      <alignment horizontal="left"/>
    </xf>
    <xf numFmtId="0" fontId="21"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3" fillId="0" borderId="0" xfId="3" applyFont="1"/>
    <xf numFmtId="0" fontId="24" fillId="0" borderId="0" xfId="3" applyFont="1"/>
    <xf numFmtId="0" fontId="22" fillId="0" borderId="0" xfId="0" applyFont="1"/>
    <xf numFmtId="0" fontId="25" fillId="0" borderId="0" xfId="3" applyFont="1"/>
    <xf numFmtId="0" fontId="26" fillId="0" borderId="0" xfId="0" applyFont="1"/>
    <xf numFmtId="0" fontId="25" fillId="0" borderId="0" xfId="0" applyFont="1"/>
    <xf numFmtId="0" fontId="17" fillId="0" borderId="0" xfId="0" applyFont="1" applyAlignment="1">
      <alignment horizontal="left" vertical="center"/>
    </xf>
    <xf numFmtId="0" fontId="27" fillId="0" borderId="0" xfId="3" applyFont="1"/>
    <xf numFmtId="0" fontId="15" fillId="0" borderId="0" xfId="0" applyFont="1"/>
    <xf numFmtId="0" fontId="30" fillId="0" borderId="31" xfId="1" applyFont="1" applyBorder="1"/>
    <xf numFmtId="0" fontId="31" fillId="0" borderId="1" xfId="1" applyFont="1"/>
    <xf numFmtId="165" fontId="7" fillId="0" borderId="0" xfId="4" applyNumberFormat="1"/>
    <xf numFmtId="164" fontId="17" fillId="0" borderId="0" xfId="0" applyNumberFormat="1" applyFont="1"/>
    <xf numFmtId="0" fontId="34"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6" fillId="0" borderId="0" xfId="0" applyFont="1"/>
    <xf numFmtId="0" fontId="15" fillId="0" borderId="0" xfId="0" applyFont="1" applyAlignment="1">
      <alignment horizontal="center"/>
    </xf>
    <xf numFmtId="0" fontId="37" fillId="0" borderId="1" xfId="1" applyFont="1"/>
    <xf numFmtId="3" fontId="15" fillId="0" borderId="0" xfId="0" applyNumberFormat="1" applyFont="1" applyAlignment="1">
      <alignment horizontal="center"/>
    </xf>
    <xf numFmtId="164" fontId="15" fillId="0" borderId="0" xfId="0" applyNumberFormat="1" applyFont="1"/>
    <xf numFmtId="0" fontId="39"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64" fontId="17" fillId="0" borderId="3"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3" fontId="17" fillId="2" borderId="13" xfId="0" applyNumberFormat="1" applyFont="1" applyFill="1" applyBorder="1" applyAlignment="1">
      <alignment horizontal="left" indent="1"/>
    </xf>
    <xf numFmtId="3" fontId="17" fillId="0" borderId="0" xfId="0" applyNumberFormat="1" applyFont="1" applyAlignment="1">
      <alignment horizontal="left" indent="1"/>
    </xf>
    <xf numFmtId="3" fontId="16" fillId="2" borderId="13" xfId="0" applyNumberFormat="1" applyFont="1" applyFill="1" applyBorder="1"/>
    <xf numFmtId="165" fontId="38" fillId="2" borderId="13" xfId="0" applyNumberFormat="1" applyFont="1" applyFill="1" applyBorder="1"/>
    <xf numFmtId="165" fontId="16" fillId="2" borderId="13" xfId="0" applyNumberFormat="1" applyFont="1" applyFill="1" applyBorder="1"/>
    <xf numFmtId="0" fontId="7" fillId="0" borderId="0" xfId="0" applyFont="1" applyAlignment="1">
      <alignment horizontal="right"/>
    </xf>
    <xf numFmtId="3" fontId="16" fillId="2" borderId="30" xfId="0" applyNumberFormat="1" applyFont="1" applyFill="1" applyBorder="1"/>
    <xf numFmtId="164" fontId="38" fillId="2" borderId="30" xfId="0" applyNumberFormat="1" applyFont="1" applyFill="1" applyBorder="1"/>
    <xf numFmtId="164" fontId="16" fillId="2" borderId="30" xfId="0" applyNumberFormat="1" applyFont="1" applyFill="1" applyBorder="1"/>
    <xf numFmtId="0" fontId="40" fillId="0" borderId="2" xfId="2" applyFont="1"/>
    <xf numFmtId="0" fontId="17" fillId="0" borderId="27" xfId="0" applyFont="1" applyBorder="1"/>
    <xf numFmtId="0" fontId="16" fillId="0" borderId="28" xfId="0" applyFont="1" applyBorder="1"/>
    <xf numFmtId="3" fontId="16" fillId="0" borderId="0" xfId="0" applyNumberFormat="1" applyFont="1"/>
    <xf numFmtId="0" fontId="41" fillId="0" borderId="0" xfId="1" applyFont="1" applyBorder="1"/>
    <xf numFmtId="0" fontId="16" fillId="0" borderId="0" xfId="0" applyFont="1" applyAlignment="1">
      <alignment horizontal="left"/>
    </xf>
    <xf numFmtId="0" fontId="17" fillId="0" borderId="0" xfId="0" quotePrefix="1" applyFont="1"/>
    <xf numFmtId="0" fontId="34"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1" fillId="0" borderId="0" xfId="1" applyFont="1" applyBorder="1" applyProtection="1"/>
    <xf numFmtId="0" fontId="32" fillId="5" borderId="13" xfId="0" applyFont="1" applyFill="1" applyBorder="1"/>
    <xf numFmtId="0" fontId="32" fillId="5" borderId="13" xfId="0" applyFont="1" applyFill="1" applyBorder="1" applyAlignment="1">
      <alignment horizontal="right"/>
    </xf>
    <xf numFmtId="3" fontId="34" fillId="0" borderId="0" xfId="4" applyNumberFormat="1" applyFont="1"/>
    <xf numFmtId="0" fontId="32" fillId="5" borderId="3" xfId="0" applyFont="1" applyFill="1" applyBorder="1"/>
    <xf numFmtId="0" fontId="35" fillId="5" borderId="3" xfId="0" applyFont="1" applyFill="1" applyBorder="1"/>
    <xf numFmtId="17" fontId="35" fillId="5" borderId="5" xfId="0" quotePrefix="1" applyNumberFormat="1" applyFont="1" applyFill="1" applyBorder="1" applyAlignment="1">
      <alignment horizontal="right"/>
    </xf>
    <xf numFmtId="17" fontId="35" fillId="5" borderId="0" xfId="0" quotePrefix="1" applyNumberFormat="1" applyFont="1" applyFill="1" applyAlignment="1">
      <alignment horizontal="right"/>
    </xf>
    <xf numFmtId="17" fontId="35" fillId="5" borderId="6" xfId="0" quotePrefix="1" applyNumberFormat="1" applyFont="1" applyFill="1" applyBorder="1" applyAlignment="1">
      <alignment horizontal="right"/>
    </xf>
    <xf numFmtId="0" fontId="35" fillId="5" borderId="4" xfId="0" applyFont="1" applyFill="1" applyBorder="1" applyAlignment="1">
      <alignment horizontal="right"/>
    </xf>
    <xf numFmtId="17" fontId="35"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2" fillId="5" borderId="21" xfId="0" applyFont="1" applyFill="1" applyBorder="1"/>
    <xf numFmtId="17" fontId="32" fillId="5" borderId="11" xfId="0" quotePrefix="1" applyNumberFormat="1" applyFont="1" applyFill="1" applyBorder="1" applyAlignment="1">
      <alignment horizontal="right"/>
    </xf>
    <xf numFmtId="0" fontId="32" fillId="5" borderId="12" xfId="0" quotePrefix="1" applyFont="1" applyFill="1" applyBorder="1" applyAlignment="1">
      <alignment horizontal="right"/>
    </xf>
    <xf numFmtId="0" fontId="32" fillId="5" borderId="4" xfId="0" applyFont="1" applyFill="1" applyBorder="1" applyAlignment="1">
      <alignment horizontal="right"/>
    </xf>
    <xf numFmtId="0" fontId="32" fillId="5" borderId="10" xfId="0" quotePrefix="1" applyFont="1" applyFill="1" applyBorder="1" applyAlignment="1">
      <alignment horizontal="right"/>
    </xf>
    <xf numFmtId="0" fontId="31"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9" fillId="5" borderId="10" xfId="0" applyFont="1" applyFill="1" applyBorder="1"/>
    <xf numFmtId="0" fontId="9" fillId="5" borderId="10" xfId="0" applyFont="1" applyFill="1" applyBorder="1" applyAlignment="1">
      <alignment horizontal="left"/>
    </xf>
    <xf numFmtId="17" fontId="9" fillId="5" borderId="11" xfId="0" quotePrefix="1" applyNumberFormat="1" applyFont="1" applyFill="1" applyBorder="1" applyAlignment="1">
      <alignment horizontal="left"/>
    </xf>
    <xf numFmtId="17" fontId="9" fillId="5" borderId="11" xfId="0" quotePrefix="1" applyNumberFormat="1" applyFont="1" applyFill="1" applyBorder="1" applyAlignment="1">
      <alignment horizontal="right"/>
    </xf>
    <xf numFmtId="164" fontId="9" fillId="5" borderId="11" xfId="0" quotePrefix="1" applyNumberFormat="1" applyFont="1" applyFill="1" applyBorder="1" applyAlignment="1">
      <alignment horizontal="right"/>
    </xf>
    <xf numFmtId="164" fontId="9" fillId="5" borderId="0" xfId="0" quotePrefix="1" applyNumberFormat="1" applyFont="1" applyFill="1" applyAlignment="1">
      <alignment horizontal="right"/>
    </xf>
    <xf numFmtId="164" fontId="9" fillId="5" borderId="12" xfId="0" applyNumberFormat="1" applyFont="1" applyFill="1" applyBorder="1" applyAlignment="1">
      <alignment horizontal="right"/>
    </xf>
    <xf numFmtId="164" fontId="9" fillId="5" borderId="10" xfId="0" quotePrefix="1" applyNumberFormat="1" applyFont="1" applyFill="1" applyBorder="1" applyAlignment="1">
      <alignment horizontal="right"/>
    </xf>
    <xf numFmtId="0" fontId="42" fillId="5" borderId="3" xfId="0" applyFont="1" applyFill="1" applyBorder="1"/>
    <xf numFmtId="0" fontId="32" fillId="5" borderId="5" xfId="0" applyFont="1" applyFill="1" applyBorder="1"/>
    <xf numFmtId="0" fontId="32" fillId="5" borderId="4" xfId="0" applyFont="1" applyFill="1" applyBorder="1"/>
    <xf numFmtId="3" fontId="32" fillId="5" borderId="11" xfId="0" quotePrefix="1" applyNumberFormat="1" applyFont="1" applyFill="1" applyBorder="1" applyAlignment="1">
      <alignment horizontal="right"/>
    </xf>
    <xf numFmtId="165" fontId="32" fillId="5" borderId="11" xfId="0" quotePrefix="1" applyNumberFormat="1" applyFont="1" applyFill="1" applyBorder="1" applyAlignment="1">
      <alignment horizontal="right"/>
    </xf>
    <xf numFmtId="165" fontId="32" fillId="5" borderId="12" xfId="0" quotePrefix="1" applyNumberFormat="1" applyFont="1" applyFill="1" applyBorder="1" applyAlignment="1">
      <alignment horizontal="right"/>
    </xf>
    <xf numFmtId="164" fontId="32" fillId="5" borderId="4" xfId="0" applyNumberFormat="1" applyFont="1" applyFill="1" applyBorder="1" applyAlignment="1">
      <alignment horizontal="right"/>
    </xf>
    <xf numFmtId="164" fontId="32" fillId="5" borderId="10" xfId="0" quotePrefix="1" applyNumberFormat="1" applyFont="1" applyFill="1" applyBorder="1" applyAlignment="1">
      <alignment horizontal="right"/>
    </xf>
    <xf numFmtId="164" fontId="32"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0" fillId="0" borderId="0" xfId="1" applyFont="1" applyBorder="1"/>
    <xf numFmtId="0" fontId="33" fillId="0" borderId="0" xfId="2" applyFont="1" applyBorder="1"/>
    <xf numFmtId="0" fontId="43" fillId="0" borderId="0" xfId="0" applyFont="1"/>
    <xf numFmtId="0" fontId="44" fillId="0" borderId="0" xfId="0" applyFont="1"/>
    <xf numFmtId="2" fontId="43" fillId="0" borderId="0" xfId="0" applyNumberFormat="1" applyFont="1"/>
    <xf numFmtId="0" fontId="43" fillId="0" borderId="0" xfId="0" applyFont="1" applyAlignment="1">
      <alignment horizontal="right"/>
    </xf>
    <xf numFmtId="0" fontId="45" fillId="0" borderId="28" xfId="0" applyFont="1" applyBorder="1"/>
    <xf numFmtId="3" fontId="45" fillId="0" borderId="29" xfId="0" applyNumberFormat="1" applyFont="1" applyBorder="1"/>
    <xf numFmtId="164" fontId="46" fillId="0" borderId="29" xfId="0" applyNumberFormat="1" applyFont="1" applyBorder="1"/>
    <xf numFmtId="3" fontId="43" fillId="0" borderId="0" xfId="0" applyNumberFormat="1" applyFont="1"/>
    <xf numFmtId="2" fontId="44" fillId="0" borderId="0" xfId="0" applyNumberFormat="1" applyFont="1"/>
    <xf numFmtId="164" fontId="43" fillId="0" borderId="0" xfId="0" applyNumberFormat="1" applyFont="1"/>
    <xf numFmtId="164" fontId="44" fillId="0" borderId="0" xfId="0" applyNumberFormat="1" applyFont="1"/>
    <xf numFmtId="0" fontId="45" fillId="0" borderId="0" xfId="0" applyFont="1"/>
    <xf numFmtId="3" fontId="45" fillId="0" borderId="0" xfId="0" applyNumberFormat="1" applyFont="1"/>
    <xf numFmtId="164" fontId="45" fillId="0" borderId="0" xfId="0" applyNumberFormat="1" applyFont="1"/>
    <xf numFmtId="3" fontId="47" fillId="0" borderId="0" xfId="0" applyNumberFormat="1" applyFont="1"/>
    <xf numFmtId="0" fontId="45" fillId="0" borderId="0" xfId="0" applyFont="1" applyAlignment="1">
      <alignment horizontal="right"/>
    </xf>
    <xf numFmtId="2" fontId="45" fillId="0" borderId="0" xfId="0" applyNumberFormat="1" applyFont="1"/>
    <xf numFmtId="164" fontId="45" fillId="0" borderId="0" xfId="0" applyNumberFormat="1" applyFont="1" applyAlignment="1">
      <alignment horizontal="right"/>
    </xf>
    <xf numFmtId="0" fontId="46" fillId="0" borderId="0" xfId="0" applyFont="1"/>
    <xf numFmtId="0" fontId="45" fillId="0" borderId="0" xfId="0" pivotButton="1" applyFont="1"/>
    <xf numFmtId="0" fontId="45" fillId="0" borderId="0" xfId="0" applyFont="1" applyAlignment="1">
      <alignment horizontal="left" indent="1"/>
    </xf>
    <xf numFmtId="165" fontId="45" fillId="0" borderId="0" xfId="0" applyNumberFormat="1" applyFont="1"/>
    <xf numFmtId="0" fontId="45" fillId="3" borderId="0" xfId="0" applyFont="1" applyFill="1" applyAlignment="1">
      <alignment horizontal="left" indent="1"/>
    </xf>
    <xf numFmtId="3" fontId="45" fillId="3" borderId="0" xfId="0" applyNumberFormat="1" applyFont="1" applyFill="1"/>
    <xf numFmtId="165" fontId="45" fillId="3" borderId="0" xfId="0" applyNumberFormat="1" applyFont="1" applyFill="1"/>
    <xf numFmtId="0" fontId="45" fillId="4" borderId="25" xfId="0" applyFont="1" applyFill="1" applyBorder="1" applyAlignment="1">
      <alignment horizontal="left"/>
    </xf>
    <xf numFmtId="3" fontId="45" fillId="4" borderId="22" xfId="0" applyNumberFormat="1" applyFont="1" applyFill="1" applyBorder="1"/>
    <xf numFmtId="3" fontId="45" fillId="4" borderId="23" xfId="0" applyNumberFormat="1" applyFont="1" applyFill="1" applyBorder="1"/>
    <xf numFmtId="165" fontId="45" fillId="4" borderId="23" xfId="0" applyNumberFormat="1" applyFont="1" applyFill="1" applyBorder="1"/>
    <xf numFmtId="165" fontId="45" fillId="4" borderId="24" xfId="0" applyNumberFormat="1" applyFont="1" applyFill="1" applyBorder="1"/>
    <xf numFmtId="0" fontId="45" fillId="0" borderId="0" xfId="0" applyFont="1" applyAlignment="1">
      <alignment horizontal="left"/>
    </xf>
    <xf numFmtId="0" fontId="43" fillId="0" borderId="0" xfId="0" pivotButton="1" applyFont="1"/>
    <xf numFmtId="0" fontId="43" fillId="0" borderId="0" xfId="0" applyFont="1" applyAlignment="1">
      <alignment horizontal="left"/>
    </xf>
    <xf numFmtId="0" fontId="43" fillId="0" borderId="0" xfId="0" applyFont="1" applyAlignment="1">
      <alignment horizontal="left" indent="1"/>
    </xf>
    <xf numFmtId="0" fontId="30" fillId="0" borderId="31" xfId="1" quotePrefix="1" applyFont="1" applyBorder="1"/>
    <xf numFmtId="0" fontId="29"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8" fillId="0" borderId="0" xfId="0" applyFont="1" applyAlignment="1">
      <alignment horizontal="right"/>
    </xf>
    <xf numFmtId="1" fontId="48" fillId="0" borderId="0" xfId="0" applyNumberFormat="1" applyFont="1"/>
    <xf numFmtId="0" fontId="48" fillId="0" borderId="0" xfId="0" applyFont="1"/>
    <xf numFmtId="0" fontId="48" fillId="0" borderId="0" xfId="0" applyFont="1" applyAlignment="1">
      <alignment horizontal="left"/>
    </xf>
    <xf numFmtId="0" fontId="48" fillId="0" borderId="0" xfId="0" applyFont="1" applyAlignment="1">
      <alignment horizontal="center" vertical="center"/>
    </xf>
    <xf numFmtId="0" fontId="49" fillId="0" borderId="0" xfId="0" applyFont="1"/>
    <xf numFmtId="0" fontId="50" fillId="0" borderId="0" xfId="0" applyFont="1"/>
    <xf numFmtId="0" fontId="48" fillId="0" borderId="0" xfId="0" applyFont="1" applyAlignment="1">
      <alignment horizontal="center"/>
    </xf>
    <xf numFmtId="0" fontId="50"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52" fillId="0" borderId="0" xfId="0" applyFont="1" applyAlignment="1">
      <alignment horizontal="center" vertical="center"/>
    </xf>
    <xf numFmtId="2" fontId="53"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52" fillId="0" borderId="0" xfId="0" applyFont="1" applyAlignment="1">
      <alignment horizontal="left" indent="1"/>
    </xf>
    <xf numFmtId="2" fontId="53" fillId="0" borderId="0" xfId="0" applyNumberFormat="1" applyFont="1" applyAlignment="1">
      <alignment horizontal="right"/>
    </xf>
    <xf numFmtId="0" fontId="52" fillId="0" borderId="0" xfId="0" applyFont="1"/>
    <xf numFmtId="0" fontId="50" fillId="0" borderId="25" xfId="0" applyFont="1" applyBorder="1"/>
    <xf numFmtId="0" fontId="50" fillId="0" borderId="23" xfId="0" applyFont="1" applyBorder="1" applyAlignment="1">
      <alignment horizontal="center" vertical="center"/>
    </xf>
    <xf numFmtId="0" fontId="17" fillId="0" borderId="23" xfId="0" applyFont="1" applyBorder="1" applyAlignment="1">
      <alignment horizontal="center"/>
    </xf>
    <xf numFmtId="1" fontId="50" fillId="0" borderId="22" xfId="0" applyNumberFormat="1" applyFont="1" applyBorder="1"/>
    <xf numFmtId="0" fontId="50" fillId="0" borderId="22" xfId="0" applyFont="1" applyBorder="1"/>
    <xf numFmtId="0" fontId="50" fillId="0" borderId="25" xfId="0" quotePrefix="1" applyFont="1" applyBorder="1"/>
    <xf numFmtId="0" fontId="50" fillId="0" borderId="23" xfId="0" quotePrefix="1" applyFont="1" applyBorder="1" applyAlignment="1">
      <alignment horizontal="center" vertical="center"/>
    </xf>
    <xf numFmtId="1" fontId="53" fillId="0" borderId="22" xfId="0" applyNumberFormat="1" applyFont="1" applyBorder="1" applyAlignment="1">
      <alignment horizontal="right"/>
    </xf>
    <xf numFmtId="10" fontId="53" fillId="0" borderId="22" xfId="0" applyNumberFormat="1" applyFont="1" applyBorder="1" applyAlignment="1">
      <alignment horizontal="right"/>
    </xf>
    <xf numFmtId="0" fontId="53" fillId="0" borderId="22" xfId="0" applyFont="1" applyBorder="1" applyAlignment="1">
      <alignment horizontal="right"/>
    </xf>
    <xf numFmtId="49" fontId="53" fillId="0" borderId="24" xfId="0" applyNumberFormat="1" applyFont="1" applyBorder="1" applyAlignment="1">
      <alignment horizontal="right"/>
    </xf>
    <xf numFmtId="1" fontId="53" fillId="0" borderId="25" xfId="0" applyNumberFormat="1" applyFont="1" applyBorder="1" applyAlignment="1">
      <alignment horizontal="right"/>
    </xf>
    <xf numFmtId="1" fontId="53" fillId="0" borderId="24" xfId="0" applyNumberFormat="1" applyFont="1" applyBorder="1" applyAlignment="1">
      <alignment horizontal="right"/>
    </xf>
    <xf numFmtId="10" fontId="53" fillId="0" borderId="24" xfId="0" applyNumberFormat="1" applyFont="1" applyBorder="1" applyAlignment="1">
      <alignment horizontal="right"/>
    </xf>
    <xf numFmtId="0" fontId="17" fillId="0" borderId="24" xfId="0" applyFont="1" applyBorder="1"/>
    <xf numFmtId="0" fontId="34" fillId="0" borderId="0" xfId="0" applyFont="1" applyAlignment="1">
      <alignment horizontal="center" vertical="center"/>
    </xf>
    <xf numFmtId="0" fontId="34"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54" fillId="0" borderId="0" xfId="0" applyFont="1" applyAlignment="1">
      <alignment horizontal="left" indent="1"/>
    </xf>
    <xf numFmtId="0" fontId="54" fillId="0" borderId="0" xfId="0" applyFont="1"/>
    <xf numFmtId="166" fontId="54"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0" fontId="45" fillId="0" borderId="20" xfId="0" applyFont="1" applyBorder="1" applyAlignment="1">
      <alignment horizontal="left" indent="1"/>
    </xf>
    <xf numFmtId="3" fontId="45" fillId="0" borderId="17" xfId="0" applyNumberFormat="1" applyFont="1" applyBorder="1"/>
    <xf numFmtId="3" fontId="45" fillId="0" borderId="18" xfId="0" applyNumberFormat="1" applyFont="1" applyBorder="1"/>
    <xf numFmtId="167" fontId="55" fillId="0" borderId="0" xfId="0" applyNumberFormat="1" applyFont="1"/>
    <xf numFmtId="167" fontId="17" fillId="0" borderId="0" xfId="0" applyNumberFormat="1" applyFont="1"/>
    <xf numFmtId="0" fontId="46" fillId="0" borderId="29" xfId="0" applyFont="1" applyBorder="1"/>
    <xf numFmtId="167" fontId="54" fillId="0" borderId="0" xfId="0" applyNumberFormat="1" applyFont="1"/>
    <xf numFmtId="0" fontId="17" fillId="0" borderId="35" xfId="0" applyFont="1" applyBorder="1" applyAlignment="1">
      <alignment horizontal="center"/>
    </xf>
    <xf numFmtId="0" fontId="22"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5" fillId="5" borderId="3" xfId="0" applyFont="1" applyFill="1" applyBorder="1" applyAlignment="1">
      <alignment horizontal="center"/>
    </xf>
    <xf numFmtId="0" fontId="35" fillId="5" borderId="4" xfId="0" applyFont="1" applyFill="1" applyBorder="1" applyAlignment="1">
      <alignment horizontal="center"/>
    </xf>
    <xf numFmtId="0" fontId="35" fillId="5" borderId="5" xfId="0" applyFont="1" applyFill="1" applyBorder="1" applyAlignment="1">
      <alignment horizontal="center"/>
    </xf>
    <xf numFmtId="0" fontId="35" fillId="5" borderId="7" xfId="0" applyFont="1" applyFill="1" applyBorder="1" applyAlignment="1">
      <alignment horizontal="center"/>
    </xf>
    <xf numFmtId="0" fontId="35" fillId="5" borderId="8" xfId="0" applyFont="1" applyFill="1" applyBorder="1" applyAlignment="1">
      <alignment horizontal="center"/>
    </xf>
    <xf numFmtId="0" fontId="16" fillId="0" borderId="36" xfId="0" applyFont="1" applyBorder="1" applyAlignment="1">
      <alignment horizontal="center"/>
    </xf>
    <xf numFmtId="0" fontId="50" fillId="0" borderId="32" xfId="0" applyFont="1" applyBorder="1" applyAlignment="1">
      <alignment horizontal="center"/>
    </xf>
    <xf numFmtId="0" fontId="50" fillId="0" borderId="26" xfId="0" applyFont="1" applyBorder="1" applyAlignment="1">
      <alignment horizontal="center"/>
    </xf>
    <xf numFmtId="0" fontId="50" fillId="0" borderId="33" xfId="0" applyFont="1" applyBorder="1" applyAlignment="1">
      <alignment horizontal="center"/>
    </xf>
    <xf numFmtId="0" fontId="50" fillId="0" borderId="37" xfId="0" applyFont="1" applyBorder="1" applyAlignment="1">
      <alignment horizontal="center"/>
    </xf>
    <xf numFmtId="0" fontId="50" fillId="0" borderId="0" xfId="0" applyFont="1" applyAlignment="1">
      <alignment horizontal="center"/>
    </xf>
    <xf numFmtId="0" fontId="50" fillId="0" borderId="36" xfId="0" applyFont="1" applyBorder="1" applyAlignment="1">
      <alignment horizontal="center"/>
    </xf>
    <xf numFmtId="0" fontId="51"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30" fillId="0" borderId="31" xfId="1" applyFont="1" applyBorder="1" applyAlignment="1">
      <alignment horizontal="center"/>
    </xf>
    <xf numFmtId="0" fontId="50" fillId="0" borderId="34" xfId="0" applyFont="1" applyBorder="1" applyAlignment="1">
      <alignment horizontal="center"/>
    </xf>
    <xf numFmtId="0" fontId="50" fillId="0" borderId="28" xfId="0" applyFont="1" applyBorder="1" applyAlignment="1">
      <alignment horizontal="center"/>
    </xf>
    <xf numFmtId="0" fontId="50"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2" fillId="5" borderId="5" xfId="0" applyFont="1" applyFill="1" applyBorder="1" applyAlignment="1">
      <alignment horizontal="center"/>
    </xf>
    <xf numFmtId="0" fontId="32" fillId="5" borderId="4" xfId="0" applyFont="1" applyFill="1" applyBorder="1" applyAlignment="1">
      <alignment horizontal="center"/>
    </xf>
    <xf numFmtId="0" fontId="32" fillId="5" borderId="3" xfId="0" applyFont="1" applyFill="1" applyBorder="1" applyAlignment="1">
      <alignment horizontal="center"/>
    </xf>
    <xf numFmtId="0" fontId="36" fillId="0" borderId="6" xfId="0" applyFont="1" applyBorder="1" applyAlignment="1">
      <alignment horizontal="right"/>
    </xf>
    <xf numFmtId="0" fontId="36"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164" fontId="9" fillId="5" borderId="9" xfId="0" applyNumberFormat="1" applyFont="1" applyFill="1" applyBorder="1" applyAlignment="1">
      <alignment horizontal="center"/>
    </xf>
    <xf numFmtId="164" fontId="9" fillId="5" borderId="6" xfId="0" applyNumberFormat="1" applyFont="1" applyFill="1" applyBorder="1" applyAlignment="1">
      <alignment horizontal="center"/>
    </xf>
    <xf numFmtId="3" fontId="32" fillId="5" borderId="5" xfId="0" applyNumberFormat="1" applyFont="1" applyFill="1" applyBorder="1" applyAlignment="1">
      <alignment horizontal="center"/>
    </xf>
    <xf numFmtId="3" fontId="32" fillId="5" borderId="4" xfId="0" applyNumberFormat="1" applyFont="1" applyFill="1" applyBorder="1" applyAlignment="1">
      <alignment horizontal="center"/>
    </xf>
    <xf numFmtId="165" fontId="32" fillId="5" borderId="5" xfId="0" applyNumberFormat="1" applyFont="1" applyFill="1" applyBorder="1" applyAlignment="1">
      <alignment horizontal="center"/>
    </xf>
    <xf numFmtId="165" fontId="32" fillId="5" borderId="4" xfId="0" applyNumberFormat="1" applyFont="1" applyFill="1" applyBorder="1" applyAlignment="1">
      <alignment horizontal="center"/>
    </xf>
    <xf numFmtId="164" fontId="32" fillId="5" borderId="5" xfId="0" applyNumberFormat="1" applyFont="1" applyFill="1" applyBorder="1" applyAlignment="1">
      <alignment horizontal="center"/>
    </xf>
    <xf numFmtId="164" fontId="32"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6" fillId="0" borderId="0" xfId="0" applyFont="1" applyAlignment="1">
      <alignment vertical="center"/>
    </xf>
    <xf numFmtId="0" fontId="0" fillId="0" borderId="0" xfId="0" applyAlignment="1">
      <alignment vertical="center"/>
    </xf>
    <xf numFmtId="0" fontId="57" fillId="0" borderId="0" xfId="0" applyFont="1" applyAlignment="1">
      <alignment vertical="center"/>
    </xf>
  </cellXfs>
  <cellStyles count="7">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s>
  <dxfs count="514">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4" tint="-0.24994659260841701"/>
      </font>
    </dxf>
    <dxf>
      <font>
        <color theme="5" tint="-0.24994659260841701"/>
      </font>
    </dxf>
    <dxf>
      <font>
        <color theme="5"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164" formatCode="0.0"/>
    </dxf>
    <dxf>
      <font>
        <strike val="0"/>
        <outline val="0"/>
        <shadow val="0"/>
        <u val="none"/>
        <vertAlign val="baseline"/>
        <sz val="10"/>
        <name val="Arial"/>
        <scheme val="none"/>
      </font>
      <numFmt numFmtId="164" formatCode="0.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4.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9.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13736320"/>
        <c:axId val="113742208"/>
        <c:extLst/>
      </c:barChart>
      <c:catAx>
        <c:axId val="1137363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13742208"/>
        <c:crosses val="autoZero"/>
        <c:auto val="1"/>
        <c:lblAlgn val="ctr"/>
        <c:lblOffset val="100"/>
        <c:noMultiLvlLbl val="0"/>
      </c:catAx>
      <c:valAx>
        <c:axId val="1137422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1373632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699392"/>
        <c:axId val="128602880"/>
        <c:extLst/>
      </c:barChart>
      <c:catAx>
        <c:axId val="1286993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02880"/>
        <c:crosses val="autoZero"/>
        <c:auto val="1"/>
        <c:lblAlgn val="ctr"/>
        <c:lblOffset val="100"/>
        <c:noMultiLvlLbl val="0"/>
      </c:catAx>
      <c:valAx>
        <c:axId val="1286028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9939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lastbilar'!$Q$37:$Q$61</c:f>
              <c:strCache>
                <c:ptCount val="25"/>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strCache>
            </c:strRef>
          </c:cat>
          <c:val>
            <c:numRef>
              <c:f>'B.1 Lätta lastbilar'!$R$37:$R$61</c:f>
              <c:numCache>
                <c:formatCode>0\.0</c:formatCode>
                <c:ptCount val="25"/>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981632"/>
        <c:axId val="129003904"/>
        <c:extLst/>
      </c:barChart>
      <c:catAx>
        <c:axId val="12898163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003904"/>
        <c:crosses val="autoZero"/>
        <c:auto val="1"/>
        <c:lblAlgn val="ctr"/>
        <c:lblOffset val="100"/>
        <c:noMultiLvlLbl val="0"/>
      </c:catAx>
      <c:valAx>
        <c:axId val="129003904"/>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98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811584"/>
        <c:axId val="129813120"/>
        <c:extLst/>
      </c:barChart>
      <c:catAx>
        <c:axId val="1298115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813120"/>
        <c:crosses val="autoZero"/>
        <c:auto val="1"/>
        <c:lblAlgn val="ctr"/>
        <c:lblOffset val="100"/>
        <c:noMultiLvlLbl val="0"/>
      </c:catAx>
      <c:valAx>
        <c:axId val="1298131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81158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lastbilar'!$Q$37:$Q$61</c:f>
              <c:strCache>
                <c:ptCount val="25"/>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strCache>
            </c:strRef>
          </c:cat>
          <c:val>
            <c:numRef>
              <c:f>'B.4 Tunga lastbilar'!$R$37:$R$61</c:f>
              <c:numCache>
                <c:formatCode>0\.0</c:formatCode>
                <c:ptCount val="25"/>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554112"/>
        <c:axId val="128555648"/>
        <c:extLst/>
      </c:barChart>
      <c:catAx>
        <c:axId val="12855411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555648"/>
        <c:crosses val="autoZero"/>
        <c:auto val="1"/>
        <c:lblAlgn val="ctr"/>
        <c:lblOffset val="100"/>
        <c:noMultiLvlLbl val="0"/>
      </c:catAx>
      <c:valAx>
        <c:axId val="12855564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554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Personbilar'!$Q$37:$Q$61</c:f>
              <c:strCache>
                <c:ptCount val="25"/>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strCache>
            </c:strRef>
          </c:cat>
          <c:val>
            <c:numRef>
              <c:f>'A. Personbilar'!$R$37:$R$61</c:f>
              <c:numCache>
                <c:formatCode>#.##0\.0</c:formatCode>
                <c:ptCount val="25"/>
                <c:pt idx="0">
                  <c:v>-26.602322424973607</c:v>
                </c:pt>
                <c:pt idx="1">
                  <c:v>-7.4484389368130666</c:v>
                </c:pt>
                <c:pt idx="2">
                  <c:v>-39.506953223767383</c:v>
                </c:pt>
                <c:pt idx="3">
                  <c:v>0.32463078963010383</c:v>
                </c:pt>
                <c:pt idx="4">
                  <c:v>8.5748345459777209</c:v>
                </c:pt>
                <c:pt idx="5">
                  <c:v>-27.724061504363483</c:v>
                </c:pt>
                <c:pt idx="6">
                  <c:v>6.2939563714387887</c:v>
                </c:pt>
                <c:pt idx="7">
                  <c:v>3.877221324717286</c:v>
                </c:pt>
                <c:pt idx="8">
                  <c:v>-2.5890253600777591</c:v>
                </c:pt>
                <c:pt idx="9">
                  <c:v>12.128043282236249</c:v>
                </c:pt>
                <c:pt idx="10">
                  <c:v>21.523556231003038</c:v>
                </c:pt>
                <c:pt idx="11">
                  <c:v>28.620114567471539</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5050368"/>
        <c:axId val="115051904"/>
        <c:extLst/>
      </c:barChart>
      <c:catAx>
        <c:axId val="115050368"/>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5051904"/>
        <c:crosses val="autoZero"/>
        <c:auto val="1"/>
        <c:lblAlgn val="ctr"/>
        <c:lblOffset val="100"/>
        <c:noMultiLvlLbl val="0"/>
      </c:catAx>
      <c:valAx>
        <c:axId val="115051904"/>
        <c:scaling>
          <c:orientation val="minMax"/>
        </c:scaling>
        <c:delete val="0"/>
        <c:axPos val="l"/>
        <c:majorGridlines>
          <c:spPr>
            <a:ln w="9525" cap="flat" cmpd="sng" algn="ctr">
              <a:solidFill>
                <a:srgbClr val="5B9BD5"/>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505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Laddhybrid</c:v>
                </c:pt>
                <c:pt idx="2">
                  <c:v>Bensin</c:v>
                </c:pt>
                <c:pt idx="3">
                  <c:v>Elhybrid</c:v>
                </c:pt>
                <c:pt idx="4">
                  <c:v>Diesel</c:v>
                </c:pt>
                <c:pt idx="5">
                  <c:v>Ospec.</c:v>
                </c:pt>
                <c:pt idx="6">
                  <c:v>Gas</c:v>
                </c:pt>
              </c:strCache>
            </c:strRef>
          </c:cat>
          <c:val>
            <c:numRef>
              <c:f>'A.4 Drivmedel PB'!$M$32:$M$38</c:f>
              <c:numCache>
                <c:formatCode>0\.0</c:formatCode>
                <c:ptCount val="7"/>
                <c:pt idx="0">
                  <c:v>28.785699609615779</c:v>
                </c:pt>
                <c:pt idx="1">
                  <c:v>23.292925142113553</c:v>
                </c:pt>
                <c:pt idx="2">
                  <c:v>21.594411341688925</c:v>
                </c:pt>
                <c:pt idx="3">
                  <c:v>11.163618930210259</c:v>
                </c:pt>
                <c:pt idx="4">
                  <c:v>10.999246626943361</c:v>
                </c:pt>
                <c:pt idx="5">
                  <c:v>2.6094103143620302</c:v>
                </c:pt>
                <c:pt idx="6">
                  <c:v>0.83555920827340591</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809408"/>
        <c:axId val="125810944"/>
        <c:extLst/>
      </c:barChart>
      <c:catAx>
        <c:axId val="1258094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810944"/>
        <c:crosses val="autoZero"/>
        <c:auto val="1"/>
        <c:lblAlgn val="ctr"/>
        <c:lblOffset val="100"/>
        <c:noMultiLvlLbl val="0"/>
      </c:catAx>
      <c:valAx>
        <c:axId val="1258109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809408"/>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6071552"/>
        <c:axId val="126073088"/>
        <c:extLst/>
      </c:barChart>
      <c:catAx>
        <c:axId val="1260715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6073088"/>
        <c:crosses val="autoZero"/>
        <c:auto val="1"/>
        <c:lblAlgn val="ctr"/>
        <c:lblOffset val="100"/>
        <c:noMultiLvlLbl val="0"/>
      </c:catAx>
      <c:valAx>
        <c:axId val="1260730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6071552"/>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467648"/>
        <c:axId val="125502208"/>
        <c:extLst/>
      </c:barChart>
      <c:catAx>
        <c:axId val="12546764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502208"/>
        <c:crosses val="autoZero"/>
        <c:auto val="1"/>
        <c:lblAlgn val="ctr"/>
        <c:lblOffset val="100"/>
        <c:noMultiLvlLbl val="0"/>
      </c:catAx>
      <c:valAx>
        <c:axId val="1255022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46764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rgbClr val="FFC658"/>
              </a:solidFill>
              <a:ln>
                <a:noFill/>
              </a:ln>
              <a:effectLst/>
            </c:spPr>
            <c:extLst>
              <c:ext xmlns:c16="http://schemas.microsoft.com/office/drawing/2014/chart" uri="{C3380CC4-5D6E-409C-BE32-E72D297353CC}">
                <c16:uniqueId val="{00000001-012B-4390-AD5C-859BA2BA45B2}"/>
              </c:ext>
            </c:extLst>
          </c:dPt>
          <c:dPt>
            <c:idx val="1"/>
            <c:bubble3D val="0"/>
            <c:spPr>
              <a:solidFill>
                <a:srgbClr val="A66EFF"/>
              </a:solidFill>
              <a:ln>
                <a:noFill/>
              </a:ln>
              <a:effectLst/>
            </c:spPr>
            <c:extLst>
              <c:ext xmlns:c16="http://schemas.microsoft.com/office/drawing/2014/chart" uri="{C3380CC4-5D6E-409C-BE32-E72D297353CC}">
                <c16:uniqueId val="{00000003-012B-4390-AD5C-859BA2BA45B2}"/>
              </c:ext>
            </c:extLst>
          </c:dPt>
          <c:dPt>
            <c:idx val="2"/>
            <c:bubble3D val="0"/>
            <c:spPr>
              <a:solidFill>
                <a:srgbClr val="001489"/>
              </a:solidFill>
              <a:ln>
                <a:noFill/>
              </a:ln>
              <a:effectLst/>
            </c:spPr>
            <c:extLst>
              <c:ext xmlns:c16="http://schemas.microsoft.com/office/drawing/2014/chart" uri="{C3380CC4-5D6E-409C-BE32-E72D297353CC}">
                <c16:uniqueId val="{00000005-012B-4390-AD5C-859BA2BA45B2}"/>
              </c:ext>
            </c:extLst>
          </c:dPt>
          <c:dPt>
            <c:idx val="3"/>
            <c:bubble3D val="0"/>
            <c:spPr>
              <a:solidFill>
                <a:srgbClr val="66CCFF"/>
              </a:solidFill>
              <a:ln>
                <a:noFill/>
              </a:ln>
              <a:effectLst/>
            </c:spPr>
            <c:extLst>
              <c:ext xmlns:c16="http://schemas.microsoft.com/office/drawing/2014/chart" uri="{C3380CC4-5D6E-409C-BE32-E72D297353CC}">
                <c16:uniqueId val="{00000007-012B-4390-AD5C-859BA2BA45B2}"/>
              </c:ext>
            </c:extLst>
          </c:dPt>
          <c:dPt>
            <c:idx val="4"/>
            <c:bubble3D val="0"/>
            <c:spPr>
              <a:solidFill>
                <a:srgbClr val="48D597"/>
              </a:solidFill>
              <a:ln>
                <a:noFill/>
              </a:ln>
              <a:effectLst/>
            </c:spPr>
            <c:extLst>
              <c:ext xmlns:c16="http://schemas.microsoft.com/office/drawing/2014/chart" uri="{C3380CC4-5D6E-409C-BE32-E72D297353CC}">
                <c16:uniqueId val="{00000009-012B-4390-AD5C-859BA2BA45B2}"/>
              </c:ext>
            </c:extLst>
          </c:dPt>
          <c:dPt>
            <c:idx val="5"/>
            <c:bubble3D val="0"/>
            <c:spPr>
              <a:solidFill>
                <a:srgbClr val="B2B1B2"/>
              </a:solidFill>
              <a:ln>
                <a:noFill/>
              </a:ln>
              <a:effectLst/>
            </c:spPr>
            <c:extLst>
              <c:ext xmlns:c16="http://schemas.microsoft.com/office/drawing/2014/chart" uri="{C3380CC4-5D6E-409C-BE32-E72D297353CC}">
                <c16:uniqueId val="{0000000B-012B-4390-AD5C-859BA2BA45B2}"/>
              </c:ext>
            </c:extLst>
          </c:dPt>
          <c:dPt>
            <c:idx val="6"/>
            <c:bubble3D val="0"/>
            <c:spPr>
              <a:solidFill>
                <a:schemeClr val="tx1"/>
              </a:solidFill>
              <a:ln>
                <a:noFill/>
              </a:ln>
              <a:effectLst/>
            </c:spPr>
            <c:extLst>
              <c:ext xmlns:c16="http://schemas.microsoft.com/office/drawing/2014/chart" uri="{C3380CC4-5D6E-409C-BE32-E72D297353CC}">
                <c16:uniqueId val="{0000000D-012B-4390-AD5C-859BA2BA45B2}"/>
              </c:ext>
            </c:extLst>
          </c:dPt>
          <c:dLbls>
            <c:dLbl>
              <c:idx val="0"/>
              <c:layout>
                <c:manualLayout>
                  <c:x val="0.10021201814058957"/>
                  <c:y val="-1.73196180555555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5.1592743764172333E-2"/>
                  <c:y val="0.11432178819444444"/>
                </c:manualLayout>
              </c:layout>
              <c:showLegendKey val="0"/>
              <c:showVal val="0"/>
              <c:showCatName val="1"/>
              <c:showSerName val="0"/>
              <c:showPercent val="1"/>
              <c:showBubbleSize val="0"/>
              <c:extLst>
                <c:ext xmlns:c15="http://schemas.microsoft.com/office/drawing/2012/chart" uri="{CE6537A1-D6FC-4f65-9D91-7224C49458BB}">
                  <c15:layout>
                    <c:manualLayout>
                      <c:w val="7.6952040816326533E-2"/>
                      <c:h val="7.9562673611111093E-2"/>
                    </c:manualLayout>
                  </c15:layout>
                </c:ext>
                <c:ext xmlns:c16="http://schemas.microsoft.com/office/drawing/2014/chart" uri="{C3380CC4-5D6E-409C-BE32-E72D297353CC}">
                  <c16:uniqueId val="{00000003-012B-4390-AD5C-859BA2BA45B2}"/>
                </c:ext>
              </c:extLst>
            </c:dLbl>
            <c:dLbl>
              <c:idx val="2"/>
              <c:layout>
                <c:manualLayout>
                  <c:x val="-3.594546485260771E-2"/>
                  <c:y val="0.11198298611111111"/>
                </c:manualLayout>
              </c:layout>
              <c:showLegendKey val="0"/>
              <c:showVal val="0"/>
              <c:showCatName val="1"/>
              <c:showSerName val="0"/>
              <c:showPercent val="1"/>
              <c:showBubbleSize val="0"/>
              <c:extLst>
                <c:ext xmlns:c15="http://schemas.microsoft.com/office/drawing/2012/chart" uri="{CE6537A1-D6FC-4f65-9D91-7224C49458BB}">
                  <c15:layout>
                    <c:manualLayout>
                      <c:w val="8.3127664399092971E-2"/>
                      <c:h val="6.2152777777777779E-2"/>
                    </c:manualLayout>
                  </c15:layout>
                </c:ext>
                <c:ext xmlns:c16="http://schemas.microsoft.com/office/drawing/2014/chart" uri="{C3380CC4-5D6E-409C-BE32-E72D297353CC}">
                  <c16:uniqueId val="{00000005-012B-4390-AD5C-859BA2BA45B2}"/>
                </c:ext>
              </c:extLst>
            </c:dLbl>
            <c:dLbl>
              <c:idx val="3"/>
              <c:layout>
                <c:manualLayout>
                  <c:x val="-6.6136394557823136E-2"/>
                  <c:y val="0.1025029513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2B-4390-AD5C-859BA2BA45B2}"/>
                </c:ext>
              </c:extLst>
            </c:dLbl>
            <c:dLbl>
              <c:idx val="4"/>
              <c:layout>
                <c:manualLayout>
                  <c:x val="-8.0862585034013612E-2"/>
                  <c:y val="6.93635416666666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12B-4390-AD5C-859BA2BA45B2}"/>
                </c:ext>
              </c:extLst>
            </c:dLbl>
            <c:dLbl>
              <c:idx val="5"/>
              <c:layout>
                <c:manualLayout>
                  <c:x val="-9.0335487528344666E-2"/>
                  <c:y val="1.89927083333333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12B-4390-AD5C-859BA2BA45B2}"/>
                </c:ext>
              </c:extLst>
            </c:dLbl>
            <c:dLbl>
              <c:idx val="6"/>
              <c:layout>
                <c:manualLayout>
                  <c:x val="-8.6271995464852605E-2"/>
                  <c:y val="-8.02414930555555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12B-4390-AD5C-859BA2BA45B2}"/>
                </c:ext>
              </c:extLst>
            </c:dLbl>
            <c:numFmt formatCode="0.0%" sourceLinked="0"/>
            <c:spPr>
              <a:noFill/>
              <a:ln>
                <a:noFill/>
              </a:ln>
              <a:effectLst/>
            </c:spPr>
            <c:txPr>
              <a:bodyPr rot="0" spcFirstLastPara="1" vertOverflow="overflow" horzOverflow="overflow" vert="horz" wrap="square" lIns="39600" tIns="19050" rIns="38100" bIns="19050" anchor="ctr" anchorCtr="1">
                <a:spAutoFit/>
              </a:bodyPr>
              <a:lstStyle/>
              <a:p>
                <a:pPr>
                  <a:defRPr sz="1200" b="0" i="0" u="none" strike="noStrike" kern="1200" baseline="0">
                    <a:solidFill>
                      <a:srgbClr val="001489"/>
                    </a:solidFill>
                    <a:latin typeface="NEUEHAASDISPLAY-THIN" panose="020D0304030502050203" pitchFamily="34" charset="77"/>
                    <a:ea typeface="Arial"/>
                    <a:cs typeface="Arial"/>
                  </a:defRPr>
                </a:pPr>
                <a:endParaRPr lang="sv-S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'A.7 Koldioxidutsläpp PB'!$N$49:$N$55</c:f>
              <c:strCache>
                <c:ptCount val="7"/>
                <c:pt idx="0">
                  <c:v>Högst 50g</c:v>
                </c:pt>
                <c:pt idx="1">
                  <c:v>51-60 g</c:v>
                </c:pt>
                <c:pt idx="2">
                  <c:v>61-95 g</c:v>
                </c:pt>
                <c:pt idx="3">
                  <c:v>96-120 g</c:v>
                </c:pt>
                <c:pt idx="4">
                  <c:v>121-130 g</c:v>
                </c:pt>
                <c:pt idx="5">
                  <c:v>131-140 g</c:v>
                </c:pt>
                <c:pt idx="6">
                  <c:v>Över 140 g</c:v>
                </c:pt>
              </c:strCache>
            </c:strRef>
          </c:cat>
          <c:val>
            <c:numRef>
              <c:f>'A.7 Koldioxidutsläpp PB'!$O$49:$O$55</c:f>
              <c:numCache>
                <c:formatCode>0\.0%</c:formatCode>
                <c:ptCount val="7"/>
                <c:pt idx="0">
                  <c:v>0.40649849191115983</c:v>
                </c:pt>
                <c:pt idx="1">
                  <c:v>2.6734302166163972E-3</c:v>
                </c:pt>
                <c:pt idx="2">
                  <c:v>1.6863175212503429E-2</c:v>
                </c:pt>
                <c:pt idx="3">
                  <c:v>0.13607074307650124</c:v>
                </c:pt>
                <c:pt idx="4">
                  <c:v>6.09404990403071E-2</c:v>
                </c:pt>
                <c:pt idx="5">
                  <c:v>3.0778722237455439E-2</c:v>
                </c:pt>
                <c:pt idx="6">
                  <c:v>0.34617493830545654</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personbilar fördelat på koldioxidutsläpp </a:t>
            </a:r>
          </a:p>
          <a:p>
            <a:pPr>
              <a:defRPr sz="2200">
                <a:solidFill>
                  <a:srgbClr val="001489"/>
                </a:solidFill>
                <a:latin typeface="Neue Haas Grotesk Display Pro" panose="020D0304030502050203" pitchFamily="34" charset="0"/>
              </a:defRPr>
            </a:pPr>
            <a:r>
              <a:rPr lang="sv-SE">
                <a:latin typeface="Neue Haas Grotesk Display Pro" panose="020D0304030502050203" pitchFamily="34" charset="0"/>
              </a:rPr>
              <a:t>(NEDC värden)</a:t>
            </a:r>
          </a:p>
        </c:rich>
      </c:tx>
      <c:layout>
        <c:manualLayout>
          <c:xMode val="edge"/>
          <c:yMode val="edge"/>
          <c:x val="0.16588775510204079"/>
          <c:y val="5.637365591397849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0.16964161381972911"/>
          <c:y val="0.3115838697710262"/>
          <c:w val="0.68518278177842362"/>
          <c:h val="0.50627962481470801"/>
        </c:manualLayout>
      </c:layout>
      <c:barChart>
        <c:barDir val="col"/>
        <c:grouping val="clustered"/>
        <c:varyColors val="0"/>
        <c:ser>
          <c:idx val="0"/>
          <c:order val="0"/>
          <c:tx>
            <c:strRef>
              <c:f>'A.7 Koldioxidutsläpp PB'!$P$73</c:f>
              <c:strCache>
                <c:ptCount val="1"/>
                <c:pt idx="0">
                  <c:v>Jan - dec 2022</c:v>
                </c:pt>
              </c:strCache>
            </c:strRef>
          </c:tx>
          <c:spPr>
            <a:solidFill>
              <a:srgbClr val="001489"/>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PB'!$P$74:$P$80</c:f>
              <c:numCache>
                <c:formatCode>#,##0</c:formatCode>
                <c:ptCount val="7"/>
                <c:pt idx="0">
                  <c:v>9586</c:v>
                </c:pt>
                <c:pt idx="1">
                  <c:v>87</c:v>
                </c:pt>
                <c:pt idx="2">
                  <c:v>790</c:v>
                </c:pt>
                <c:pt idx="3">
                  <c:v>2885</c:v>
                </c:pt>
                <c:pt idx="4">
                  <c:v>1419</c:v>
                </c:pt>
                <c:pt idx="5">
                  <c:v>1084</c:v>
                </c:pt>
                <c:pt idx="6">
                  <c:v>4042</c:v>
                </c:pt>
              </c:numCache>
            </c:numRef>
          </c:val>
          <c:extLst xmlns:c15="http://schemas.microsoft.com/office/drawing/2012/chart">
            <c:ext xmlns:c16="http://schemas.microsoft.com/office/drawing/2014/chart" uri="{C3380CC4-5D6E-409C-BE32-E72D297353CC}">
              <c16:uniqueId val="{00000002-A4B5-4491-A0D4-3B31A94A2BAA}"/>
            </c:ext>
          </c:extLst>
        </c:ser>
        <c:ser>
          <c:idx val="1"/>
          <c:order val="1"/>
          <c:tx>
            <c:strRef>
              <c:f>'A.7 Koldioxidutsläpp PB'!$Q$73</c:f>
              <c:strCache>
                <c:ptCount val="1"/>
                <c:pt idx="0">
                  <c:v>Jan - jan 2023</c:v>
                </c:pt>
              </c:strCache>
            </c:strRef>
          </c:tx>
          <c:spPr>
            <a:solidFill>
              <a:srgbClr val="66CCFF"/>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PB'!$Q$74:$Q$80</c:f>
              <c:numCache>
                <c:formatCode>#,##0</c:formatCode>
                <c:ptCount val="7"/>
                <c:pt idx="0">
                  <c:v>5930</c:v>
                </c:pt>
                <c:pt idx="1">
                  <c:v>39</c:v>
                </c:pt>
                <c:pt idx="2">
                  <c:v>246</c:v>
                </c:pt>
                <c:pt idx="3">
                  <c:v>1985</c:v>
                </c:pt>
                <c:pt idx="4">
                  <c:v>889</c:v>
                </c:pt>
                <c:pt idx="5">
                  <c:v>449</c:v>
                </c:pt>
                <c:pt idx="6">
                  <c:v>5050</c:v>
                </c:pt>
              </c:numCache>
            </c:numRef>
          </c:val>
          <c:extLst>
            <c:ext xmlns:c16="http://schemas.microsoft.com/office/drawing/2014/chart" uri="{C3380CC4-5D6E-409C-BE32-E72D297353CC}">
              <c16:uniqueId val="{00000000-A4B5-4491-A0D4-3B31A94A2BAA}"/>
            </c:ext>
          </c:extLst>
        </c:ser>
        <c:dLbls>
          <c:showLegendKey val="0"/>
          <c:showVal val="0"/>
          <c:showCatName val="0"/>
          <c:showSerName val="0"/>
          <c:showPercent val="0"/>
          <c:showBubbleSize val="0"/>
        </c:dLbls>
        <c:gapWidth val="219"/>
        <c:overlap val="-27"/>
        <c:axId val="126304640"/>
        <c:axId val="126306176"/>
        <c:extLst/>
      </c:barChart>
      <c:catAx>
        <c:axId val="12630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6306176"/>
        <c:crosses val="autoZero"/>
        <c:auto val="1"/>
        <c:lblAlgn val="ctr"/>
        <c:lblOffset val="100"/>
        <c:noMultiLvlLbl val="0"/>
      </c:catAx>
      <c:valAx>
        <c:axId val="126306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6304640"/>
        <c:crosses val="autoZero"/>
        <c:crossBetween val="between"/>
      </c:valAx>
      <c:spPr>
        <a:noFill/>
        <a:ln>
          <a:noFill/>
        </a:ln>
        <a:effectLst/>
      </c:spPr>
    </c:plotArea>
    <c:legend>
      <c:legendPos val="b"/>
      <c:layout>
        <c:manualLayout>
          <c:xMode val="edge"/>
          <c:yMode val="edge"/>
          <c:x val="0.5539662131519274"/>
          <c:y val="0.22715483870967743"/>
          <c:w val="0.278851133786848"/>
          <c:h val="5.78849462365591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CO2-utsläpp nya personbilar per månad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2021-2023 (enligt NEDC)</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'A.7 Koldioxidutsläpp PB'!$O$108</c:f>
              <c:strCache>
                <c:ptCount val="1"/>
                <c:pt idx="0">
                  <c:v>2021</c:v>
                </c:pt>
              </c:strCache>
            </c:strRef>
          </c:tx>
          <c:spPr>
            <a:solidFill>
              <a:srgbClr val="001489"/>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PB'!$O$109:$O$121</c:f>
              <c:numCache>
                <c:formatCode>0\.0</c:formatCode>
                <c:ptCount val="12"/>
                <c:pt idx="0">
                  <c:v>91.9</c:v>
                </c:pt>
                <c:pt idx="1">
                  <c:v>90</c:v>
                </c:pt>
                <c:pt idx="2">
                  <c:v>88.4</c:v>
                </c:pt>
                <c:pt idx="3">
                  <c:v>72.8</c:v>
                </c:pt>
                <c:pt idx="4">
                  <c:v>78.900000000000006</c:v>
                </c:pt>
                <c:pt idx="5">
                  <c:v>67</c:v>
                </c:pt>
                <c:pt idx="6">
                  <c:v>73.900000000000006</c:v>
                </c:pt>
                <c:pt idx="7">
                  <c:v>62.2</c:v>
                </c:pt>
                <c:pt idx="8">
                  <c:v>53</c:v>
                </c:pt>
                <c:pt idx="9">
                  <c:v>58.6</c:v>
                </c:pt>
                <c:pt idx="10">
                  <c:v>53.5</c:v>
                </c:pt>
                <c:pt idx="11">
                  <c:v>45.1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'A.7 Koldioxidutsläpp PB'!$P$108</c:f>
              <c:strCache>
                <c:ptCount val="1"/>
                <c:pt idx="0">
                  <c:v>2022</c:v>
                </c:pt>
              </c:strCache>
            </c:strRef>
          </c:tx>
          <c:spPr>
            <a:solidFill>
              <a:srgbClr val="FFC658"/>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PB'!$P$109:$P$121</c:f>
              <c:numCache>
                <c:formatCode>0\.0</c:formatCode>
                <c:ptCount val="12"/>
                <c:pt idx="0">
                  <c:v>70.7</c:v>
                </c:pt>
                <c:pt idx="1">
                  <c:v>51.1</c:v>
                </c:pt>
                <c:pt idx="2">
                  <c:v>44.8</c:v>
                </c:pt>
                <c:pt idx="3">
                  <c:v>46.5</c:v>
                </c:pt>
                <c:pt idx="4">
                  <c:v>47.7</c:v>
                </c:pt>
                <c:pt idx="5">
                  <c:v>45.3</c:v>
                </c:pt>
                <c:pt idx="6" formatCode="General">
                  <c:v>42.9</c:v>
                </c:pt>
                <c:pt idx="7">
                  <c:v>32.5</c:v>
                </c:pt>
                <c:pt idx="8">
                  <c:v>30.3</c:v>
                </c:pt>
                <c:pt idx="9">
                  <c:v>30.3</c:v>
                </c:pt>
              </c:numCache>
            </c:numRef>
          </c:val>
          <c:extLst>
            <c:ext xmlns:c16="http://schemas.microsoft.com/office/drawing/2014/chart" uri="{C3380CC4-5D6E-409C-BE32-E72D297353CC}">
              <c16:uniqueId val="{00000001-DF09-4D38-A2F5-42CB03C6031A}"/>
            </c:ext>
          </c:extLst>
        </c:ser>
        <c:ser>
          <c:idx val="2"/>
          <c:order val="2"/>
          <c:tx>
            <c:strRef>
              <c:f>'A.7 Koldioxidutsläpp PB'!$Q$108</c:f>
              <c:strCache>
                <c:ptCount val="1"/>
                <c:pt idx="0">
                  <c:v>2023</c:v>
                </c:pt>
              </c:strCache>
            </c:strRef>
          </c:tx>
          <c:spPr>
            <a:solidFill>
              <a:srgbClr val="48D597"/>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PB'!$Q$109:$Q$121</c:f>
              <c:numCache>
                <c:formatCode>0\.0</c:formatCode>
                <c:ptCount val="12"/>
                <c:pt idx="0">
                  <c:v>27.7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197952"/>
        <c:axId val="129199488"/>
        <c:extLst/>
      </c:barChart>
      <c:catAx>
        <c:axId val="1291979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199488"/>
        <c:crosses val="autoZero"/>
        <c:auto val="1"/>
        <c:lblAlgn val="ctr"/>
        <c:lblOffset val="100"/>
        <c:noMultiLvlLbl val="0"/>
      </c:catAx>
      <c:valAx>
        <c:axId val="129199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19795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7.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5.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absolute">
    <xdr:from>
      <xdr:col>13</xdr:col>
      <xdr:colOff>66501</xdr:colOff>
      <xdr:row>6</xdr:row>
      <xdr:rowOff>0</xdr:rowOff>
    </xdr:from>
    <xdr:to>
      <xdr:col>15</xdr:col>
      <xdr:colOff>390699</xdr:colOff>
      <xdr:row>15</xdr:row>
      <xdr:rowOff>0</xdr:rowOff>
    </xdr:to>
    <mc:AlternateContent xmlns:mc="http://schemas.openxmlformats.org/markup-compatibility/2006" xmlns:sle15="http://schemas.microsoft.com/office/drawing/2012/slicer">
      <mc:Choice Requires="sle15">
        <xdr:graphicFrame macro="">
          <xdr:nvGraphicFramePr>
            <xdr:cNvPr id="3" name="miljoklass 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miljoklass 1"/>
            </a:graphicData>
          </a:graphic>
        </xdr:graphicFrame>
      </mc:Choice>
      <mc:Fallback xmlns="">
        <xdr:sp macro="" textlink="">
          <xdr:nvSpPr>
            <xdr:cNvPr id="3" name="Rectangle 2"/>
            <xdr:cNvSpPr>
              <a:spLocks noTextEdit="1"/>
            </xdr:cNvSpPr>
          </xdr:nvSpPr>
          <xdr:spPr>
            <a:xfrm>
              <a:off x="11812385" y="1197031"/>
              <a:ext cx="1936867" cy="1338351"/>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116379</xdr:colOff>
      <xdr:row>0</xdr:row>
      <xdr:rowOff>108066</xdr:rowOff>
    </xdr:from>
    <xdr:to>
      <xdr:col>1</xdr:col>
      <xdr:colOff>1014215</xdr:colOff>
      <xdr:row>1</xdr:row>
      <xdr:rowOff>232772</xdr:rowOff>
    </xdr:to>
    <xdr:pic>
      <xdr:nvPicPr>
        <xdr:cNvPr id="6" name="Bildobjekt 3">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379" y="108066"/>
          <a:ext cx="1271909" cy="3158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absoluteAnchor>
    <xdr:pos x="16625" y="6982689"/>
    <xdr:ext cx="8820000" cy="5760000"/>
    <xdr:graphicFrame macro="">
      <xdr:nvGraphicFramePr>
        <xdr:cNvPr id="2" name="Diagram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313" y="13050980"/>
    <xdr:ext cx="8820000" cy="5580000"/>
    <xdr:graphicFrame macro="">
      <xdr:nvGraphicFramePr>
        <xdr:cNvPr id="3" name="Diagram 1">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0" y="19035974"/>
    <xdr:ext cx="8820000" cy="5580000"/>
    <xdr:graphicFrame macro="">
      <xdr:nvGraphicFramePr>
        <xdr:cNvPr id="4" name="Diagram 1">
          <a:extLst>
            <a:ext uri="{FF2B5EF4-FFF2-40B4-BE49-F238E27FC236}">
              <a16:creationId xmlns:a16="http://schemas.microsoft.com/office/drawing/2014/main" id="{00000000-0008-0000-0A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108066</xdr:colOff>
      <xdr:row>0</xdr:row>
      <xdr:rowOff>99753</xdr:rowOff>
    </xdr:from>
    <xdr:to>
      <xdr:col>1</xdr:col>
      <xdr:colOff>460726</xdr:colOff>
      <xdr:row>1</xdr:row>
      <xdr:rowOff>224459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066" y="99753"/>
          <a:ext cx="1271909" cy="315899"/>
        </a:xfrm>
        <a:prstGeom prst="rect">
          <a:avLst/>
        </a:prstGeom>
      </xdr:spPr>
    </xdr:pic>
    <xdr:clientData/>
  </xdr:twoCellAnchor>
</xdr:wsDr>
</file>

<file path=xl/drawings/drawing18.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0.90279</cdr:y>
    </cdr:from>
    <cdr:to>
      <cdr:x>1</cdr:x>
      <cdr:y>0.95983</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200089"/>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jan  2023</a:t>
          </a:r>
        </a:p>
      </cdr:txBody>
    </cdr:sp>
  </cdr:relSizeAnchor>
  <cdr:relSizeAnchor xmlns:cdr="http://schemas.openxmlformats.org/drawingml/2006/chartDrawing">
    <cdr:from>
      <cdr:x>0.00054</cdr:x>
      <cdr:y>0.05758</cdr:y>
    </cdr:from>
    <cdr:to>
      <cdr:x>1</cdr:x>
      <cdr:y>0.12835</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31645"/>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Nyregistrerade</a:t>
          </a:r>
          <a:r>
            <a:rPr lang="sv-SE" sz="2400" b="0" i="0" baseline="0">
              <a:solidFill>
                <a:srgbClr val="15355B"/>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personbilar</a:t>
          </a:r>
          <a:r>
            <a:rPr lang="sv-SE" sz="2400" b="0" i="0" baseline="0">
              <a:solidFill>
                <a:srgbClr val="001489"/>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 drivmedel</a:t>
          </a:r>
          <a:endParaRPr lang="sv-SE" sz="2000" b="0" i="0">
            <a:solidFill>
              <a:srgbClr val="001489"/>
            </a:solidFill>
            <a:effectLst/>
            <a:latin typeface="Neue Haas Grotesk Display Pro" panose="020D0304030502050203" pitchFamily="34" charset="0"/>
            <a:cs typeface="Arial" panose="020B0604020202020204" pitchFamily="34" charset="0"/>
          </a:endParaRPr>
        </a:p>
        <a:p xmlns:a="http://schemas.openxmlformats.org/drawingml/2006/main">
          <a:endParaRPr lang="sv-SE" sz="11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0.01424</cdr:x>
      <cdr:y>0.02036</cdr:y>
    </cdr:from>
    <cdr:to>
      <cdr:x>0.15845</cdr:x>
      <cdr:y>0.07521</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5614" y="117302"/>
          <a:ext cx="1271909" cy="315899"/>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cdr:x>
      <cdr:y>0.97573</cdr:y>
    </cdr:from>
    <cdr:to>
      <cdr:x>0.99938</cdr:x>
      <cdr:y>1</cdr:y>
    </cdr:to>
    <cdr:sp macro="" textlink="">
      <cdr:nvSpPr>
        <cdr:cNvPr id="2"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5"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6"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0.00953</cdr:x>
      <cdr:y>0.02251</cdr:y>
    </cdr:from>
    <cdr:to>
      <cdr:x>0.15374</cdr:x>
      <cdr:y>0.07912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050" y="125615"/>
          <a:ext cx="1271909" cy="315899"/>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0.01357</cdr:y>
    </cdr:from>
    <cdr:to>
      <cdr:x>0.15751</cdr:x>
      <cdr:y>0.07019</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75738"/>
          <a:ext cx="1271909" cy="315899"/>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5.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102586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jan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4958.254277199077" createdVersion="6" refreshedVersion="4" minRefreshableVersion="3" recordCount="46" xr:uid="{00000000-000A-0000-FFFF-FFFF00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ouwman Sverige"/>
        <s v="Lynk &amp; Co"/>
        <s v="Mazda Motor Sverige"/>
        <s v="Mercedes-Benz Sverige"/>
        <s v="Nio Nextev Sweden"/>
        <s v="Nissan Nordic"/>
        <s v="Polestar Automotive"/>
        <s v="RSA Sverige"/>
        <s v="TM Sweden"/>
        <s v="Toyota Sweden"/>
        <s v="Volkswagen Group Sverige"/>
        <s v="Volvo Car Sverige"/>
        <s v="ÖVRIGA FABRIKAT"/>
        <s v="Bergé Auto" u="1"/>
        <s v="Subaru Nordic" u="1"/>
        <s v="SC Motors Sweden" u="1"/>
        <s v="NEVS" u="1"/>
        <s v="Tesla" u="1"/>
        <s v="RN Nordic" u="1"/>
        <s v="XPENG MOTORS" u="1"/>
        <s v="Hedin Electric Mobility" u="1"/>
        <s v="Hedin MG Sweden" u="1"/>
        <s v="Hedin Motor Company" u="1"/>
        <s v="FCA Sweden" u="1"/>
        <s v="Renault Nordic Sverige" u="1"/>
        <s v="LEVC" u="1"/>
      </sharedItems>
    </cacheField>
    <cacheField name="modell" numFmtId="0">
      <sharedItems count="51">
        <s v="Alfa Romeo"/>
        <s v="Fiat"/>
        <s v="Jeep"/>
        <s v="Jaguar"/>
        <s v="Land Rover"/>
        <s v="BMW"/>
        <s v="Mini"/>
        <s v="Cadillac"/>
        <s v="Alpine"/>
        <s v="BYD"/>
        <s v="Dacia"/>
        <s v="Ford"/>
        <s v="MG"/>
        <s v="Renault"/>
        <s v="Honda"/>
        <s v="Hyundai"/>
        <s v="ORA"/>
        <s v="Subaru"/>
        <s v="Iveco"/>
        <s v="Kia"/>
        <s v="Citroen"/>
        <s v="DS"/>
        <s v="Opel"/>
        <s v="Peugeot"/>
        <s v="Mitsubishi"/>
        <s v="Suzuki"/>
        <s v="Lynk &amp; Co"/>
        <s v="Mazda"/>
        <s v="Mercedes"/>
        <s v="Mercedes AMG"/>
        <s v="Nio"/>
        <s v="Nissan"/>
        <s v="Polestar"/>
        <s v="Maxus"/>
        <s v="Tesla"/>
        <s v="Lexus"/>
        <s v="Toyota"/>
        <s v="Audi"/>
        <s v="CUPRA"/>
        <s v="Porsche"/>
        <s v="Seat"/>
        <s v="Skoda"/>
        <s v="Volkswagen"/>
        <s v="Volvo"/>
        <s v="Övriga"/>
        <s v="Smart" u="1"/>
        <s v="Xpeng" u="1"/>
        <s v="NEVS" u="1"/>
        <s v="SsangYong" u="1"/>
        <s v="LEVC" u="1"/>
        <s v="Polestar 2" u="1"/>
      </sharedItems>
    </cacheField>
    <cacheField name="antalPerioden" numFmtId="0">
      <sharedItems containsSemiMixedTypes="0" containsString="0" containsNumber="1" containsInteger="1" minValue="0" maxValue="3026"/>
    </cacheField>
    <cacheField name="antalFGPeriod" numFmtId="0">
      <sharedItems containsSemiMixedTypes="0" containsString="0" containsNumber="1" containsInteger="1" minValue="0" maxValue="3721"/>
    </cacheField>
    <cacheField name="antalÅret" numFmtId="0">
      <sharedItems containsSemiMixedTypes="0" containsString="0" containsNumber="1" containsInteger="1" minValue="0" maxValue="3026"/>
    </cacheField>
    <cacheField name="antalFGAr" numFmtId="0">
      <sharedItems containsSemiMixedTypes="0" containsString="0" containsNumber="1" containsInteger="1" minValue="0" maxValue="3721"/>
    </cacheField>
    <cacheField name="changePeriod" numFmtId="0">
      <sharedItems containsSemiMixedTypes="0" containsString="0" containsNumber="1" minValue="-100" maxValue="1945.45"/>
    </cacheField>
    <cacheField name="changeAret" numFmtId="0">
      <sharedItems containsSemiMixedTypes="0" containsString="0" containsNumber="1" minValue="-100" maxValue="1945.45"/>
    </cacheField>
    <cacheField name="shrPeriod" numFmtId="0">
      <sharedItems containsSemiMixedTypes="0" containsString="0" containsNumber="1" minValue="0" maxValue="20.72"/>
    </cacheField>
    <cacheField name="shrYear" numFmtId="0">
      <sharedItems containsSemiMixedTypes="0" containsString="0" containsNumber="1" minValue="0" maxValue="20.72"/>
    </cacheField>
    <cacheField name="shrPrevPeriod" numFmtId="0">
      <sharedItems containsSemiMixedTypes="0" containsString="0" containsNumber="1" minValue="0" maxValue="18.71"/>
    </cacheField>
    <cacheField name="shrPrevYear" numFmtId="0">
      <sharedItems containsSemiMixedTypes="0" containsString="0" containsNumber="1" minValue="0" maxValue="18.71"/>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4958.254277893517" createdVersion="6" refreshedVersion="4" minRefreshableVersion="3" recordCount="12" xr:uid="{00000000-000A-0000-FFFF-FFFF01000000}">
  <cacheSource type="external" connectionId="19"/>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7" count="6">
        <n v="0"/>
        <n v="1"/>
        <n v="2"/>
        <n v="5"/>
        <n v="4"/>
        <n v="7"/>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8" count="4">
        <n v="0"/>
        <n v="1"/>
        <n v="6"/>
        <n v="8"/>
      </sharedItems>
    </cacheField>
    <cacheField name="Mar" numFmtId="0">
      <sharedItems containsSemiMixedTypes="0" containsString="0" containsNumber="1" containsInteger="1" minValue="0" maxValue="6" count="5">
        <n v="0"/>
        <n v="2"/>
        <n v="3"/>
        <n v="1"/>
        <n v="6"/>
      </sharedItems>
    </cacheField>
    <cacheField name="Apr" numFmtId="0">
      <sharedItems containsSemiMixedTypes="0" containsString="0" containsNumber="1" containsInteger="1" minValue="0" maxValue="17" count="4">
        <n v="0"/>
        <n v="1"/>
        <n v="14"/>
        <n v="17"/>
      </sharedItems>
    </cacheField>
    <cacheField name="Maj" numFmtId="0">
      <sharedItems containsSemiMixedTypes="0" containsString="0" containsNumber="1" containsInteger="1" minValue="0" maxValue="13" count="5">
        <n v="1"/>
        <n v="0"/>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3" count="4">
        <n v="0"/>
        <n v="1"/>
        <n v="2"/>
        <n v="3"/>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4958.254282060188" createdVersion="6" refreshedVersion="4" minRefreshableVersion="3" recordCount="4" xr:uid="{00000000-000A-0000-FFFF-FFFF02000000}">
  <cacheSource type="external" connectionId="8"/>
  <cacheFields count="11">
    <cacheField name="klass" numFmtId="0">
      <sharedItems count="4">
        <s v="Högst  3,5 ton"/>
        <s v="3,5 -  6,0 ton"/>
        <s v="6,0 - 16,0 ton"/>
        <s v="Över  16,0 ton"/>
      </sharedItems>
    </cacheField>
    <cacheField name="antalPerioden" numFmtId="0">
      <sharedItems containsSemiMixedTypes="0" containsString="0" containsNumber="1" containsInteger="1" minValue="18" maxValue="2356" count="4">
        <n v="2356"/>
        <n v="18"/>
        <n v="22"/>
        <n v="455"/>
      </sharedItems>
    </cacheField>
    <cacheField name="antalPeriodenFG" numFmtId="0">
      <sharedItems containsSemiMixedTypes="0" containsString="0" containsNumber="1" containsInteger="1" minValue="6" maxValue="2074" count="4">
        <n v="2074"/>
        <n v="6"/>
        <n v="16"/>
        <n v="289"/>
      </sharedItems>
    </cacheField>
    <cacheField name="antalAret" numFmtId="0">
      <sharedItems containsSemiMixedTypes="0" containsString="0" containsNumber="1" containsInteger="1" minValue="18" maxValue="2356" count="4">
        <n v="2356"/>
        <n v="18"/>
        <n v="22"/>
        <n v="455"/>
      </sharedItems>
    </cacheField>
    <cacheField name="antalAretFG" numFmtId="0">
      <sharedItems containsSemiMixedTypes="0" containsString="0" containsNumber="1" containsInteger="1" minValue="6" maxValue="2074" count="4">
        <n v="2074"/>
        <n v="6"/>
        <n v="16"/>
        <n v="289"/>
      </sharedItems>
    </cacheField>
    <cacheField name="chgPerioden" numFmtId="0">
      <sharedItems containsSemiMixedTypes="0" containsString="0" containsNumber="1" minValue="13.6" maxValue="200" count="4">
        <n v="13.6"/>
        <n v="200"/>
        <n v="37.5"/>
        <n v="57.4"/>
      </sharedItems>
    </cacheField>
    <cacheField name="chgAret" numFmtId="0">
      <sharedItems containsSemiMixedTypes="0" containsString="0" containsNumber="1" minValue="13.6" maxValue="200" count="4">
        <n v="13.6"/>
        <n v="200"/>
        <n v="37.5"/>
        <n v="57.4"/>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
  <r>
    <x v="0"/>
    <x v="0"/>
    <x v="0"/>
    <x v="0"/>
    <x v="0"/>
    <x v="0"/>
    <x v="0"/>
    <x v="0"/>
    <x v="0"/>
    <x v="0"/>
    <x v="0"/>
    <x v="0"/>
    <x v="0"/>
    <x v="0"/>
    <x v="0"/>
  </r>
  <r>
    <x v="1"/>
    <x v="0"/>
    <x v="0"/>
    <x v="0"/>
    <x v="1"/>
    <x v="0"/>
    <x v="1"/>
    <x v="1"/>
    <x v="0"/>
    <x v="0"/>
    <x v="0"/>
    <x v="0"/>
    <x v="0"/>
    <x v="0"/>
    <x v="0"/>
  </r>
  <r>
    <x v="2"/>
    <x v="0"/>
    <x v="0"/>
    <x v="0"/>
    <x v="0"/>
    <x v="0"/>
    <x v="0"/>
    <x v="1"/>
    <x v="0"/>
    <x v="0"/>
    <x v="0"/>
    <x v="1"/>
    <x v="0"/>
    <x v="0"/>
    <x v="0"/>
  </r>
  <r>
    <x v="3"/>
    <x v="0"/>
    <x v="1"/>
    <x v="1"/>
    <x v="0"/>
    <x v="1"/>
    <x v="1"/>
    <x v="0"/>
    <x v="1"/>
    <x v="1"/>
    <x v="0"/>
    <x v="0"/>
    <x v="1"/>
    <x v="0"/>
    <x v="0"/>
  </r>
  <r>
    <x v="4"/>
    <x v="0"/>
    <x v="1"/>
    <x v="1"/>
    <x v="0"/>
    <x v="0"/>
    <x v="0"/>
    <x v="0"/>
    <x v="0"/>
    <x v="0"/>
    <x v="0"/>
    <x v="1"/>
    <x v="0"/>
    <x v="0"/>
    <x v="0"/>
  </r>
  <r>
    <x v="5"/>
    <x v="1"/>
    <x v="2"/>
    <x v="2"/>
    <x v="0"/>
    <x v="0"/>
    <x v="0"/>
    <x v="1"/>
    <x v="0"/>
    <x v="0"/>
    <x v="0"/>
    <x v="0"/>
    <x v="0"/>
    <x v="0"/>
    <x v="0"/>
  </r>
  <r>
    <x v="5"/>
    <x v="0"/>
    <x v="0"/>
    <x v="0"/>
    <x v="0"/>
    <x v="0"/>
    <x v="1"/>
    <x v="1"/>
    <x v="0"/>
    <x v="0"/>
    <x v="0"/>
    <x v="0"/>
    <x v="0"/>
    <x v="1"/>
    <x v="1"/>
  </r>
  <r>
    <x v="6"/>
    <x v="1"/>
    <x v="3"/>
    <x v="3"/>
    <x v="0"/>
    <x v="0"/>
    <x v="0"/>
    <x v="1"/>
    <x v="0"/>
    <x v="0"/>
    <x v="0"/>
    <x v="0"/>
    <x v="0"/>
    <x v="0"/>
    <x v="0"/>
  </r>
  <r>
    <x v="6"/>
    <x v="0"/>
    <x v="4"/>
    <x v="4"/>
    <x v="2"/>
    <x v="2"/>
    <x v="2"/>
    <x v="2"/>
    <x v="2"/>
    <x v="2"/>
    <x v="1"/>
    <x v="0"/>
    <x v="1"/>
    <x v="2"/>
    <x v="2"/>
  </r>
  <r>
    <x v="7"/>
    <x v="0"/>
    <x v="1"/>
    <x v="1"/>
    <x v="1"/>
    <x v="3"/>
    <x v="0"/>
    <x v="3"/>
    <x v="0"/>
    <x v="0"/>
    <x v="2"/>
    <x v="0"/>
    <x v="2"/>
    <x v="3"/>
    <x v="3"/>
  </r>
  <r>
    <x v="8"/>
    <x v="1"/>
    <x v="5"/>
    <x v="5"/>
    <x v="0"/>
    <x v="0"/>
    <x v="0"/>
    <x v="1"/>
    <x v="0"/>
    <x v="0"/>
    <x v="0"/>
    <x v="0"/>
    <x v="0"/>
    <x v="0"/>
    <x v="0"/>
  </r>
  <r>
    <x v="8"/>
    <x v="0"/>
    <x v="5"/>
    <x v="5"/>
    <x v="3"/>
    <x v="4"/>
    <x v="3"/>
    <x v="4"/>
    <x v="3"/>
    <x v="3"/>
    <x v="3"/>
    <x v="2"/>
    <x v="3"/>
    <x v="4"/>
    <x v="4"/>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09"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79" firstHeaderRow="0" firstDataRow="1" firstDataCol="1"/>
  <pivotFields count="14">
    <pivotField axis="axisRow" showAll="0" sortType="ascending">
      <items count="39">
        <item x="0"/>
        <item x="1"/>
        <item m="1" x="25"/>
        <item x="2"/>
        <item m="1" x="35"/>
        <item x="3"/>
        <item m="1" x="32"/>
        <item m="1" x="33"/>
        <item x="4"/>
        <item m="1" x="34"/>
        <item x="5"/>
        <item x="6"/>
        <item x="7"/>
        <item x="8"/>
        <item x="9"/>
        <item x="10"/>
        <item x="11"/>
        <item m="1" x="37"/>
        <item x="12"/>
        <item x="13"/>
        <item x="14"/>
        <item x="15"/>
        <item m="1" x="28"/>
        <item x="16"/>
        <item x="17"/>
        <item x="18"/>
        <item m="1" x="36"/>
        <item m="1" x="30"/>
        <item x="19"/>
        <item m="1" x="27"/>
        <item m="1" x="26"/>
        <item m="1" x="29"/>
        <item x="20"/>
        <item x="21"/>
        <item x="22"/>
        <item x="23"/>
        <item m="1" x="31"/>
        <item x="24"/>
        <item t="default"/>
      </items>
    </pivotField>
    <pivotField axis="axisRow" showAll="0">
      <items count="52">
        <item x="0"/>
        <item x="37"/>
        <item x="5"/>
        <item x="20"/>
        <item x="10"/>
        <item x="21"/>
        <item x="1"/>
        <item x="11"/>
        <item x="14"/>
        <item x="15"/>
        <item x="18"/>
        <item x="3"/>
        <item x="2"/>
        <item x="19"/>
        <item x="4"/>
        <item x="35"/>
        <item x="33"/>
        <item x="27"/>
        <item x="28"/>
        <item x="29"/>
        <item x="6"/>
        <item x="24"/>
        <item m="1" x="47"/>
        <item x="31"/>
        <item x="22"/>
        <item x="23"/>
        <item x="32"/>
        <item x="39"/>
        <item x="13"/>
        <item x="40"/>
        <item x="41"/>
        <item m="1" x="45"/>
        <item x="17"/>
        <item x="25"/>
        <item x="34"/>
        <item x="36"/>
        <item x="42"/>
        <item x="43"/>
        <item x="44"/>
        <item x="7"/>
        <item x="26"/>
        <item m="1" x="50"/>
        <item x="8"/>
        <item x="12"/>
        <item m="1" x="48"/>
        <item m="1" x="49"/>
        <item m="1" x="46"/>
        <item x="9"/>
        <item x="16"/>
        <item x="30"/>
        <item x="38"/>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2">
    <i>
      <x/>
    </i>
    <i r="1">
      <x/>
    </i>
    <i r="1">
      <x v="6"/>
    </i>
    <i r="1">
      <x v="12"/>
    </i>
    <i>
      <x v="1"/>
    </i>
    <i r="1">
      <x v="11"/>
    </i>
    <i r="1">
      <x v="14"/>
    </i>
    <i>
      <x v="3"/>
    </i>
    <i r="1">
      <x v="2"/>
    </i>
    <i r="1">
      <x v="20"/>
    </i>
    <i>
      <x v="5"/>
    </i>
    <i r="1">
      <x v="39"/>
    </i>
    <i>
      <x v="8"/>
    </i>
    <i r="1">
      <x v="4"/>
    </i>
    <i r="1">
      <x v="7"/>
    </i>
    <i r="1">
      <x v="28"/>
    </i>
    <i r="1">
      <x v="42"/>
    </i>
    <i r="1">
      <x v="43"/>
    </i>
    <i r="1">
      <x v="47"/>
    </i>
    <i>
      <x v="10"/>
    </i>
    <i r="1">
      <x v="8"/>
    </i>
    <i>
      <x v="11"/>
    </i>
    <i r="1">
      <x v="9"/>
    </i>
    <i>
      <x v="12"/>
    </i>
    <i r="1">
      <x v="32"/>
    </i>
    <i r="1">
      <x v="48"/>
    </i>
    <i>
      <x v="13"/>
    </i>
    <i r="1">
      <x v="10"/>
    </i>
    <i>
      <x v="14"/>
    </i>
    <i r="1">
      <x v="13"/>
    </i>
    <i>
      <x v="15"/>
    </i>
    <i r="1">
      <x v="3"/>
    </i>
    <i r="1">
      <x v="5"/>
    </i>
    <i r="1">
      <x v="24"/>
    </i>
    <i r="1">
      <x v="25"/>
    </i>
    <i>
      <x v="16"/>
    </i>
    <i r="1">
      <x v="21"/>
    </i>
    <i>
      <x v="18"/>
    </i>
    <i r="1">
      <x v="33"/>
    </i>
    <i>
      <x v="19"/>
    </i>
    <i r="1">
      <x v="40"/>
    </i>
    <i>
      <x v="20"/>
    </i>
    <i r="1">
      <x v="17"/>
    </i>
    <i>
      <x v="21"/>
    </i>
    <i r="1">
      <x v="18"/>
    </i>
    <i r="1">
      <x v="19"/>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77">
      <pivotArea type="all" dataOnly="0" outline="0" fieldPosition="0"/>
    </format>
    <format dxfId="476">
      <pivotArea outline="0" collapsedLevelsAreSubtotals="1" fieldPosition="0"/>
    </format>
    <format dxfId="475">
      <pivotArea field="0" type="button" dataOnly="0" labelOnly="1" outline="0" axis="axisRow" fieldPosition="0"/>
    </format>
    <format dxfId="474">
      <pivotArea dataOnly="0" labelOnly="1" fieldPosition="0">
        <references count="1">
          <reference field="0" count="0"/>
        </references>
      </pivotArea>
    </format>
    <format dxfId="473">
      <pivotArea dataOnly="0" labelOnly="1" grandRow="1" outline="0" fieldPosition="0"/>
    </format>
    <format dxfId="472">
      <pivotArea dataOnly="0" labelOnly="1" fieldPosition="0">
        <references count="2">
          <reference field="0" count="1" selected="0">
            <x v="1"/>
          </reference>
          <reference field="1" count="2">
            <x v="11"/>
            <x v="14"/>
          </reference>
        </references>
      </pivotArea>
    </format>
    <format dxfId="471">
      <pivotArea dataOnly="0" labelOnly="1" fieldPosition="0">
        <references count="2">
          <reference field="0" count="1" selected="0">
            <x v="2"/>
          </reference>
          <reference field="1" count="3">
            <x v="0"/>
            <x v="6"/>
            <x v="12"/>
          </reference>
        </references>
      </pivotArea>
    </format>
    <format dxfId="470">
      <pivotArea dataOnly="0" labelOnly="1" fieldPosition="0">
        <references count="2">
          <reference field="0" count="1" selected="0">
            <x v="3"/>
          </reference>
          <reference field="1" count="2">
            <x v="2"/>
            <x v="20"/>
          </reference>
        </references>
      </pivotArea>
    </format>
    <format dxfId="469">
      <pivotArea dataOnly="0" labelOnly="1" fieldPosition="0">
        <references count="2">
          <reference field="0" count="1" selected="0">
            <x v="5"/>
          </reference>
          <reference field="1" count="1">
            <x v="39"/>
          </reference>
        </references>
      </pivotArea>
    </format>
    <format dxfId="468">
      <pivotArea dataOnly="0" labelOnly="1" fieldPosition="0">
        <references count="2">
          <reference field="0" count="1" selected="0">
            <x v="7"/>
          </reference>
          <reference field="1" count="1">
            <x v="43"/>
          </reference>
        </references>
      </pivotArea>
    </format>
    <format dxfId="467">
      <pivotArea dataOnly="0" labelOnly="1" fieldPosition="0">
        <references count="2">
          <reference field="0" count="1" selected="0">
            <x v="9"/>
          </reference>
          <reference field="1" count="1">
            <x v="7"/>
          </reference>
        </references>
      </pivotArea>
    </format>
    <format dxfId="466">
      <pivotArea dataOnly="0" labelOnly="1" fieldPosition="0">
        <references count="2">
          <reference field="0" count="1" selected="0">
            <x v="10"/>
          </reference>
          <reference field="1" count="1">
            <x v="8"/>
          </reference>
        </references>
      </pivotArea>
    </format>
    <format dxfId="465">
      <pivotArea dataOnly="0" labelOnly="1" fieldPosition="0">
        <references count="2">
          <reference field="0" count="1" selected="0">
            <x v="11"/>
          </reference>
          <reference field="1" count="1">
            <x v="9"/>
          </reference>
        </references>
      </pivotArea>
    </format>
    <format dxfId="464">
      <pivotArea dataOnly="0" labelOnly="1" fieldPosition="0">
        <references count="2">
          <reference field="0" count="1" selected="0">
            <x v="13"/>
          </reference>
          <reference field="1" count="1">
            <x v="10"/>
          </reference>
        </references>
      </pivotArea>
    </format>
    <format dxfId="463">
      <pivotArea dataOnly="0" labelOnly="1" fieldPosition="0">
        <references count="2">
          <reference field="0" count="1" selected="0">
            <x v="14"/>
          </reference>
          <reference field="1" count="1">
            <x v="13"/>
          </reference>
        </references>
      </pivotArea>
    </format>
    <format dxfId="462">
      <pivotArea dataOnly="0" labelOnly="1" fieldPosition="0">
        <references count="2">
          <reference field="0" count="1" selected="0">
            <x v="15"/>
          </reference>
          <reference field="1" count="4">
            <x v="3"/>
            <x v="5"/>
            <x v="24"/>
            <x v="25"/>
          </reference>
        </references>
      </pivotArea>
    </format>
    <format dxfId="461">
      <pivotArea dataOnly="0" labelOnly="1" fieldPosition="0">
        <references count="2">
          <reference field="0" count="1" selected="0">
            <x v="16"/>
          </reference>
          <reference field="1" count="1">
            <x v="21"/>
          </reference>
        </references>
      </pivotArea>
    </format>
    <format dxfId="460">
      <pivotArea dataOnly="0" labelOnly="1" fieldPosition="0">
        <references count="2">
          <reference field="0" count="1" selected="0">
            <x v="18"/>
          </reference>
          <reference field="1" count="1">
            <x v="33"/>
          </reference>
        </references>
      </pivotArea>
    </format>
    <format dxfId="459">
      <pivotArea dataOnly="0" labelOnly="1" fieldPosition="0">
        <references count="2">
          <reference field="0" count="1" selected="0">
            <x v="19"/>
          </reference>
          <reference field="1" count="1">
            <x v="40"/>
          </reference>
        </references>
      </pivotArea>
    </format>
    <format dxfId="458">
      <pivotArea dataOnly="0" labelOnly="1" fieldPosition="0">
        <references count="2">
          <reference field="0" count="1" selected="0">
            <x v="20"/>
          </reference>
          <reference field="1" count="1">
            <x v="17"/>
          </reference>
        </references>
      </pivotArea>
    </format>
    <format dxfId="457">
      <pivotArea dataOnly="0" labelOnly="1" fieldPosition="0">
        <references count="2">
          <reference field="0" count="1" selected="0">
            <x v="21"/>
          </reference>
          <reference field="1" count="2">
            <x v="18"/>
            <x v="19"/>
          </reference>
        </references>
      </pivotArea>
    </format>
    <format dxfId="456">
      <pivotArea dataOnly="0" labelOnly="1" fieldPosition="0">
        <references count="2">
          <reference field="0" count="1" selected="0">
            <x v="22"/>
          </reference>
          <reference field="1" count="1">
            <x v="22"/>
          </reference>
        </references>
      </pivotArea>
    </format>
    <format dxfId="455">
      <pivotArea dataOnly="0" labelOnly="1" fieldPosition="0">
        <references count="2">
          <reference field="0" count="1" selected="0">
            <x v="24"/>
          </reference>
          <reference field="1" count="1">
            <x v="23"/>
          </reference>
        </references>
      </pivotArea>
    </format>
    <format dxfId="454">
      <pivotArea dataOnly="0" labelOnly="1" fieldPosition="0">
        <references count="2">
          <reference field="0" count="1" selected="0">
            <x v="25"/>
          </reference>
          <reference field="1" count="1">
            <x v="26"/>
          </reference>
        </references>
      </pivotArea>
    </format>
    <format dxfId="453">
      <pivotArea dataOnly="0" labelOnly="1" fieldPosition="0">
        <references count="2">
          <reference field="0" count="1" selected="0">
            <x v="26"/>
          </reference>
          <reference field="1" count="3">
            <x v="4"/>
            <x v="28"/>
            <x v="42"/>
          </reference>
        </references>
      </pivotArea>
    </format>
    <format dxfId="452">
      <pivotArea dataOnly="0" labelOnly="1" fieldPosition="0">
        <references count="2">
          <reference field="0" count="1" selected="0">
            <x v="28"/>
          </reference>
          <reference field="1" count="1">
            <x v="16"/>
          </reference>
        </references>
      </pivotArea>
    </format>
    <format dxfId="451">
      <pivotArea dataOnly="0" labelOnly="1" fieldPosition="0">
        <references count="2">
          <reference field="0" count="1" selected="0">
            <x v="30"/>
          </reference>
          <reference field="1" count="1">
            <x v="32"/>
          </reference>
        </references>
      </pivotArea>
    </format>
    <format dxfId="450">
      <pivotArea dataOnly="0" labelOnly="1" fieldPosition="0">
        <references count="2">
          <reference field="0" count="1" selected="0">
            <x v="32"/>
          </reference>
          <reference field="1" count="1">
            <x v="34"/>
          </reference>
        </references>
      </pivotArea>
    </format>
    <format dxfId="449">
      <pivotArea dataOnly="0" labelOnly="1" fieldPosition="0">
        <references count="2">
          <reference field="0" count="1" selected="0">
            <x v="33"/>
          </reference>
          <reference field="1" count="2">
            <x v="15"/>
            <x v="35"/>
          </reference>
        </references>
      </pivotArea>
    </format>
    <format dxfId="448">
      <pivotArea dataOnly="0" labelOnly="1" fieldPosition="0">
        <references count="2">
          <reference field="0" count="1" selected="0">
            <x v="34"/>
          </reference>
          <reference field="1" count="5">
            <x v="1"/>
            <x v="27"/>
            <x v="29"/>
            <x v="30"/>
            <x v="36"/>
          </reference>
        </references>
      </pivotArea>
    </format>
    <format dxfId="447">
      <pivotArea dataOnly="0" labelOnly="1" fieldPosition="0">
        <references count="2">
          <reference field="0" count="1" selected="0">
            <x v="35"/>
          </reference>
          <reference field="1" count="2">
            <x v="26"/>
            <x v="37"/>
          </reference>
        </references>
      </pivotArea>
    </format>
    <format dxfId="446">
      <pivotArea dataOnly="0" labelOnly="1" fieldPosition="0">
        <references count="2">
          <reference field="0" count="1" selected="0">
            <x v="37"/>
          </reference>
          <reference field="1" count="1">
            <x v="38"/>
          </reference>
        </references>
      </pivotArea>
    </format>
    <format dxfId="445">
      <pivotArea dataOnly="0" labelOnly="1" outline="0" fieldPosition="0">
        <references count="1">
          <reference field="4294967294" count="8">
            <x v="0"/>
            <x v="1"/>
            <x v="2"/>
            <x v="3"/>
            <x v="4"/>
            <x v="5"/>
            <x v="6"/>
            <x v="7"/>
          </reference>
        </references>
      </pivotArea>
    </format>
    <format dxfId="444">
      <pivotArea type="all" dataOnly="0" outline="0" fieldPosition="0"/>
    </format>
    <format dxfId="443">
      <pivotArea outline="0" collapsedLevelsAreSubtotals="1" fieldPosition="0"/>
    </format>
    <format dxfId="442">
      <pivotArea field="0" type="button" dataOnly="0" labelOnly="1" outline="0" axis="axisRow" fieldPosition="0"/>
    </format>
    <format dxfId="441">
      <pivotArea dataOnly="0" labelOnly="1" fieldPosition="0">
        <references count="1">
          <reference field="0" count="0"/>
        </references>
      </pivotArea>
    </format>
    <format dxfId="440">
      <pivotArea dataOnly="0" labelOnly="1" grandRow="1" outline="0" fieldPosition="0"/>
    </format>
    <format dxfId="439">
      <pivotArea dataOnly="0" labelOnly="1" fieldPosition="0">
        <references count="2">
          <reference field="0" count="1" selected="0">
            <x v="1"/>
          </reference>
          <reference field="1" count="2">
            <x v="11"/>
            <x v="14"/>
          </reference>
        </references>
      </pivotArea>
    </format>
    <format dxfId="438">
      <pivotArea dataOnly="0" labelOnly="1" fieldPosition="0">
        <references count="2">
          <reference field="0" count="1" selected="0">
            <x v="2"/>
          </reference>
          <reference field="1" count="3">
            <x v="0"/>
            <x v="6"/>
            <x v="12"/>
          </reference>
        </references>
      </pivotArea>
    </format>
    <format dxfId="437">
      <pivotArea dataOnly="0" labelOnly="1" fieldPosition="0">
        <references count="2">
          <reference field="0" count="1" selected="0">
            <x v="3"/>
          </reference>
          <reference field="1" count="2">
            <x v="2"/>
            <x v="20"/>
          </reference>
        </references>
      </pivotArea>
    </format>
    <format dxfId="436">
      <pivotArea dataOnly="0" labelOnly="1" fieldPosition="0">
        <references count="2">
          <reference field="0" count="1" selected="0">
            <x v="5"/>
          </reference>
          <reference field="1" count="1">
            <x v="39"/>
          </reference>
        </references>
      </pivotArea>
    </format>
    <format dxfId="435">
      <pivotArea dataOnly="0" labelOnly="1" fieldPosition="0">
        <references count="2">
          <reference field="0" count="1" selected="0">
            <x v="7"/>
          </reference>
          <reference field="1" count="1">
            <x v="43"/>
          </reference>
        </references>
      </pivotArea>
    </format>
    <format dxfId="434">
      <pivotArea dataOnly="0" labelOnly="1" fieldPosition="0">
        <references count="2">
          <reference field="0" count="1" selected="0">
            <x v="9"/>
          </reference>
          <reference field="1" count="1">
            <x v="7"/>
          </reference>
        </references>
      </pivotArea>
    </format>
    <format dxfId="433">
      <pivotArea dataOnly="0" labelOnly="1" fieldPosition="0">
        <references count="2">
          <reference field="0" count="1" selected="0">
            <x v="10"/>
          </reference>
          <reference field="1" count="1">
            <x v="8"/>
          </reference>
        </references>
      </pivotArea>
    </format>
    <format dxfId="432">
      <pivotArea dataOnly="0" labelOnly="1" fieldPosition="0">
        <references count="2">
          <reference field="0" count="1" selected="0">
            <x v="11"/>
          </reference>
          <reference field="1" count="1">
            <x v="9"/>
          </reference>
        </references>
      </pivotArea>
    </format>
    <format dxfId="431">
      <pivotArea dataOnly="0" labelOnly="1" fieldPosition="0">
        <references count="2">
          <reference field="0" count="1" selected="0">
            <x v="13"/>
          </reference>
          <reference field="1" count="1">
            <x v="10"/>
          </reference>
        </references>
      </pivotArea>
    </format>
    <format dxfId="430">
      <pivotArea dataOnly="0" labelOnly="1" fieldPosition="0">
        <references count="2">
          <reference field="0" count="1" selected="0">
            <x v="14"/>
          </reference>
          <reference field="1" count="1">
            <x v="13"/>
          </reference>
        </references>
      </pivotArea>
    </format>
    <format dxfId="429">
      <pivotArea dataOnly="0" labelOnly="1" fieldPosition="0">
        <references count="2">
          <reference field="0" count="1" selected="0">
            <x v="15"/>
          </reference>
          <reference field="1" count="4">
            <x v="3"/>
            <x v="5"/>
            <x v="24"/>
            <x v="25"/>
          </reference>
        </references>
      </pivotArea>
    </format>
    <format dxfId="428">
      <pivotArea dataOnly="0" labelOnly="1" fieldPosition="0">
        <references count="2">
          <reference field="0" count="1" selected="0">
            <x v="16"/>
          </reference>
          <reference field="1" count="1">
            <x v="21"/>
          </reference>
        </references>
      </pivotArea>
    </format>
    <format dxfId="427">
      <pivotArea dataOnly="0" labelOnly="1" fieldPosition="0">
        <references count="2">
          <reference field="0" count="1" selected="0">
            <x v="18"/>
          </reference>
          <reference field="1" count="1">
            <x v="33"/>
          </reference>
        </references>
      </pivotArea>
    </format>
    <format dxfId="426">
      <pivotArea dataOnly="0" labelOnly="1" fieldPosition="0">
        <references count="2">
          <reference field="0" count="1" selected="0">
            <x v="19"/>
          </reference>
          <reference field="1" count="1">
            <x v="40"/>
          </reference>
        </references>
      </pivotArea>
    </format>
    <format dxfId="425">
      <pivotArea dataOnly="0" labelOnly="1" fieldPosition="0">
        <references count="2">
          <reference field="0" count="1" selected="0">
            <x v="20"/>
          </reference>
          <reference field="1" count="1">
            <x v="17"/>
          </reference>
        </references>
      </pivotArea>
    </format>
    <format dxfId="424">
      <pivotArea dataOnly="0" labelOnly="1" fieldPosition="0">
        <references count="2">
          <reference field="0" count="1" selected="0">
            <x v="21"/>
          </reference>
          <reference field="1" count="2">
            <x v="18"/>
            <x v="19"/>
          </reference>
        </references>
      </pivotArea>
    </format>
    <format dxfId="423">
      <pivotArea dataOnly="0" labelOnly="1" fieldPosition="0">
        <references count="2">
          <reference field="0" count="1" selected="0">
            <x v="22"/>
          </reference>
          <reference field="1" count="1">
            <x v="22"/>
          </reference>
        </references>
      </pivotArea>
    </format>
    <format dxfId="422">
      <pivotArea dataOnly="0" labelOnly="1" fieldPosition="0">
        <references count="2">
          <reference field="0" count="1" selected="0">
            <x v="24"/>
          </reference>
          <reference field="1" count="1">
            <x v="23"/>
          </reference>
        </references>
      </pivotArea>
    </format>
    <format dxfId="421">
      <pivotArea dataOnly="0" labelOnly="1" fieldPosition="0">
        <references count="2">
          <reference field="0" count="1" selected="0">
            <x v="25"/>
          </reference>
          <reference field="1" count="1">
            <x v="26"/>
          </reference>
        </references>
      </pivotArea>
    </format>
    <format dxfId="420">
      <pivotArea dataOnly="0" labelOnly="1" fieldPosition="0">
        <references count="2">
          <reference field="0" count="1" selected="0">
            <x v="26"/>
          </reference>
          <reference field="1" count="3">
            <x v="4"/>
            <x v="28"/>
            <x v="42"/>
          </reference>
        </references>
      </pivotArea>
    </format>
    <format dxfId="419">
      <pivotArea dataOnly="0" labelOnly="1" fieldPosition="0">
        <references count="2">
          <reference field="0" count="1" selected="0">
            <x v="28"/>
          </reference>
          <reference field="1" count="1">
            <x v="16"/>
          </reference>
        </references>
      </pivotArea>
    </format>
    <format dxfId="418">
      <pivotArea dataOnly="0" labelOnly="1" fieldPosition="0">
        <references count="2">
          <reference field="0" count="1" selected="0">
            <x v="30"/>
          </reference>
          <reference field="1" count="1">
            <x v="32"/>
          </reference>
        </references>
      </pivotArea>
    </format>
    <format dxfId="417">
      <pivotArea dataOnly="0" labelOnly="1" fieldPosition="0">
        <references count="2">
          <reference field="0" count="1" selected="0">
            <x v="32"/>
          </reference>
          <reference field="1" count="1">
            <x v="34"/>
          </reference>
        </references>
      </pivotArea>
    </format>
    <format dxfId="416">
      <pivotArea dataOnly="0" labelOnly="1" fieldPosition="0">
        <references count="2">
          <reference field="0" count="1" selected="0">
            <x v="33"/>
          </reference>
          <reference field="1" count="2">
            <x v="15"/>
            <x v="35"/>
          </reference>
        </references>
      </pivotArea>
    </format>
    <format dxfId="415">
      <pivotArea dataOnly="0" labelOnly="1" fieldPosition="0">
        <references count="2">
          <reference field="0" count="1" selected="0">
            <x v="34"/>
          </reference>
          <reference field="1" count="5">
            <x v="1"/>
            <x v="27"/>
            <x v="29"/>
            <x v="30"/>
            <x v="36"/>
          </reference>
        </references>
      </pivotArea>
    </format>
    <format dxfId="414">
      <pivotArea dataOnly="0" labelOnly="1" fieldPosition="0">
        <references count="2">
          <reference field="0" count="1" selected="0">
            <x v="35"/>
          </reference>
          <reference field="1" count="2">
            <x v="26"/>
            <x v="37"/>
          </reference>
        </references>
      </pivotArea>
    </format>
    <format dxfId="413">
      <pivotArea dataOnly="0" labelOnly="1" fieldPosition="0">
        <references count="2">
          <reference field="0" count="1" selected="0">
            <x v="37"/>
          </reference>
          <reference field="1" count="1">
            <x v="38"/>
          </reference>
        </references>
      </pivotArea>
    </format>
    <format dxfId="412">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111"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5">
        <item x="0"/>
        <item x="1"/>
        <item x="2"/>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2"/>
          </reference>
        </references>
      </pivotArea>
    </format>
    <format dxfId="195">
      <pivotArea dataOnly="0" labelOnly="1" fieldPosition="0">
        <references count="1">
          <reference field="0" count="1">
            <x v="2"/>
          </reference>
        </references>
      </pivotArea>
    </format>
    <format dxfId="194">
      <pivotArea collapsedLevelsAreSubtotals="1" fieldPosition="0">
        <references count="1">
          <reference field="0" count="1">
            <x v="3"/>
          </reference>
        </references>
      </pivotArea>
    </format>
    <format dxfId="193">
      <pivotArea dataOnly="0" labelOnly="1" fieldPosition="0">
        <references count="1">
          <reference field="0" count="1">
            <x v="3"/>
          </reference>
        </references>
      </pivotArea>
    </format>
    <format dxfId="192">
      <pivotArea collapsedLevelsAreSubtotals="1" fieldPosition="0">
        <references count="1">
          <reference field="0" count="1">
            <x v="3"/>
          </reference>
        </references>
      </pivotArea>
    </format>
    <format dxfId="191">
      <pivotArea dataOnly="0" labelOnly="1" fieldPosition="0">
        <references count="1">
          <reference field="0" count="1">
            <x v="3"/>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1"/>
          </reference>
        </references>
      </pivotArea>
    </format>
    <format dxfId="182">
      <pivotArea dataOnly="0" labelOnly="1" fieldPosition="0">
        <references count="1">
          <reference field="0" count="1">
            <x v="2"/>
          </reference>
        </references>
      </pivotArea>
    </format>
    <format dxfId="181">
      <pivotArea collapsedLevelsAreSubtotals="1" fieldPosition="0">
        <references count="2">
          <reference field="4294967294" count="1" selected="0">
            <x v="0"/>
          </reference>
          <reference field="0" count="1">
            <x v="1"/>
          </reference>
        </references>
      </pivotArea>
    </format>
    <format dxfId="180">
      <pivotArea collapsedLevelsAreSubtotals="1" fieldPosition="0">
        <references count="2">
          <reference field="4294967294" count="1" selected="0">
            <x v="0"/>
          </reference>
          <reference field="0" count="1">
            <x v="2"/>
          </reference>
        </references>
      </pivotArea>
    </format>
    <format dxfId="179">
      <pivotArea collapsedLevelsAreSubtotals="1" fieldPosition="0">
        <references count="2">
          <reference field="4294967294" count="1" selected="0">
            <x v="1"/>
          </reference>
          <reference field="0" count="1">
            <x v="1"/>
          </reference>
        </references>
      </pivotArea>
    </format>
    <format dxfId="178">
      <pivotArea collapsedLevelsAreSubtotals="1" fieldPosition="0">
        <references count="2">
          <reference field="4294967294" count="1" selected="0">
            <x v="2"/>
          </reference>
          <reference field="0" count="1">
            <x v="1"/>
          </reference>
        </references>
      </pivotArea>
    </format>
    <format dxfId="177">
      <pivotArea collapsedLevelsAreSubtotals="1" fieldPosition="0">
        <references count="2">
          <reference field="4294967294" count="1" selected="0">
            <x v="3"/>
          </reference>
          <reference field="0" count="1">
            <x v="1"/>
          </reference>
        </references>
      </pivotArea>
    </format>
    <format dxfId="176">
      <pivotArea collapsedLevelsAreSubtotals="1" fieldPosition="0">
        <references count="2">
          <reference field="4294967294" count="3" selected="0">
            <x v="1"/>
            <x v="2"/>
            <x v="3"/>
          </reference>
          <reference field="0" count="1">
            <x v="2"/>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1"/>
          </reference>
        </references>
      </pivotArea>
    </format>
    <format dxfId="173">
      <pivotArea collapsedLevelsAreSubtotals="1" fieldPosition="0">
        <references count="2">
          <reference field="4294967294" count="1" selected="0">
            <x v="5"/>
          </reference>
          <reference field="0" count="1">
            <x v="1"/>
          </reference>
        </references>
      </pivotArea>
    </format>
    <format dxfId="172">
      <pivotArea collapsedLevelsAreSubtotals="1" fieldPosition="0">
        <references count="2">
          <reference field="4294967294" count="1" selected="0">
            <x v="4"/>
          </reference>
          <reference field="0" count="1">
            <x v="2"/>
          </reference>
        </references>
      </pivotArea>
    </format>
    <format dxfId="171">
      <pivotArea collapsedLevelsAreSubtotals="1" fieldPosition="0">
        <references count="2">
          <reference field="4294967294" count="1" selected="0">
            <x v="5"/>
          </reference>
          <reference field="0" count="1">
            <x v="2"/>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110"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36"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0">
    <i>
      <x v="2"/>
    </i>
    <i r="1">
      <x v="1"/>
    </i>
    <i t="blank">
      <x v="2"/>
    </i>
    <i>
      <x v="3"/>
    </i>
    <i r="1">
      <x v="1"/>
    </i>
    <i t="blank">
      <x v="3"/>
    </i>
    <i>
      <x v="4"/>
    </i>
    <i r="1">
      <x v="1"/>
    </i>
    <i t="blank">
      <x v="4"/>
    </i>
    <i>
      <x v="5"/>
    </i>
    <i r="1">
      <x v="1"/>
    </i>
    <i t="blank">
      <x v="5"/>
    </i>
    <i>
      <x v="7"/>
    </i>
    <i r="1">
      <x/>
    </i>
    <i r="1">
      <x v="1"/>
    </i>
    <i t="blank">
      <x v="7"/>
    </i>
    <i>
      <x v="8"/>
    </i>
    <i r="1">
      <x v="1"/>
    </i>
    <i t="blank">
      <x v="8"/>
    </i>
    <i>
      <x v="9"/>
    </i>
    <i r="1">
      <x/>
    </i>
    <i r="1">
      <x v="1"/>
    </i>
    <i t="blank">
      <x v="9"/>
    </i>
    <i>
      <x v="10"/>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20"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8"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9"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1"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7"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10"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4"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6"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7"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 getAggKlimatBonusModels" backgroundRefresh="0" growShrinkType="overwriteClear" adjustColumnWidth="0" connectionId="6" xr16:uid="{00000000-0016-0000-0900-000006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PBCO2Emissions" backgroundRefresh="0" growShrinkType="overwriteClear" adjustColumnWidth="0" connectionId="12" xr16:uid="{00000000-0016-0000-0A00-000007000000}" autoFormatId="16" applyNumberFormats="0" applyBorderFormats="0" applyFontFormats="0" applyPatternFormats="0" applyAlignmentFormats="0" applyWidthHeightFormats="0">
  <queryTableRefresh nextId="13" unboundColumnsRight="4">
    <queryTableFields count="10">
      <queryTableField id="2" name="antalPerioden" tableColumnId="2"/>
      <queryTableField id="3" name="antalPeriodenFG" tableColumnId="3"/>
      <queryTableField id="7" dataBound="0" tableColumnId="7"/>
      <queryTableField id="6" dataBound="0" tableColumnId="6"/>
      <queryTableField id="4" name="antalAret" tableColumnId="4"/>
      <queryTableField id="5" name="antalAretFG" tableColumnId="5"/>
      <queryTableField id="9" dataBound="0" tableColumnId="8"/>
      <queryTableField id="8" dataBound="0" tableColumnId="9"/>
      <queryTableField id="11" dataBound="0" tableColumnId="11"/>
      <queryTableField id="12" dataBound="0" tableColumnId="12"/>
    </queryTableFields>
    <queryTableDeletedFields count="1">
      <deletedField name="co2utsläpp"/>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3"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1" xr10:uid="{00000000-0013-0000-FFFF-FFFF02000000}" sourceName="miljoklass">
  <extLst>
    <x:ext xmlns:x15="http://schemas.microsoft.com/office/spreadsheetml/2010/11/main" uri="{2F2917AC-EB37-4324-AD4E-5DD8C200BD13}">
      <x15:tableSlicerCache tableId="3"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1" xr10:uid="{00000000-0014-0000-FFFF-FFFF02000000}" cache="Slicer_miljoklass1" caption="Filtrera listan på typ"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513" dataDxfId="512">
  <tableColumns count="4">
    <tableColumn id="1" xr3:uid="{00000000-0010-0000-0000-000001000000}" uniqueName="1" name="Grupp" queryTableFieldId="1" dataDxfId="511"/>
    <tableColumn id="2" xr3:uid="{00000000-0010-0000-0000-000002000000}" uniqueName="2" name="År" queryTableFieldId="2" headerRowDxfId="510" dataDxfId="509"/>
    <tableColumn id="3" xr3:uid="{00000000-0010-0000-0000-000003000000}" uniqueName="3" name="Månaden" queryTableFieldId="3" headerRowDxfId="508" dataDxfId="507"/>
    <tableColumn id="4" xr3:uid="{00000000-0010-0000-0000-000004000000}" uniqueName="4" name="YTD" queryTableFieldId="4" headerRowDxfId="506" dataDxfId="50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152:B154" tableType="queryTable" totalsRowShown="0">
  <tableColumns count="2">
    <tableColumn id="1" xr3:uid="{00000000-0010-0000-0900-000001000000}" uniqueName="1" name="noRegs" queryTableFieldId="1" dataDxfId="238"/>
    <tableColumn id="2" xr3:uid="{00000000-0010-0000-0900-000002000000}" uniqueName="2" name="avgCO2" queryTableFieldId="2" dataDxfId="23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1" tableType="queryTable" totalsRowCount="1" headerRowDxfId="236" dataDxfId="235" totalsRowDxfId="234">
  <autoFilter ref="A8:Q60"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25" tableType="queryTable" totalsRowCount="1" headerRowDxfId="164" dataDxfId="163" totalsRowDxfId="162">
  <autoFilter ref="A7:I24"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2"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4" tableType="queryTable" totalsRowCount="1" headerRowDxfId="116" dataDxfId="115" totalsRowDxfId="114">
  <autoFilter ref="A7:I13"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0"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18"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0"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02" tableType="queryTable" totalsRowCount="1" headerRowDxfId="504" dataDxfId="503" totalsRowDxfId="502">
  <tableColumns count="12">
    <tableColumn id="1" xr3:uid="{00000000-0010-0000-0100-000001000000}" uniqueName="1" name="no" queryTableFieldId="1" dataDxfId="501" totalsRowDxfId="500"/>
    <tableColumn id="2" xr3:uid="{00000000-0010-0000-0100-000002000000}" uniqueName="2" name="modell" totalsRowLabel="Totalt" queryTableFieldId="2" dataDxfId="499" totalsRowDxfId="498"/>
    <tableColumn id="3" xr3:uid="{00000000-0010-0000-0100-000003000000}" uniqueName="3" name="antalPerioden" totalsRowFunction="sum" queryTableFieldId="3" dataDxfId="497" totalsRowDxfId="496"/>
    <tableColumn id="4" xr3:uid="{00000000-0010-0000-0100-000004000000}" uniqueName="4" name="antalFGPeriod" totalsRowFunction="sum" queryTableFieldId="4" dataDxfId="495" totalsRowDxfId="494"/>
    <tableColumn id="5" xr3:uid="{00000000-0010-0000-0100-000005000000}" uniqueName="5" name="antalÅret" totalsRowFunction="sum" queryTableFieldId="5" dataDxfId="493" totalsRowDxfId="492"/>
    <tableColumn id="6" xr3:uid="{00000000-0010-0000-0100-000006000000}" uniqueName="6" name="antalFGAr" totalsRowFunction="sum" queryTableFieldId="6" dataDxfId="491" totalsRowDxfId="490"/>
    <tableColumn id="7" xr3:uid="{00000000-0010-0000-0100-000007000000}" uniqueName="7" name="changePeriod" totalsRowFunction="custom" queryTableFieldId="7" dataDxfId="489" totalsRowDxfId="488">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87" totalsRowDxfId="486">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85" totalsRowDxfId="484">
      <totalsRowFormula>TEXT(100,"0,00")</totalsRowFormula>
    </tableColumn>
    <tableColumn id="10" xr3:uid="{00000000-0010-0000-0100-00000A000000}" uniqueName="10" name="shrYear" totalsRowFunction="custom" queryTableFieldId="10" dataDxfId="483" totalsRowDxfId="482">
      <totalsRowFormula>TEXT(100,"0,00")</totalsRowFormula>
    </tableColumn>
    <tableColumn id="11" xr3:uid="{00000000-0010-0000-0100-00000B000000}" uniqueName="11" name="shrPrevPeriod" totalsRowFunction="custom" queryTableFieldId="11" dataDxfId="481" totalsRowDxfId="480">
      <totalsRowFormula>TEXT(100,"0,00")</totalsRowFormula>
    </tableColumn>
    <tableColumn id="12" xr3:uid="{00000000-0010-0000-0100-00000C000000}" uniqueName="12" name="shrPrevYear" totalsRowFunction="custom" queryTableFieldId="12" dataDxfId="479" totalsRowDxfId="478">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411" dataDxfId="410" totalsRowDxfId="408" tableBorderDxfId="409" totalsRowBorderDxfId="407">
  <sortState xmlns:xlrd2="http://schemas.microsoft.com/office/spreadsheetml/2017/richdata2" ref="A8:J15">
    <sortCondition descending="1" ref="B8"/>
  </sortState>
  <tableColumns count="10">
    <tableColumn id="1" xr3:uid="{00000000-0010-0000-0200-000001000000}" uniqueName="1" name="drivmedel" totalsRowLabel="Totalt" queryTableFieldId="1" dataDxfId="406" totalsRowDxfId="405"/>
    <tableColumn id="2" xr3:uid="{00000000-0010-0000-0200-000002000000}" uniqueName="2" name="antalPerioden" totalsRowFunction="sum" queryTableFieldId="2" dataDxfId="404" totalsRowDxfId="403"/>
    <tableColumn id="3" xr3:uid="{00000000-0010-0000-0200-000003000000}" uniqueName="3" name="antalPeriodenFG" totalsRowFunction="sum" queryTableFieldId="3" dataDxfId="402" totalsRowDxfId="401"/>
    <tableColumn id="6" xr3:uid="{00000000-0010-0000-0200-000006000000}" uniqueName="6" name="Column1" totalsRowFunction="sum" queryTableFieldId="6" dataDxfId="400" totalsRowDxfId="399">
      <calculatedColumnFormula>IF(getAggPBFuelTypes[[#This Row],[antalPerioden]]&gt;0,((B8/getAggPBFuelTypes[[#Totals],[antalPerioden]]) * 100),0)</calculatedColumnFormula>
    </tableColumn>
    <tableColumn id="7" xr3:uid="{00000000-0010-0000-0200-000007000000}" uniqueName="7" name="Column2" totalsRowFunction="custom" queryTableFieldId="7" dataDxfId="398" totalsRowDxfId="397">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96" totalsRowDxfId="395"/>
    <tableColumn id="5" xr3:uid="{00000000-0010-0000-0200-000005000000}" uniqueName="5" name="antalAretFG" totalsRowFunction="sum" queryTableFieldId="5" dataDxfId="394" totalsRowDxfId="393"/>
    <tableColumn id="8" xr3:uid="{00000000-0010-0000-0200-000008000000}" uniqueName="8" name="Column3" totalsRowFunction="custom" queryTableFieldId="9" dataDxfId="392" totalsRowDxfId="391">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90" totalsRowDxfId="389">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88" totalsRowDxfId="387">
      <calculatedColumnFormula>IF(F8 = 0, "",(F8-G8)/G8)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15" tableType="queryTable" totalsRowCount="1" headerRowDxfId="386" dataDxfId="385" totalsRowDxfId="384">
  <autoFilter ref="A41:M214" xr:uid="{00000000-0009-0000-0100-000004000000}"/>
  <tableColumns count="13">
    <tableColumn id="1" xr3:uid="{00000000-0010-0000-0300-000001000000}" uniqueName="1" name="no" queryTableFieldId="1" dataDxfId="383" totalsRowDxfId="382"/>
    <tableColumn id="2" xr3:uid="{00000000-0010-0000-0300-000002000000}" uniqueName="2" name="modben" totalsRowLabel="Totalt" queryTableFieldId="2" dataDxfId="381" totalsRowDxfId="380"/>
    <tableColumn id="3" xr3:uid="{00000000-0010-0000-0300-000003000000}" uniqueName="3" name="miljoklass" queryTableFieldId="3" dataDxfId="379" totalsRowDxfId="378"/>
    <tableColumn id="4" xr3:uid="{00000000-0010-0000-0300-000004000000}" uniqueName="4" name="antalPerioden" totalsRowFunction="sum" queryTableFieldId="4" dataDxfId="377" totalsRowDxfId="376"/>
    <tableColumn id="5" xr3:uid="{00000000-0010-0000-0300-000005000000}" uniqueName="5" name="antalFGPeriod" totalsRowFunction="sum" queryTableFieldId="5" dataDxfId="375" totalsRowDxfId="374"/>
    <tableColumn id="6" xr3:uid="{00000000-0010-0000-0300-000006000000}" uniqueName="6" name="antalÅret" totalsRowFunction="sum" queryTableFieldId="6" dataDxfId="373" totalsRowDxfId="372"/>
    <tableColumn id="7" xr3:uid="{00000000-0010-0000-0300-000007000000}" uniqueName="7" name="antalFGAr" totalsRowFunction="sum" queryTableFieldId="7" dataDxfId="371" totalsRowDxfId="370"/>
    <tableColumn id="8" xr3:uid="{00000000-0010-0000-0300-000008000000}" uniqueName="8" name="changePeriod" totalsRowFunction="custom" queryTableFieldId="8" dataDxfId="369" totalsRowDxfId="368">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67" totalsRowDxfId="366">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65" totalsRowDxfId="364">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63" totalsRowDxfId="362">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61" totalsRowDxfId="360">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59" totalsRowDxfId="358">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13" tableType="queryTable" totalsRowCount="1" headerRowDxfId="357" dataDxfId="356" totalsRowDxfId="355">
  <autoFilter ref="A39:M212"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12">
    <sortCondition descending="1" ref="F40"/>
  </sortState>
  <tableColumns count="13">
    <tableColumn id="1" xr3:uid="{00000000-0010-0000-0400-000001000000}" uniqueName="1" name="no" queryTableFieldId="1" dataDxfId="354" totalsRowDxfId="353"/>
    <tableColumn id="2" xr3:uid="{00000000-0010-0000-0400-000002000000}" uniqueName="2" name="modben" totalsRowLabel="Totalt" queryTableFieldId="2" dataDxfId="352" totalsRowDxfId="351"/>
    <tableColumn id="3" xr3:uid="{00000000-0010-0000-0400-000003000000}" uniqueName="3" name="miljoklass" queryTableFieldId="3" dataDxfId="350" totalsRowDxfId="349"/>
    <tableColumn id="4" xr3:uid="{00000000-0010-0000-0400-000004000000}" uniqueName="4" name="antalPerioden" totalsRowFunction="sum" queryTableFieldId="4" dataDxfId="348" totalsRowDxfId="347"/>
    <tableColumn id="5" xr3:uid="{00000000-0010-0000-0400-000005000000}" uniqueName="5" name="antalFGPeriod" totalsRowFunction="sum" queryTableFieldId="5" dataDxfId="346" totalsRowDxfId="345"/>
    <tableColumn id="6" xr3:uid="{00000000-0010-0000-0400-000006000000}" uniqueName="6" name="antalÅret" totalsRowFunction="sum" queryTableFieldId="6" dataDxfId="344" totalsRowDxfId="343"/>
    <tableColumn id="7" xr3:uid="{00000000-0010-0000-0400-000007000000}" uniqueName="7" name="antalFGAr" totalsRowFunction="sum" queryTableFieldId="7" dataDxfId="342" totalsRowDxfId="341"/>
    <tableColumn id="8" xr3:uid="{00000000-0010-0000-0400-000008000000}" uniqueName="8" name="changePeriod" totalsRowFunction="custom" queryTableFieldId="8" dataDxfId="340" totalsRowDxfId="339">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338" totalsRowDxfId="337">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336" totalsRowDxfId="335">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334" totalsRowDxfId="333">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332" totalsRowDxfId="331">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330" totalsRowDxfId="329">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14" tableType="queryTable" totalsRowCount="1" headerRowDxfId="328" dataDxfId="327" totalsRowDxfId="326">
  <autoFilter ref="A40:M213"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13">
    <sortCondition descending="1" ref="F43"/>
  </sortState>
  <tableColumns count="13">
    <tableColumn id="1" xr3:uid="{00000000-0010-0000-0500-000001000000}" uniqueName="1" name="no" queryTableFieldId="1" dataDxfId="325" totalsRowDxfId="324"/>
    <tableColumn id="2" xr3:uid="{00000000-0010-0000-0500-000002000000}" uniqueName="2" name="modben" totalsRowLabel="Totalt" queryTableFieldId="2" dataDxfId="323" totalsRowDxfId="322"/>
    <tableColumn id="3" xr3:uid="{00000000-0010-0000-0500-000003000000}" uniqueName="3" name="miljoklass" queryTableFieldId="3" dataDxfId="321" totalsRowDxfId="320"/>
    <tableColumn id="4" xr3:uid="{00000000-0010-0000-0500-000004000000}" uniqueName="4" name="antalPerioden" totalsRowFunction="sum" queryTableFieldId="4" dataDxfId="319" totalsRowDxfId="318"/>
    <tableColumn id="5" xr3:uid="{00000000-0010-0000-0500-000005000000}" uniqueName="5" name="antalFGPeriod" totalsRowFunction="sum" queryTableFieldId="5" dataDxfId="317" totalsRowDxfId="316"/>
    <tableColumn id="6" xr3:uid="{00000000-0010-0000-0500-000006000000}" uniqueName="6" name="antalÅret" totalsRowFunction="sum" queryTableFieldId="6" dataDxfId="315" totalsRowDxfId="314"/>
    <tableColumn id="7" xr3:uid="{00000000-0010-0000-0500-000007000000}" uniqueName="7" name="antalFGAr" totalsRowFunction="sum" queryTableFieldId="7" dataDxfId="313" totalsRowDxfId="312"/>
    <tableColumn id="8" xr3:uid="{00000000-0010-0000-0500-000008000000}" uniqueName="8" name="changePeriod" totalsRowFunction="custom" queryTableFieldId="8" dataDxfId="311" totalsRowDxfId="310">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309" totalsRowDxfId="308">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307" totalsRowDxfId="306">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305" totalsRowDxfId="304">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303" totalsRowDxfId="302">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301" totalsRowDxfId="300">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getAggKlimatBonusModels" displayName="getAggKlimatBonusModels" ref="A8:M178" tableType="queryTable" totalsRowCount="1" headerRowDxfId="299" dataDxfId="298" totalsRowDxfId="297">
  <autoFilter ref="A8:M177" xr:uid="{00000000-0009-0000-0100-000003000000}"/>
  <tableColumns count="13">
    <tableColumn id="1" xr3:uid="{00000000-0010-0000-0600-000001000000}" uniqueName="1" name="no" queryTableFieldId="1" dataDxfId="296" totalsRowDxfId="295"/>
    <tableColumn id="2" xr3:uid="{00000000-0010-0000-0600-000002000000}" uniqueName="2" name="modben" totalsRowLabel="Totalt" queryTableFieldId="2" dataDxfId="294" totalsRowDxfId="293"/>
    <tableColumn id="3" xr3:uid="{00000000-0010-0000-0600-000003000000}" uniqueName="3" name="miljoklass" queryTableFieldId="3" dataDxfId="292" totalsRowDxfId="291"/>
    <tableColumn id="4" xr3:uid="{00000000-0010-0000-0600-000004000000}" uniqueName="4" name="antalPerioden" totalsRowFunction="sum" queryTableFieldId="4" dataDxfId="290" totalsRowDxfId="289"/>
    <tableColumn id="5" xr3:uid="{00000000-0010-0000-0600-000005000000}" uniqueName="5" name="antalFGPeriod" totalsRowFunction="sum" queryTableFieldId="5" dataDxfId="288" totalsRowDxfId="287"/>
    <tableColumn id="6" xr3:uid="{00000000-0010-0000-0600-000006000000}" uniqueName="6" name="antalÅret" totalsRowFunction="sum" queryTableFieldId="6" dataDxfId="286" totalsRowDxfId="285"/>
    <tableColumn id="7" xr3:uid="{00000000-0010-0000-0600-000007000000}" uniqueName="7" name="antalFGAr" totalsRowFunction="sum" queryTableFieldId="7" dataDxfId="284" totalsRowDxfId="283"/>
    <tableColumn id="8" xr3:uid="{00000000-0010-0000-0600-000008000000}" uniqueName="8" name="changePeriod" totalsRowFunction="custom" queryTableFieldId="8" dataDxfId="282" totalsRowDxfId="281">
      <totalsRowFormula>IF(getAggKlimatBonusModels[[#Totals],[antalFGPeriod]] &gt; 0,( getAggKlimatBonusModels[[#Totals],[antalPerioden]] - getAggKlimatBonusModels[[#Totals],[antalFGPeriod]] ) / getAggKlimatBonusModels[[#Totals],[antalFGPeriod]] * 100,0)</totalsRowFormula>
    </tableColumn>
    <tableColumn id="9" xr3:uid="{00000000-0010-0000-0600-000009000000}" uniqueName="9" name="changeAret" totalsRowFunction="custom" queryTableFieldId="9" dataDxfId="280" totalsRowDxfId="279">
      <totalsRowFormula>IF(getAggKlimatBonusModels[[#Totals],[antalFGAr]] &gt; 0,( getAggKlimatBonusModels[[#Totals],[antalÅret]] - getAggKlimatBonusModels[[#Totals],[antalFGAr]] ) / getAggKlimatBonusModels[[#Totals],[antalFGAr]] * 100,0)</totalsRowFormula>
    </tableColumn>
    <tableColumn id="10" xr3:uid="{00000000-0010-0000-0600-00000A000000}" uniqueName="10" name="shrPeriod" totalsRowFunction="custom" queryTableFieldId="10" dataDxfId="278" totalsRowDxfId="277">
      <totalsRowFormula>IF(getAggModelsPB[[#Totals],[antalPerioden]] &gt; 0,getAggKlimatBonusModels[[#Totals],[antalPerioden]]  / getAggModelsPB[[#Totals],[antalPerioden]] * 100,0)</totalsRowFormula>
    </tableColumn>
    <tableColumn id="11" xr3:uid="{00000000-0010-0000-0600-00000B000000}" uniqueName="11" name="shrYear" totalsRowFunction="custom" queryTableFieldId="11" dataDxfId="276" totalsRowDxfId="275">
      <totalsRowFormula>IF(getAggModelsPB[[#Totals],[antalÅret]] &gt; 0,getAggKlimatBonusModels[[#Totals],[antalÅret]]  / getAggModelsPB[[#Totals],[antalÅret]] * 100,0)</totalsRowFormula>
    </tableColumn>
    <tableColumn id="12" xr3:uid="{00000000-0010-0000-0600-00000C000000}" uniqueName="12" name="shrPrevPeriod" totalsRowFunction="custom" queryTableFieldId="12" dataDxfId="274" totalsRowDxfId="273">
      <totalsRowFormula>IF(getAggModelsPB[[#Totals],[antalFGPeriod]] &gt; 0,getAggKlimatBonusModels[[#Totals],[antalFGPeriod]]  / getAggModelsPB[[#Totals],[antalFGPeriod]] * 100,0)</totalsRowFormula>
    </tableColumn>
    <tableColumn id="13" xr3:uid="{00000000-0010-0000-0600-00000D000000}" uniqueName="13" name="shrPrevYear" totalsRowFunction="custom" queryTableFieldId="13" dataDxfId="272" totalsRowDxfId="271">
      <totalsRowFormula>IF(getAggModelsPB[[#Totals],[antalFGAr]] &gt; 0,getAggKlimatBonusModels[[#Totals],[antalFGAr]]  / getAggModelsPB[[#Totals],[antalFGAr]] * 100,0)</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getAggPBCO2Emissions" displayName="getAggPBCO2Emissions" ref="B7:K14" tableType="queryTable" totalsRowShown="0" headerRowDxfId="270" dataDxfId="269">
  <tableColumns count="10">
    <tableColumn id="2" xr3:uid="{00000000-0010-0000-0700-000002000000}" uniqueName="2" name="antalPerioden" queryTableFieldId="2" dataDxfId="268"/>
    <tableColumn id="3" xr3:uid="{00000000-0010-0000-0700-000003000000}" uniqueName="3" name="antalPeriodenFG" queryTableFieldId="3" dataDxfId="267"/>
    <tableColumn id="7" xr3:uid="{00000000-0010-0000-0700-000007000000}" uniqueName="7" name="Column2" queryTableFieldId="7" dataDxfId="266">
      <calculatedColumnFormula>(getAggPBCO2Emissions[[#This Row],[antalPerioden]]/$B$15)*100</calculatedColumnFormula>
    </tableColumn>
    <tableColumn id="6" xr3:uid="{00000000-0010-0000-0700-000006000000}" uniqueName="6" name="Column1" queryTableFieldId="6" dataDxfId="265">
      <calculatedColumnFormula>(getAggPBCO2Emissions[[#This Row],[antalPeriodenFG]]/$C$15)*100</calculatedColumnFormula>
    </tableColumn>
    <tableColumn id="4" xr3:uid="{00000000-0010-0000-0700-000004000000}" uniqueName="4" name="antalAret" queryTableFieldId="4" dataDxfId="264"/>
    <tableColumn id="5" xr3:uid="{00000000-0010-0000-0700-000005000000}" uniqueName="5" name="antalAretFG" queryTableFieldId="5" dataDxfId="263"/>
    <tableColumn id="8" xr3:uid="{00000000-0010-0000-0700-000008000000}" uniqueName="8" name="Column3" queryTableFieldId="9" dataDxfId="262">
      <calculatedColumnFormula>(getAggPBCO2Emissions[[#This Row],[antalAret]]/$F$15)*100</calculatedColumnFormula>
    </tableColumn>
    <tableColumn id="9" xr3:uid="{00000000-0010-0000-0700-000009000000}" uniqueName="9" name="Column4" queryTableFieldId="8" dataDxfId="261">
      <calculatedColumnFormula>(getAggPBCO2Emissions[[#This Row],[antalAretFG]]/$G$15)*100</calculatedColumnFormula>
    </tableColumn>
    <tableColumn id="11" xr3:uid="{00000000-0010-0000-0700-00000B000000}" uniqueName="11" name="Column5" queryTableFieldId="11" dataDxfId="260">
      <calculatedColumnFormula>((( getAggPBCO2Emissions[[#This Row],[antalPerioden]]  / getAggPBCO2Emissions[[#This Row],[antalPeriodenFG]]) - 1) * 100)</calculatedColumnFormula>
    </tableColumn>
    <tableColumn id="12" xr3:uid="{00000000-0010-0000-0700-00000C000000}" uniqueName="12" name="Column6" queryTableFieldId="12" dataDxfId="259">
      <calculatedColumnFormula>((( getAggPBCO2Emissions[[#This Row],[antalAret]]  / getAggPBCO2Emissions[[#This Row],[antalAretFG]]) - 1) * 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27:K35" tableType="queryTable" headerRowDxfId="258" dataDxfId="257" totalsRowDxfId="256">
  <tableColumns count="11">
    <tableColumn id="1" xr3:uid="{00000000-0010-0000-0800-000001000000}" uniqueName="1" name="drivmedel" totalsRowLabel="Total" queryTableFieldId="1" dataDxfId="255"/>
    <tableColumn id="2" xr3:uid="{00000000-0010-0000-0800-000002000000}" uniqueName="2" name="antalPerioden" totalsRowFunction="sum" queryTableFieldId="2" dataDxfId="254" totalsRowDxfId="253"/>
    <tableColumn id="3" xr3:uid="{00000000-0010-0000-0800-000003000000}" uniqueName="3" name="antalPeriodenFG" totalsRowFunction="sum" queryTableFieldId="3" dataDxfId="252" totalsRowDxfId="251"/>
    <tableColumn id="6" xr3:uid="{00000000-0010-0000-0800-000006000000}" uniqueName="6" name="Column1" queryTableFieldId="6" dataDxfId="250" totalsRowDxfId="249">
      <calculatedColumnFormula>(B28/$B$36)*100</calculatedColumnFormula>
    </tableColumn>
    <tableColumn id="7" xr3:uid="{00000000-0010-0000-0800-000007000000}" uniqueName="7" name="Column2" queryTableFieldId="7" dataDxfId="248" totalsRowDxfId="247">
      <calculatedColumnFormula>(C28/$C$36)*100</calculatedColumnFormula>
    </tableColumn>
    <tableColumn id="4" xr3:uid="{00000000-0010-0000-0800-000004000000}" uniqueName="4" name="antalAret" totalsRowFunction="sum" queryTableFieldId="4" dataDxfId="246" totalsRowDxfId="245"/>
    <tableColumn id="5" xr3:uid="{00000000-0010-0000-0800-000005000000}" uniqueName="5" name="antalAretFG" totalsRowFunction="sum" queryTableFieldId="5" dataDxfId="244" totalsRowDxfId="243"/>
    <tableColumn id="8" xr3:uid="{00000000-0010-0000-0800-000008000000}" uniqueName="8" name="Column3" queryTableFieldId="8" dataDxfId="242">
      <calculatedColumnFormula>(F28/$F$36)*100</calculatedColumnFormula>
    </tableColumn>
    <tableColumn id="9" xr3:uid="{00000000-0010-0000-0800-000009000000}" uniqueName="9" name="Column4" queryTableFieldId="9" dataDxfId="241">
      <calculatedColumnFormula>(G28/$G$36)*100</calculatedColumnFormula>
    </tableColumn>
    <tableColumn id="10" xr3:uid="{00000000-0010-0000-0800-00000A000000}" uniqueName="10" name="Column5" queryTableFieldId="10" dataDxfId="240">
      <calculatedColumnFormula>((( B28  / C28) - 1) * 100)</calculatedColumnFormula>
    </tableColumn>
    <tableColumn id="11" xr3:uid="{00000000-0010-0000-0800-00000B000000}" uniqueName="11" name="Column6" queryTableFieldId="11" dataDxfId="239">
      <calculatedColumnFormula>((( F28  / G28) - 1) *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 Id="rId5" Type="http://schemas.openxmlformats.org/officeDocument/2006/relationships/table" Target="../tables/table10.xm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3.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32.xml"/><Relationship Id="rId1" Type="http://schemas.openxmlformats.org/officeDocument/2006/relationships/printerSettings" Target="../printerSettings/printerSettings19.bin"/><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3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21.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J35" sqref="J35"/>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7"/>
      <c r="B7" s="61" t="s">
        <v>503</v>
      </c>
      <c r="C7" s="61"/>
      <c r="D7" s="61"/>
      <c r="E7" s="61"/>
      <c r="F7" s="61"/>
      <c r="G7" s="61"/>
      <c r="H7" s="196" t="s">
        <v>1122</v>
      </c>
      <c r="I7" s="61"/>
    </row>
    <row r="8" spans="1:17">
      <c r="A8" s="27"/>
      <c r="B8" s="42"/>
      <c r="C8" s="27"/>
      <c r="D8" s="27"/>
      <c r="E8" s="27"/>
      <c r="F8" s="27"/>
      <c r="G8" s="27"/>
      <c r="H8" s="27"/>
      <c r="I8" s="27"/>
      <c r="J8" s="27"/>
    </row>
    <row r="9" spans="1:17">
      <c r="A9" s="27"/>
      <c r="B9" s="42"/>
      <c r="C9" s="27"/>
      <c r="D9" s="27"/>
      <c r="E9" s="27"/>
      <c r="F9" s="27"/>
      <c r="G9" s="27"/>
      <c r="H9" s="27"/>
      <c r="I9" s="27"/>
      <c r="J9" s="27"/>
    </row>
    <row r="10" spans="1:17" ht="18">
      <c r="A10" s="27"/>
      <c r="B10" s="27"/>
      <c r="C10" s="255" t="s">
        <v>620</v>
      </c>
      <c r="D10" s="255"/>
      <c r="E10" s="255"/>
      <c r="F10" s="255"/>
      <c r="G10" s="255"/>
      <c r="H10" s="255"/>
      <c r="I10" s="255"/>
      <c r="J10" s="54"/>
    </row>
    <row r="11" spans="1:17" ht="14" customHeight="1">
      <c r="A11" s="27"/>
      <c r="B11" s="27"/>
      <c r="C11" s="27"/>
      <c r="D11" s="27"/>
      <c r="E11" s="27"/>
      <c r="F11" s="27"/>
      <c r="G11" s="27"/>
      <c r="H11" s="27"/>
      <c r="I11" s="27"/>
      <c r="J11" s="27"/>
    </row>
    <row r="12" spans="1:17" ht="14" customHeight="1">
      <c r="A12" s="27"/>
      <c r="B12" s="43"/>
      <c r="C12" s="43"/>
      <c r="D12" s="43"/>
      <c r="E12" s="27"/>
      <c r="F12" s="44" t="str">
        <f>D79</f>
        <v xml:space="preserve"> 2023-01</v>
      </c>
      <c r="G12" s="44" t="str">
        <f>D80</f>
        <v xml:space="preserve"> 2022-01</v>
      </c>
      <c r="H12" s="256" t="s">
        <v>1050</v>
      </c>
      <c r="I12" s="256"/>
    </row>
    <row r="13" spans="1:17" ht="14" customHeight="1">
      <c r="A13" s="27"/>
      <c r="B13" s="43" t="s">
        <v>617</v>
      </c>
      <c r="C13" s="27"/>
      <c r="D13" s="27"/>
      <c r="E13" s="27"/>
      <c r="F13" s="27"/>
      <c r="G13" s="27"/>
      <c r="H13" s="199" t="s">
        <v>369</v>
      </c>
      <c r="I13" s="199" t="s">
        <v>570</v>
      </c>
      <c r="P13" s="243"/>
      <c r="Q13" s="243"/>
    </row>
    <row r="14" spans="1:17" ht="14" customHeight="1">
      <c r="A14" s="27"/>
      <c r="B14" s="46" t="s">
        <v>1039</v>
      </c>
      <c r="C14" s="27"/>
      <c r="D14" s="27"/>
      <c r="E14" s="27"/>
      <c r="F14" s="27">
        <f>INDEX('A.4 Drivmedel PB'!$B$8:$B$15,MATCH("El",'A.4 Drivmedel PB'!$A$8:$A$15,0))</f>
        <v>4203</v>
      </c>
      <c r="G14" s="27">
        <f>INDEX('A.4 Drivmedel PB'!$C$8:$C$15,MATCH("El",'A.4 Drivmedel PB'!$A$8:$A$15,0))</f>
        <v>5159</v>
      </c>
      <c r="H14" s="47">
        <f t="shared" ref="H14:H19" si="0">IF(G14=0,"",SUM(((F14-G14)/G14)))</f>
        <v>-0.18530723008334948</v>
      </c>
      <c r="I14" s="47">
        <f>INDEX('A.4 Drivmedel PB'!$J$8:$J$15,MATCH("El",'A.4 Drivmedel PB'!$A$8:$A$15,0))</f>
        <v>-0.18530723008334948</v>
      </c>
      <c r="P14" s="243"/>
      <c r="Q14" s="243"/>
    </row>
    <row r="15" spans="1:17" ht="14" customHeight="1">
      <c r="A15" s="27"/>
      <c r="B15" s="46" t="s">
        <v>1040</v>
      </c>
      <c r="C15" s="27"/>
      <c r="D15" s="27"/>
      <c r="E15" s="27"/>
      <c r="F15" s="27">
        <f>INDEX('A.4 Drivmedel PB'!$B$8:$B$15,MATCH("Laddhybrid",'A.4 Drivmedel PB'!$A$8:$A$15,0))</f>
        <v>3401</v>
      </c>
      <c r="G15" s="27">
        <f>INDEX('A.4 Drivmedel PB'!$C$8:$C$15,MATCH("Laddhybrid",'A.4 Drivmedel PB'!$A$8:$A$15,0))</f>
        <v>5363</v>
      </c>
      <c r="H15" s="47">
        <f t="shared" si="0"/>
        <v>-0.36584001491702406</v>
      </c>
      <c r="I15" s="47">
        <f>INDEX('A.4 Drivmedel PB'!$J$8:$J$15,MATCH("Laddhybrid",'A.4 Drivmedel PB'!$A$8:$A$15,0))</f>
        <v>-0.36584001491702406</v>
      </c>
      <c r="P15" s="243"/>
      <c r="Q15" s="243"/>
    </row>
    <row r="16" spans="1:17" ht="14" customHeight="1">
      <c r="A16" s="27"/>
      <c r="B16" s="241" t="s">
        <v>1044</v>
      </c>
      <c r="C16" s="242"/>
      <c r="D16" s="242"/>
      <c r="E16" s="242"/>
      <c r="F16" s="253">
        <f>INDEX('A.4 Drivmedel PB'!$D$8:$D$15,MATCH("El",'A.4 Drivmedel PB'!$A$8:$A$15,0))</f>
        <v>28.785699609615779</v>
      </c>
      <c r="G16" s="253">
        <f>INDEX('A.4 Drivmedel PB'!$E$8:$E$15,MATCH("El",'A.4 Drivmedel PB'!$A$8:$A$15,0))</f>
        <v>25.93374553863168</v>
      </c>
      <c r="H16" s="243">
        <f t="shared" si="0"/>
        <v>0.10997077405327911</v>
      </c>
      <c r="I16" s="251">
        <f>INDEX('A.4 Drivmedel PB'!$D$8:$D$15,MATCH("El",'A.4 Drivmedel PB'!$A$8:$A$15,0))</f>
        <v>28.785699609615779</v>
      </c>
      <c r="L16" s="250"/>
    </row>
    <row r="17" spans="1:15" ht="14" customHeight="1">
      <c r="A17" s="27"/>
      <c r="B17" s="241" t="s">
        <v>1045</v>
      </c>
      <c r="C17" s="242"/>
      <c r="D17" s="242"/>
      <c r="E17" s="242"/>
      <c r="F17" s="253">
        <f>INDEX('A.4 Drivmedel PB'!$D$8:$D$15,MATCH("Laddhybrid",'A.4 Drivmedel PB'!$A$8:$A$15,0))</f>
        <v>23.292925142113553</v>
      </c>
      <c r="G17" s="253">
        <f>INDEX('A.4 Drivmedel PB'!$E$8:$E$15,MATCH("Laddhybrid",'A.4 Drivmedel PB'!$A$8:$A$15,0))</f>
        <v>26.959231890614788</v>
      </c>
      <c r="H17" s="243">
        <f t="shared" si="0"/>
        <v>-0.135994480976944</v>
      </c>
      <c r="I17" s="251">
        <f>INDEX('A.4 Drivmedel PB'!$D$8:$D$15,MATCH("Laddhybrid",'A.4 Drivmedel PB'!$A$8:$A$15,0))</f>
        <v>23.292925142113553</v>
      </c>
    </row>
    <row r="18" spans="1:15" ht="14" customHeight="1">
      <c r="A18" s="27"/>
      <c r="B18" s="241" t="s">
        <v>1046</v>
      </c>
      <c r="C18" s="242"/>
      <c r="D18" s="242"/>
      <c r="E18" s="242"/>
      <c r="F18" s="253">
        <f>F16+F17</f>
        <v>52.078624751729336</v>
      </c>
      <c r="G18" s="253">
        <f>(G16+G17)</f>
        <v>52.892977429246471</v>
      </c>
      <c r="H18" s="243">
        <f t="shared" si="0"/>
        <v>-1.5396234379251444E-2</v>
      </c>
      <c r="I18" s="244">
        <f>AndelLaddbaraYTD/100</f>
        <v>-0.27518053971873813</v>
      </c>
    </row>
    <row r="19" spans="1:15" ht="14" customHeight="1">
      <c r="A19" s="27"/>
      <c r="B19" s="48" t="s">
        <v>615</v>
      </c>
      <c r="C19" s="49"/>
      <c r="D19" s="49"/>
      <c r="E19" s="49"/>
      <c r="F19" s="246">
        <f>getAggModelsPB[[#Totals],[antalPerioden]]</f>
        <v>14601</v>
      </c>
      <c r="G19" s="50">
        <f>getAggModelsPB[[#Totals],[antalFGPeriod]]</f>
        <v>19893</v>
      </c>
      <c r="H19" s="51">
        <f t="shared" si="0"/>
        <v>-0.26602322424973607</v>
      </c>
      <c r="I19" s="47">
        <f>IF(AntalTotaltYTDFGAR=0,"",((AntalTotaltYTD-AntalTotaltYTDFGAR)/AntalTotaltYTDFGAR))</f>
        <v>-0.26602322424973607</v>
      </c>
    </row>
    <row r="20" spans="1:15" ht="14" customHeight="1">
      <c r="A20" s="27"/>
      <c r="B20" s="27"/>
      <c r="C20" s="27"/>
      <c r="D20" s="27"/>
      <c r="E20" s="27"/>
      <c r="F20" s="27"/>
      <c r="G20" s="27"/>
      <c r="H20" s="27"/>
      <c r="I20" s="27"/>
    </row>
    <row r="21" spans="1:15" ht="14" customHeight="1">
      <c r="A21" s="27"/>
      <c r="B21" s="43" t="s">
        <v>618</v>
      </c>
      <c r="C21" s="27"/>
      <c r="D21" s="27"/>
      <c r="E21" s="27"/>
      <c r="F21" s="27"/>
      <c r="G21" s="27"/>
      <c r="H21" s="27"/>
      <c r="I21" s="27"/>
    </row>
    <row r="22" spans="1:15" ht="14" customHeight="1">
      <c r="A22" s="27"/>
      <c r="B22" s="46" t="s">
        <v>1043</v>
      </c>
      <c r="C22" s="27"/>
      <c r="D22" s="27"/>
      <c r="E22" s="27"/>
      <c r="F22" s="27">
        <f>GETPIVOTDATA("Sum of antalPerioden",'B. Lastbilar'!$A$7,"klass","Över  16,0 ton")</f>
        <v>455</v>
      </c>
      <c r="G22" s="27">
        <f>GETPIVOTDATA("Sum of antalPeriodenFG",'B. Lastbilar'!$A$7,"klass","Över  16,0 ton")</f>
        <v>289</v>
      </c>
      <c r="H22" s="47">
        <f>IF(G22=0,"",SUM(((F22-G22)/G22)))</f>
        <v>0.5743944636678201</v>
      </c>
      <c r="I22" s="47">
        <f>IF(AntalTLBYTDFGAR=0,"",((AntalTLBYTD-AntalTLBYTDFGAR)/AntalTLBYTDFGAR))</f>
        <v>0.5743944636678201</v>
      </c>
    </row>
    <row r="23" spans="1:15" ht="14" customHeight="1">
      <c r="A23" s="27"/>
      <c r="B23" s="46" t="s">
        <v>1041</v>
      </c>
      <c r="C23" s="27"/>
      <c r="D23" s="27"/>
      <c r="E23" s="27"/>
      <c r="F23" s="27">
        <f>GETPIVOTDATA("Sum of antalPerioden",'B. Lastbilar'!$A$7,"klass","Högst  3,5 ton")</f>
        <v>2356</v>
      </c>
      <c r="G23" s="27">
        <f>GETPIVOTDATA("Sum of antalPeriodenFG",'B. Lastbilar'!$A$7,"klass","Högst  3,5 ton")</f>
        <v>2074</v>
      </c>
      <c r="H23" s="47">
        <f t="shared" ref="H23:H24" si="1">IF(G23=0,"",SUM(((F23-G23)/G23)))</f>
        <v>0.13596914175506269</v>
      </c>
      <c r="I23" s="47">
        <f>IF(AntalLLBYTDFGAR=0,"",((AntalLLBYTD-AntalLLBYTDFGAR)/AntalLLBYTDFGAR))</f>
        <v>0.13596914175506269</v>
      </c>
    </row>
    <row r="24" spans="1:15" ht="14" customHeight="1">
      <c r="A24" s="27"/>
      <c r="B24" s="46" t="s">
        <v>1042</v>
      </c>
      <c r="C24" s="27"/>
      <c r="D24" s="27"/>
      <c r="E24" s="27"/>
      <c r="F24" s="27">
        <f>AntalLLBEL</f>
        <v>175</v>
      </c>
      <c r="G24" s="27">
        <f>AntalLLBELFGAR</f>
        <v>235</v>
      </c>
      <c r="H24" s="47">
        <f t="shared" si="1"/>
        <v>-0.25531914893617019</v>
      </c>
      <c r="I24" s="47">
        <f>ChangeLLBELYTD/100</f>
        <v>-0.25531914893617019</v>
      </c>
    </row>
    <row r="25" spans="1:15" ht="14" customHeight="1">
      <c r="A25" s="27"/>
      <c r="B25" s="241" t="s">
        <v>1047</v>
      </c>
      <c r="C25" s="242"/>
      <c r="D25" s="242"/>
      <c r="E25" s="242"/>
      <c r="F25" s="243">
        <f>(F24/F23)</f>
        <v>7.4278438030560265E-2</v>
      </c>
      <c r="G25" s="243">
        <f>(G24/G23)</f>
        <v>0.1133076181292189</v>
      </c>
      <c r="H25" s="243">
        <f>IF(G25=0,"",SUM(((F25-G25)/G25)))</f>
        <v>-0.34445327457284258</v>
      </c>
      <c r="I25" s="244"/>
      <c r="O25" s="245"/>
    </row>
    <row r="26" spans="1:15" ht="14" customHeight="1">
      <c r="A26" s="27"/>
      <c r="B26" s="48" t="s">
        <v>1049</v>
      </c>
      <c r="C26" s="49"/>
      <c r="D26" s="49"/>
      <c r="E26" s="49"/>
      <c r="F26" s="246">
        <f>GETPIVOTDATA("Sum of antalPerioden",'B. Lastbilar'!$A$7)</f>
        <v>2851</v>
      </c>
      <c r="G26" s="50">
        <f>GETPIVOTDATA("Sum of antalPeriodenFG",'B. Lastbilar'!$A$7)</f>
        <v>2385</v>
      </c>
      <c r="H26" s="51">
        <f>IF(G26=0,"",SUM(((F26-G26)/G26)))</f>
        <v>0.19538784067085954</v>
      </c>
      <c r="I26" s="47">
        <f>IF(antalLBTotaltYTDFGAR=0,"",((AntalLBTotaltYTD-antalLBTotaltYTDFGAR)/antalLBTotaltYTDFGAR))</f>
        <v>0.19538784067085954</v>
      </c>
    </row>
    <row r="27" spans="1:15" ht="14" customHeight="1">
      <c r="A27" s="27"/>
      <c r="B27" s="27"/>
      <c r="C27" s="27"/>
      <c r="D27" s="27"/>
      <c r="E27" s="27"/>
      <c r="F27" s="27"/>
      <c r="G27" s="27"/>
      <c r="H27" s="27"/>
      <c r="I27" s="27"/>
    </row>
    <row r="28" spans="1:15" ht="14" customHeight="1">
      <c r="A28" s="27"/>
      <c r="B28" s="43" t="s">
        <v>619</v>
      </c>
      <c r="C28" s="27"/>
      <c r="D28" s="27"/>
      <c r="E28" s="27"/>
      <c r="F28" s="27"/>
      <c r="G28" s="27"/>
      <c r="H28" s="27"/>
      <c r="I28" s="27"/>
    </row>
    <row r="29" spans="1:15" ht="14" customHeight="1">
      <c r="A29" s="27"/>
      <c r="B29" s="46" t="s">
        <v>1038</v>
      </c>
      <c r="C29" s="27"/>
      <c r="D29" s="27"/>
      <c r="E29" s="27"/>
      <c r="F29" s="27">
        <f>AntalELBUSS</f>
        <v>1</v>
      </c>
      <c r="G29" s="27">
        <f>AntalELBUSSFGAR</f>
        <v>10</v>
      </c>
      <c r="H29" s="47">
        <f>IF(G29=0,"",SUM(((F29-G29)/G29)))</f>
        <v>-0.9</v>
      </c>
      <c r="I29" s="47">
        <f>ChangeBUSSELYTD/100</f>
        <v>-0.9</v>
      </c>
      <c r="K29" s="46"/>
    </row>
    <row r="30" spans="1:15" ht="14" customHeight="1">
      <c r="A30" s="27"/>
      <c r="B30" s="241" t="s">
        <v>1048</v>
      </c>
      <c r="C30" s="242"/>
      <c r="D30" s="242"/>
      <c r="E30" s="242"/>
      <c r="F30" s="243">
        <f>(F29/F31)</f>
        <v>2.0833333333333332E-2</v>
      </c>
      <c r="G30" s="243">
        <f>(G29/G31)</f>
        <v>0.16666666666666666</v>
      </c>
      <c r="H30" s="243">
        <f>IF(G30=0,"",SUM(((F30-G30)/G30)))</f>
        <v>-0.87499999999999989</v>
      </c>
      <c r="I30" s="244"/>
    </row>
    <row r="31" spans="1:15" ht="14" customHeight="1">
      <c r="A31" s="27"/>
      <c r="B31" s="48" t="s">
        <v>616</v>
      </c>
      <c r="C31" s="48"/>
      <c r="D31" s="48"/>
      <c r="E31" s="48"/>
      <c r="F31" s="100">
        <f>getAggBussAll[[#Totals],[antalPerioden]]</f>
        <v>48</v>
      </c>
      <c r="G31" s="49">
        <f>getAggBussAll[[#Totals],[antalPeriodenFG]]</f>
        <v>60</v>
      </c>
      <c r="H31" s="51">
        <f>IF(G31=0,"",SUM(((F31-G31)/G31)))</f>
        <v>-0.2</v>
      </c>
      <c r="I31" s="47">
        <f>IF(AntalBUSSYTDFGAR=0,"",((AntalBUSSYTD-AntalBUSSYTDFGAR)/AntalBUSSYTDFGAR))</f>
        <v>-0.2</v>
      </c>
    </row>
    <row r="32" spans="1:15">
      <c r="A32" s="27"/>
      <c r="B32" s="46"/>
      <c r="C32" s="27"/>
      <c r="D32" s="27"/>
      <c r="E32" s="27"/>
      <c r="F32" s="27"/>
      <c r="G32" s="47"/>
      <c r="H32" s="27"/>
      <c r="I32" s="27"/>
      <c r="J32" s="27"/>
    </row>
    <row r="33" spans="1:11">
      <c r="A33" s="27"/>
      <c r="B33" s="46"/>
      <c r="C33" s="27"/>
      <c r="D33" s="27"/>
      <c r="E33" s="27"/>
      <c r="F33" s="27"/>
      <c r="G33" s="47"/>
      <c r="H33" s="27"/>
      <c r="I33" s="27"/>
      <c r="J33" s="27"/>
    </row>
    <row r="34" spans="1:11">
      <c r="A34" s="27"/>
      <c r="B34" s="27" t="s">
        <v>0</v>
      </c>
      <c r="C34" s="27"/>
      <c r="D34" s="27"/>
      <c r="E34" s="27"/>
      <c r="F34" s="27"/>
      <c r="G34" s="27"/>
      <c r="H34" s="27"/>
      <c r="I34" s="27"/>
      <c r="J34" s="27"/>
    </row>
    <row r="35" spans="1:11">
      <c r="A35" s="27"/>
      <c r="B35" s="27"/>
      <c r="C35" s="27"/>
      <c r="D35" s="27"/>
      <c r="E35" s="27"/>
      <c r="F35" s="27"/>
      <c r="G35" s="27"/>
      <c r="H35" s="27"/>
      <c r="I35" s="27"/>
      <c r="J35" s="27"/>
    </row>
    <row r="36" spans="1:11" ht="18">
      <c r="A36" s="27"/>
      <c r="B36" s="52" t="s">
        <v>473</v>
      </c>
      <c r="C36" s="52"/>
      <c r="D36" s="53"/>
      <c r="E36" s="53"/>
      <c r="F36" s="53"/>
      <c r="G36" s="27"/>
      <c r="H36" s="27"/>
      <c r="I36" s="27"/>
      <c r="J36" s="27"/>
    </row>
    <row r="37" spans="1:11" ht="18">
      <c r="A37" s="27"/>
      <c r="B37" s="54"/>
      <c r="C37" s="52" t="s">
        <v>474</v>
      </c>
      <c r="D37" s="53"/>
      <c r="E37" s="53"/>
      <c r="F37" s="53"/>
      <c r="G37" s="27"/>
      <c r="H37" s="27"/>
      <c r="I37" s="27"/>
      <c r="J37" s="27"/>
    </row>
    <row r="38" spans="1:11" ht="18">
      <c r="A38" s="27"/>
      <c r="B38" s="54"/>
      <c r="C38" s="52" t="s">
        <v>562</v>
      </c>
      <c r="D38" s="53"/>
      <c r="E38" s="53"/>
      <c r="F38" s="53"/>
      <c r="G38" s="27"/>
      <c r="H38" s="27"/>
      <c r="I38" s="27"/>
      <c r="J38" s="27"/>
    </row>
    <row r="39" spans="1:11" ht="18">
      <c r="A39" s="27"/>
      <c r="B39" s="54"/>
      <c r="C39" s="52" t="s">
        <v>493</v>
      </c>
      <c r="D39" s="53"/>
      <c r="E39" s="53"/>
      <c r="F39" s="53"/>
      <c r="G39" s="27"/>
      <c r="H39" s="27"/>
      <c r="I39" s="27"/>
      <c r="J39" s="27"/>
    </row>
    <row r="40" spans="1:11" ht="18">
      <c r="A40" s="27"/>
      <c r="B40" s="54"/>
      <c r="C40" s="52" t="s">
        <v>478</v>
      </c>
      <c r="D40" s="53"/>
      <c r="E40" s="53"/>
      <c r="F40" s="53"/>
      <c r="G40" s="27"/>
      <c r="H40" s="27"/>
      <c r="I40" s="27"/>
      <c r="J40" s="27"/>
    </row>
    <row r="41" spans="1:11" ht="18">
      <c r="A41" s="27"/>
      <c r="B41" s="54"/>
      <c r="C41" s="52" t="s">
        <v>479</v>
      </c>
      <c r="D41" s="53"/>
      <c r="E41" s="53"/>
      <c r="F41" s="53"/>
      <c r="G41" s="27"/>
      <c r="H41" s="27"/>
      <c r="I41" s="27"/>
      <c r="J41" s="27"/>
    </row>
    <row r="42" spans="1:11" ht="18">
      <c r="A42" s="27"/>
      <c r="B42" s="54"/>
      <c r="C42" s="52" t="s">
        <v>655</v>
      </c>
      <c r="D42" s="53"/>
      <c r="E42" s="53"/>
      <c r="F42" s="53"/>
      <c r="G42" s="27"/>
      <c r="H42" s="27"/>
      <c r="I42" s="27"/>
      <c r="J42" s="27"/>
    </row>
    <row r="43" spans="1:11" ht="18">
      <c r="A43" s="27"/>
      <c r="B43" s="54"/>
      <c r="C43" s="52" t="s">
        <v>656</v>
      </c>
      <c r="D43" s="53"/>
      <c r="E43" s="53"/>
      <c r="F43" s="53"/>
      <c r="G43" s="27"/>
      <c r="H43" s="27"/>
      <c r="I43" s="27"/>
      <c r="J43" s="27"/>
    </row>
    <row r="44" spans="1:11" ht="18">
      <c r="A44" s="27"/>
      <c r="B44" s="55"/>
      <c r="C44" s="52" t="s">
        <v>480</v>
      </c>
      <c r="D44" s="53"/>
      <c r="E44" s="53"/>
      <c r="F44" s="53"/>
      <c r="G44" s="27"/>
      <c r="H44" s="27"/>
      <c r="I44" s="27"/>
      <c r="J44" s="27"/>
    </row>
    <row r="45" spans="1:11" ht="18">
      <c r="A45" s="27"/>
      <c r="B45" s="55"/>
      <c r="C45" s="52" t="s">
        <v>567</v>
      </c>
      <c r="D45" s="53"/>
      <c r="E45" s="53"/>
      <c r="F45" s="53"/>
      <c r="G45" s="53"/>
      <c r="H45" s="53"/>
      <c r="I45" s="53"/>
      <c r="J45" s="27"/>
    </row>
    <row r="46" spans="1:11" ht="18">
      <c r="A46" s="27"/>
      <c r="B46" s="55"/>
      <c r="C46" s="52" t="s">
        <v>568</v>
      </c>
      <c r="D46" s="53"/>
      <c r="E46" s="53"/>
      <c r="F46" s="53"/>
      <c r="G46" s="27"/>
      <c r="H46" s="27"/>
      <c r="I46" s="27"/>
      <c r="J46" s="27"/>
    </row>
    <row r="47" spans="1:11" ht="18">
      <c r="A47" s="27"/>
      <c r="B47" s="55"/>
      <c r="C47" s="55"/>
      <c r="D47" s="53"/>
      <c r="E47" s="53"/>
      <c r="F47" s="27"/>
      <c r="G47" s="27"/>
      <c r="H47" s="27"/>
      <c r="I47" s="27"/>
      <c r="J47" s="27"/>
    </row>
    <row r="48" spans="1:11" ht="18">
      <c r="A48" s="27"/>
      <c r="B48" s="52" t="s">
        <v>475</v>
      </c>
      <c r="C48" s="52"/>
      <c r="D48" s="52"/>
      <c r="E48" s="52"/>
      <c r="F48" s="52"/>
      <c r="G48" s="56"/>
      <c r="H48" s="56"/>
      <c r="I48" s="56"/>
      <c r="J48" s="56"/>
      <c r="K48" s="18"/>
    </row>
    <row r="49" spans="1:11" ht="18">
      <c r="A49" s="27"/>
      <c r="B49" s="55"/>
      <c r="C49" s="52" t="s">
        <v>563</v>
      </c>
      <c r="D49" s="52"/>
      <c r="E49" s="52"/>
      <c r="F49" s="52"/>
      <c r="G49" s="56"/>
      <c r="H49" s="56"/>
      <c r="I49" s="56"/>
      <c r="J49" s="56"/>
      <c r="K49" s="18"/>
    </row>
    <row r="50" spans="1:11" ht="18">
      <c r="A50" s="27"/>
      <c r="B50" s="55"/>
      <c r="C50" s="52" t="s">
        <v>392</v>
      </c>
      <c r="D50" s="52"/>
      <c r="E50" s="52"/>
      <c r="F50" s="52"/>
      <c r="G50" s="56"/>
      <c r="H50" s="56"/>
      <c r="I50" s="56"/>
      <c r="J50" s="56"/>
      <c r="K50" s="18"/>
    </row>
    <row r="51" spans="1:11" ht="18">
      <c r="A51" s="27"/>
      <c r="B51" s="55"/>
      <c r="C51" s="52" t="s">
        <v>320</v>
      </c>
      <c r="D51" s="52"/>
      <c r="E51" s="52"/>
      <c r="F51" s="52"/>
      <c r="G51" s="56"/>
      <c r="H51" s="56"/>
      <c r="I51" s="56"/>
      <c r="J51" s="56"/>
      <c r="K51" s="18"/>
    </row>
    <row r="52" spans="1:11" ht="18">
      <c r="A52" s="27"/>
      <c r="B52" s="55"/>
      <c r="C52" s="52" t="s">
        <v>564</v>
      </c>
      <c r="D52" s="52"/>
      <c r="E52" s="52"/>
      <c r="F52" s="52"/>
      <c r="G52" s="56"/>
      <c r="H52" s="56"/>
      <c r="I52" s="56"/>
      <c r="J52" s="56"/>
      <c r="K52" s="18"/>
    </row>
    <row r="53" spans="1:11" ht="18">
      <c r="A53" s="27"/>
      <c r="B53" s="55"/>
      <c r="C53" s="52" t="s">
        <v>373</v>
      </c>
      <c r="D53" s="52"/>
      <c r="E53" s="52"/>
      <c r="F53" s="52"/>
      <c r="G53" s="27"/>
      <c r="H53" s="27"/>
      <c r="I53" s="27"/>
      <c r="J53" s="27"/>
    </row>
    <row r="54" spans="1:11" ht="18">
      <c r="A54" s="27"/>
      <c r="B54" s="57"/>
      <c r="C54" s="55"/>
      <c r="D54" s="52"/>
      <c r="E54" s="52"/>
      <c r="F54" s="54"/>
      <c r="G54" s="27"/>
      <c r="H54" s="27"/>
      <c r="I54" s="27"/>
      <c r="J54" s="27"/>
    </row>
    <row r="55" spans="1:11" ht="18">
      <c r="A55" s="27"/>
      <c r="B55" s="52" t="s">
        <v>476</v>
      </c>
      <c r="C55" s="52"/>
      <c r="D55" s="52"/>
      <c r="E55" s="52"/>
      <c r="F55" s="52"/>
      <c r="G55" s="27"/>
      <c r="H55" s="27"/>
      <c r="I55" s="27"/>
      <c r="J55" s="27"/>
    </row>
    <row r="56" spans="1:11" ht="18">
      <c r="A56" s="27"/>
      <c r="B56" s="55"/>
      <c r="C56" s="52" t="s">
        <v>321</v>
      </c>
      <c r="D56" s="52"/>
      <c r="E56" s="52"/>
      <c r="F56" s="52"/>
      <c r="G56" s="27"/>
      <c r="H56" s="27"/>
      <c r="I56" s="27"/>
      <c r="J56" s="27"/>
    </row>
    <row r="57" spans="1:11" ht="18">
      <c r="A57" s="27"/>
      <c r="B57" s="27"/>
      <c r="C57" s="52" t="s">
        <v>561</v>
      </c>
      <c r="D57" s="53"/>
      <c r="E57" s="53"/>
      <c r="F57" s="53"/>
      <c r="G57" s="27"/>
      <c r="H57" s="27"/>
      <c r="I57" s="27"/>
      <c r="J57" s="27"/>
    </row>
    <row r="58" spans="1:11" ht="18">
      <c r="A58" s="27"/>
      <c r="B58" s="27"/>
      <c r="C58" s="52"/>
      <c r="D58" s="27"/>
      <c r="E58" s="27"/>
      <c r="F58" s="27"/>
      <c r="G58" s="27"/>
      <c r="H58" s="27"/>
      <c r="I58" s="27"/>
      <c r="J58" s="27"/>
    </row>
    <row r="59" spans="1:11">
      <c r="A59" s="27"/>
      <c r="B59" s="58" t="s">
        <v>713</v>
      </c>
      <c r="C59" s="27"/>
      <c r="D59" s="27"/>
      <c r="E59" s="27"/>
      <c r="F59" s="27"/>
      <c r="G59" s="27"/>
      <c r="H59" s="27"/>
      <c r="I59" s="27"/>
      <c r="J59" s="27"/>
    </row>
    <row r="60" spans="1:11">
      <c r="A60" s="27"/>
      <c r="B60" s="59"/>
      <c r="C60" s="27"/>
      <c r="D60" s="27"/>
      <c r="E60" s="27"/>
      <c r="F60" s="27"/>
      <c r="G60" s="27"/>
      <c r="H60" s="27"/>
      <c r="I60" s="27"/>
      <c r="J60" s="27"/>
    </row>
    <row r="61" spans="1:11">
      <c r="A61" s="27"/>
      <c r="B61" s="60" t="s">
        <v>717</v>
      </c>
      <c r="C61" s="53"/>
      <c r="D61" s="53"/>
      <c r="E61" s="53"/>
      <c r="F61" s="53"/>
      <c r="G61" s="27"/>
      <c r="H61" s="27"/>
      <c r="I61" s="27"/>
      <c r="J61" s="27"/>
    </row>
    <row r="62" spans="1:11">
      <c r="A62" s="27"/>
      <c r="B62" s="60" t="s">
        <v>565</v>
      </c>
      <c r="C62" s="27"/>
      <c r="D62" s="27"/>
      <c r="E62" s="27"/>
      <c r="F62" s="27"/>
      <c r="G62" s="27"/>
      <c r="H62" s="27"/>
      <c r="I62" s="27"/>
      <c r="J62" s="27"/>
    </row>
    <row r="63" spans="1:11">
      <c r="A63" s="27"/>
      <c r="B63" s="56"/>
      <c r="C63" s="27"/>
      <c r="D63" s="27"/>
      <c r="E63" s="27"/>
      <c r="F63" s="27"/>
      <c r="G63" s="27"/>
      <c r="H63" s="27"/>
      <c r="I63" s="27"/>
      <c r="J63" s="27"/>
    </row>
    <row r="64" spans="1:11">
      <c r="A64" s="27"/>
      <c r="B64" s="22" t="s">
        <v>566</v>
      </c>
      <c r="C64" s="56"/>
      <c r="D64" s="56"/>
      <c r="E64" s="56"/>
      <c r="F64" s="56"/>
      <c r="G64" s="27"/>
      <c r="H64" s="27"/>
      <c r="I64" s="27"/>
      <c r="J64" s="27"/>
    </row>
    <row r="65" spans="1:10">
      <c r="A65" s="27"/>
      <c r="B65" s="8" t="s">
        <v>714</v>
      </c>
      <c r="C65" s="56"/>
      <c r="D65" s="56"/>
      <c r="E65" s="56"/>
      <c r="F65" s="56"/>
      <c r="G65" s="27"/>
      <c r="H65" s="27"/>
      <c r="I65" s="27"/>
      <c r="J65" s="27"/>
    </row>
    <row r="66" spans="1:10">
      <c r="A66" s="27"/>
      <c r="B66" s="8" t="s">
        <v>507</v>
      </c>
      <c r="C66" s="56"/>
      <c r="D66" s="56"/>
      <c r="E66" s="56"/>
      <c r="F66" s="56"/>
      <c r="G66" s="27"/>
      <c r="H66" s="27"/>
      <c r="I66" s="27"/>
      <c r="J66" s="27"/>
    </row>
    <row r="67" spans="1:10">
      <c r="A67" s="27"/>
      <c r="B67" s="8" t="s">
        <v>508</v>
      </c>
      <c r="C67" s="56"/>
      <c r="D67" s="56"/>
      <c r="E67" s="56"/>
      <c r="F67" s="56"/>
      <c r="G67" s="27"/>
      <c r="H67" s="27"/>
      <c r="I67" s="27"/>
      <c r="J67" s="27"/>
    </row>
    <row r="68" spans="1:10">
      <c r="A68" s="27"/>
      <c r="B68" s="8" t="s">
        <v>715</v>
      </c>
      <c r="C68" s="56"/>
      <c r="D68" s="56"/>
      <c r="E68" s="56"/>
      <c r="F68" s="56"/>
      <c r="G68" s="27"/>
      <c r="H68" s="27"/>
      <c r="I68" s="27"/>
      <c r="J68" s="27"/>
    </row>
    <row r="69" spans="1:10">
      <c r="A69" s="27"/>
      <c r="B69" s="8" t="s">
        <v>477</v>
      </c>
      <c r="C69" s="27"/>
      <c r="D69" s="27"/>
      <c r="E69" s="27"/>
      <c r="F69" s="27"/>
      <c r="G69" s="27"/>
      <c r="H69" s="27"/>
      <c r="I69" s="27"/>
      <c r="J69" s="27"/>
    </row>
    <row r="70" spans="1:10">
      <c r="A70" s="27"/>
      <c r="B70" s="27"/>
      <c r="C70" s="27"/>
      <c r="D70" s="27"/>
      <c r="E70" s="27"/>
      <c r="F70" s="27"/>
      <c r="G70" s="27"/>
      <c r="H70" s="27"/>
      <c r="I70" s="27"/>
      <c r="J70" s="27"/>
    </row>
    <row r="71" spans="1:10">
      <c r="A71" s="27"/>
      <c r="B71" s="27"/>
      <c r="C71" s="27"/>
      <c r="D71" s="27"/>
      <c r="E71" s="27"/>
      <c r="F71" s="27"/>
      <c r="G71" s="27"/>
      <c r="H71" s="27"/>
      <c r="I71" s="27"/>
      <c r="J71" s="27"/>
    </row>
    <row r="72" spans="1:10" hidden="1">
      <c r="A72" s="27"/>
      <c r="B72" s="27"/>
      <c r="C72" s="27"/>
      <c r="D72" s="27"/>
      <c r="E72" s="27"/>
      <c r="F72" s="27"/>
      <c r="G72" s="27"/>
      <c r="H72" s="27"/>
      <c r="I72" s="27"/>
      <c r="J72" s="27"/>
    </row>
    <row r="73" spans="1:10" hidden="1"/>
    <row r="74" spans="1:10" hidden="1">
      <c r="A74" t="s">
        <v>380</v>
      </c>
      <c r="D74" s="197" t="s">
        <v>2</v>
      </c>
    </row>
    <row r="75" spans="1:10" hidden="1">
      <c r="A75" t="s">
        <v>369</v>
      </c>
      <c r="D75" s="197" t="s">
        <v>1123</v>
      </c>
    </row>
    <row r="76" spans="1:10" hidden="1">
      <c r="A76" t="s">
        <v>370</v>
      </c>
      <c r="D76" s="197" t="s">
        <v>1124</v>
      </c>
    </row>
    <row r="77" spans="1:10" hidden="1">
      <c r="A77" t="s">
        <v>367</v>
      </c>
      <c r="D77" s="197" t="s">
        <v>1125</v>
      </c>
    </row>
    <row r="78" spans="1:10" hidden="1">
      <c r="A78" t="s">
        <v>368</v>
      </c>
      <c r="D78" s="197" t="s">
        <v>694</v>
      </c>
    </row>
    <row r="79" spans="1:10" hidden="1">
      <c r="A79" t="s">
        <v>363</v>
      </c>
      <c r="D79" s="197" t="s">
        <v>1126</v>
      </c>
    </row>
    <row r="80" spans="1:10" hidden="1">
      <c r="A80" t="s">
        <v>364</v>
      </c>
      <c r="D80" s="197" t="s">
        <v>1127</v>
      </c>
    </row>
    <row r="81" spans="1:4" hidden="1">
      <c r="A81" t="s">
        <v>365</v>
      </c>
      <c r="D81" s="197" t="s">
        <v>1128</v>
      </c>
    </row>
    <row r="82" spans="1:4" hidden="1">
      <c r="A82" t="s">
        <v>366</v>
      </c>
      <c r="D82" s="197" t="s">
        <v>695</v>
      </c>
    </row>
    <row r="83" spans="1:4" hidden="1">
      <c r="D83" s="27"/>
    </row>
    <row r="84" spans="1:4" hidden="1">
      <c r="A84" t="s">
        <v>366</v>
      </c>
      <c r="D84" s="197" t="s">
        <v>1130</v>
      </c>
    </row>
    <row r="85" spans="1:4" hidden="1">
      <c r="A85" t="s">
        <v>365</v>
      </c>
      <c r="D85" s="197" t="s">
        <v>1129</v>
      </c>
    </row>
    <row r="86" spans="1:4" hidden="1">
      <c r="D86" s="27"/>
    </row>
    <row r="87" spans="1:4" hidden="1">
      <c r="A87" t="s">
        <v>381</v>
      </c>
      <c r="D87" s="197" t="s">
        <v>1131</v>
      </c>
    </row>
    <row r="88" spans="1:4" hidden="1"/>
    <row r="89" spans="1:4" hidden="1"/>
    <row r="90" spans="1:4" hidden="1"/>
    <row r="98" spans="2:2">
      <c r="B98" s="4"/>
    </row>
    <row r="99" spans="2:2">
      <c r="B99" s="4"/>
    </row>
  </sheetData>
  <mergeCells count="2">
    <mergeCell ref="C10:I10"/>
    <mergeCell ref="H12:I12"/>
  </mergeCells>
  <conditionalFormatting sqref="H16:I31 I14:I17">
    <cfRule type="cellIs" dxfId="14" priority="5" operator="lessThan">
      <formula>0</formula>
    </cfRule>
  </conditionalFormatting>
  <conditionalFormatting sqref="P13:Q15">
    <cfRule type="cellIs" dxfId="13" priority="4" operator="lessThan">
      <formula>0</formula>
    </cfRule>
  </conditionalFormatting>
  <conditionalFormatting sqref="F25:G25">
    <cfRule type="cellIs" dxfId="12" priority="3" operator="lessThan">
      <formula>0</formula>
    </cfRule>
  </conditionalFormatting>
  <conditionalFormatting sqref="F30:G30">
    <cfRule type="cellIs" dxfId="11" priority="2" operator="lessThan">
      <formula>0</formula>
    </cfRule>
  </conditionalFormatting>
  <conditionalFormatting sqref="H14:H15">
    <cfRule type="cellIs" dxfId="10" priority="1"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N342"/>
  <sheetViews>
    <sheetView showZeros="0" workbookViewId="0">
      <pane ySplit="7" topLeftCell="A9" activePane="bottomLeft" state="frozen"/>
      <selection pane="bottomLeft" activeCell="O30" sqref="O30"/>
    </sheetView>
  </sheetViews>
  <sheetFormatPr baseColWidth="10" defaultColWidth="8.83203125" defaultRowHeight="15"/>
  <cols>
    <col min="1" max="1" width="5" customWidth="1"/>
    <col min="2" max="2" width="26.6640625" customWidth="1"/>
    <col min="3" max="3" width="9.6640625" customWidth="1"/>
    <col min="4" max="4" width="12.5" customWidth="1"/>
    <col min="5" max="5" width="14.1640625" customWidth="1"/>
    <col min="6" max="6" width="10.33203125" customWidth="1"/>
    <col min="7" max="7" width="10.6640625" customWidth="1"/>
    <col min="8" max="8" width="13.6640625" style="9" customWidth="1"/>
    <col min="9" max="9" width="12" style="9" customWidth="1"/>
    <col min="10" max="13" width="10.5" style="9" customWidth="1"/>
    <col min="14" max="14" width="12.6640625" customWidth="1"/>
  </cols>
  <sheetData>
    <row r="1" spans="1:14">
      <c r="G1" s="306" t="s">
        <v>1184</v>
      </c>
      <c r="H1"/>
      <c r="I1"/>
      <c r="J1"/>
      <c r="K1"/>
      <c r="L1"/>
      <c r="M1"/>
    </row>
    <row r="2" spans="1:14" ht="19.25" customHeight="1" thickBot="1">
      <c r="C2" s="61" t="s">
        <v>251</v>
      </c>
      <c r="D2" s="61"/>
      <c r="E2" s="61"/>
      <c r="G2" s="9" t="s">
        <v>1185</v>
      </c>
      <c r="H2"/>
      <c r="I2"/>
      <c r="J2"/>
      <c r="K2"/>
      <c r="L2"/>
      <c r="M2"/>
    </row>
    <row r="3" spans="1:14">
      <c r="G3" s="307" t="s">
        <v>1186</v>
      </c>
    </row>
    <row r="4" spans="1:14">
      <c r="A4" s="8" t="s">
        <v>482</v>
      </c>
      <c r="B4" s="60"/>
      <c r="C4" s="60"/>
      <c r="D4" s="60"/>
      <c r="E4" s="60"/>
      <c r="F4" s="60"/>
      <c r="G4" s="60"/>
      <c r="H4" s="73"/>
      <c r="I4" s="287" t="s">
        <v>483</v>
      </c>
      <c r="J4" s="287"/>
      <c r="K4" s="287"/>
      <c r="L4" s="287"/>
      <c r="M4" s="287"/>
      <c r="N4" s="60"/>
    </row>
    <row r="5" spans="1:14">
      <c r="A5" s="119"/>
      <c r="B5" s="130"/>
      <c r="C5" s="130"/>
      <c r="D5" s="288" t="s">
        <v>571</v>
      </c>
      <c r="E5" s="289"/>
      <c r="F5" s="290" t="s">
        <v>571</v>
      </c>
      <c r="G5" s="291"/>
      <c r="H5" s="292" t="s">
        <v>572</v>
      </c>
      <c r="I5" s="293"/>
      <c r="J5" s="292" t="s">
        <v>573</v>
      </c>
      <c r="K5" s="293"/>
      <c r="L5" s="292" t="s">
        <v>573</v>
      </c>
      <c r="M5" s="293"/>
      <c r="N5" s="60"/>
    </row>
    <row r="6" spans="1:14">
      <c r="A6" s="137"/>
      <c r="B6" s="138" t="s">
        <v>484</v>
      </c>
      <c r="C6" s="139" t="s">
        <v>575</v>
      </c>
      <c r="D6" s="140" t="str">
        <f>Innehåll!D79</f>
        <v xml:space="preserve"> 2023-01</v>
      </c>
      <c r="E6" s="140" t="str">
        <f>Innehåll!D80</f>
        <v xml:space="preserve"> 2022-01</v>
      </c>
      <c r="F6" s="140" t="str">
        <f>Innehåll!D81</f>
        <v>YTD  2023</v>
      </c>
      <c r="G6" s="140" t="str">
        <f>Innehåll!D82</f>
        <v>YTD  2022</v>
      </c>
      <c r="H6" s="141" t="str">
        <f>D6</f>
        <v xml:space="preserve"> 2023-01</v>
      </c>
      <c r="I6" s="142" t="str">
        <f>F6</f>
        <v>YTD  2023</v>
      </c>
      <c r="J6" s="141" t="str">
        <f>D6</f>
        <v xml:space="preserve"> 2023-01</v>
      </c>
      <c r="K6" s="143" t="str">
        <f>F6</f>
        <v>YTD  2023</v>
      </c>
      <c r="L6" s="144" t="str">
        <f>E6</f>
        <v xml:space="preserve"> 2022-01</v>
      </c>
      <c r="M6" s="144" t="str">
        <f>G6</f>
        <v>YTD  2022</v>
      </c>
      <c r="N6" s="60"/>
    </row>
    <row r="7" spans="1:14" ht="15" hidden="1" customHeight="1">
      <c r="A7" s="60"/>
      <c r="B7" s="60"/>
      <c r="C7" s="60"/>
      <c r="D7" s="60"/>
      <c r="E7" s="60"/>
      <c r="F7" s="60"/>
      <c r="G7" s="60"/>
      <c r="H7" s="73"/>
      <c r="I7" s="73"/>
      <c r="J7" s="73"/>
      <c r="K7" s="73"/>
      <c r="L7" s="73"/>
      <c r="M7" s="73"/>
      <c r="N7" s="60"/>
    </row>
    <row r="8" spans="1:14" ht="15" hidden="1" customHeight="1">
      <c r="A8" s="60" t="s">
        <v>33</v>
      </c>
      <c r="B8" s="60" t="s">
        <v>237</v>
      </c>
      <c r="C8" s="60" t="s">
        <v>238</v>
      </c>
      <c r="D8" s="60" t="s">
        <v>35</v>
      </c>
      <c r="E8" s="60" t="s">
        <v>36</v>
      </c>
      <c r="F8" s="60" t="s">
        <v>37</v>
      </c>
      <c r="G8" s="60" t="s">
        <v>38</v>
      </c>
      <c r="H8" s="73" t="s">
        <v>39</v>
      </c>
      <c r="I8" s="73" t="s">
        <v>40</v>
      </c>
      <c r="J8" s="73" t="s">
        <v>41</v>
      </c>
      <c r="K8" s="73" t="s">
        <v>42</v>
      </c>
      <c r="L8" s="73" t="s">
        <v>43</v>
      </c>
      <c r="M8" s="73" t="s">
        <v>44</v>
      </c>
      <c r="N8" s="60"/>
    </row>
    <row r="9" spans="1:14">
      <c r="A9" s="60">
        <v>1</v>
      </c>
      <c r="B9" s="60" t="s">
        <v>452</v>
      </c>
      <c r="C9" s="60" t="s">
        <v>24</v>
      </c>
      <c r="D9" s="24">
        <v>698</v>
      </c>
      <c r="E9" s="24">
        <v>467</v>
      </c>
      <c r="F9" s="24">
        <v>698</v>
      </c>
      <c r="G9" s="24">
        <v>467</v>
      </c>
      <c r="H9" s="73">
        <v>49.46</v>
      </c>
      <c r="I9" s="73">
        <v>49.46</v>
      </c>
      <c r="J9" s="73">
        <v>9.25</v>
      </c>
      <c r="K9" s="73">
        <v>9.25</v>
      </c>
      <c r="L9" s="73">
        <v>4.4400000000000004</v>
      </c>
      <c r="M9" s="73">
        <v>4.4400000000000004</v>
      </c>
      <c r="N9" s="60"/>
    </row>
    <row r="10" spans="1:14">
      <c r="A10" s="60">
        <v>2</v>
      </c>
      <c r="B10" s="60" t="s">
        <v>421</v>
      </c>
      <c r="C10" s="60" t="s">
        <v>23</v>
      </c>
      <c r="D10" s="24">
        <v>610</v>
      </c>
      <c r="E10" s="24">
        <v>577</v>
      </c>
      <c r="F10" s="24">
        <v>610</v>
      </c>
      <c r="G10" s="24">
        <v>577</v>
      </c>
      <c r="H10" s="73">
        <v>5.72</v>
      </c>
      <c r="I10" s="73">
        <v>5.72</v>
      </c>
      <c r="J10" s="73">
        <v>8.08</v>
      </c>
      <c r="K10" s="73">
        <v>8.08</v>
      </c>
      <c r="L10" s="73">
        <v>5.48</v>
      </c>
      <c r="M10" s="73">
        <v>5.48</v>
      </c>
      <c r="N10" s="60"/>
    </row>
    <row r="11" spans="1:14">
      <c r="A11" s="60">
        <v>3</v>
      </c>
      <c r="B11" s="60" t="s">
        <v>666</v>
      </c>
      <c r="C11" s="60" t="s">
        <v>24</v>
      </c>
      <c r="D11" s="24">
        <v>425</v>
      </c>
      <c r="E11" s="24">
        <v>293</v>
      </c>
      <c r="F11" s="24">
        <v>425</v>
      </c>
      <c r="G11" s="24">
        <v>293</v>
      </c>
      <c r="H11" s="73">
        <v>45.05</v>
      </c>
      <c r="I11" s="73">
        <v>45.05</v>
      </c>
      <c r="J11" s="73">
        <v>5.63</v>
      </c>
      <c r="K11" s="73">
        <v>5.63</v>
      </c>
      <c r="L11" s="73">
        <v>2.78</v>
      </c>
      <c r="M11" s="73">
        <v>2.78</v>
      </c>
      <c r="N11" s="60"/>
    </row>
    <row r="12" spans="1:14">
      <c r="A12" s="60">
        <v>4</v>
      </c>
      <c r="B12" s="60" t="s">
        <v>438</v>
      </c>
      <c r="C12" s="60" t="s">
        <v>23</v>
      </c>
      <c r="D12" s="24">
        <v>400</v>
      </c>
      <c r="E12" s="24">
        <v>256</v>
      </c>
      <c r="F12" s="24">
        <v>400</v>
      </c>
      <c r="G12" s="24">
        <v>256</v>
      </c>
      <c r="H12" s="73">
        <v>56.25</v>
      </c>
      <c r="I12" s="73">
        <v>56.25</v>
      </c>
      <c r="J12" s="73">
        <v>5.3</v>
      </c>
      <c r="K12" s="73">
        <v>5.3</v>
      </c>
      <c r="L12" s="73">
        <v>2.4300000000000002</v>
      </c>
      <c r="M12" s="73">
        <v>2.4300000000000002</v>
      </c>
      <c r="N12" s="60"/>
    </row>
    <row r="13" spans="1:14">
      <c r="A13" s="60">
        <v>5</v>
      </c>
      <c r="B13" s="60" t="s">
        <v>674</v>
      </c>
      <c r="C13" s="60" t="s">
        <v>24</v>
      </c>
      <c r="D13" s="24">
        <v>372</v>
      </c>
      <c r="E13" s="24">
        <v>67</v>
      </c>
      <c r="F13" s="24">
        <v>372</v>
      </c>
      <c r="G13" s="24">
        <v>67</v>
      </c>
      <c r="H13" s="73">
        <v>455.22</v>
      </c>
      <c r="I13" s="73">
        <v>455.22</v>
      </c>
      <c r="J13" s="73">
        <v>4.93</v>
      </c>
      <c r="K13" s="73">
        <v>4.93</v>
      </c>
      <c r="L13" s="73">
        <v>0.64</v>
      </c>
      <c r="M13" s="73">
        <v>0.64</v>
      </c>
      <c r="N13" s="60"/>
    </row>
    <row r="14" spans="1:14">
      <c r="A14" s="60">
        <v>6</v>
      </c>
      <c r="B14" s="60" t="s">
        <v>513</v>
      </c>
      <c r="C14" s="60" t="s">
        <v>24</v>
      </c>
      <c r="D14" s="24">
        <v>276</v>
      </c>
      <c r="E14" s="24">
        <v>683</v>
      </c>
      <c r="F14" s="24">
        <v>276</v>
      </c>
      <c r="G14" s="24">
        <v>683</v>
      </c>
      <c r="H14" s="73">
        <v>-59.59</v>
      </c>
      <c r="I14" s="73">
        <v>-59.59</v>
      </c>
      <c r="J14" s="73">
        <v>3.66</v>
      </c>
      <c r="K14" s="73">
        <v>3.66</v>
      </c>
      <c r="L14" s="73">
        <v>6.49</v>
      </c>
      <c r="M14" s="73">
        <v>6.49</v>
      </c>
      <c r="N14" s="60"/>
    </row>
    <row r="15" spans="1:14">
      <c r="A15" s="60">
        <v>7</v>
      </c>
      <c r="B15" s="60" t="s">
        <v>726</v>
      </c>
      <c r="C15" s="60" t="s">
        <v>23</v>
      </c>
      <c r="D15" s="24">
        <v>247</v>
      </c>
      <c r="E15" s="24">
        <v>0</v>
      </c>
      <c r="F15" s="24">
        <v>247</v>
      </c>
      <c r="G15" s="24">
        <v>0</v>
      </c>
      <c r="H15" s="73">
        <v>0</v>
      </c>
      <c r="I15" s="73">
        <v>0</v>
      </c>
      <c r="J15" s="73">
        <v>3.27</v>
      </c>
      <c r="K15" s="73">
        <v>3.27</v>
      </c>
      <c r="L15" s="73">
        <v>0</v>
      </c>
      <c r="M15" s="73">
        <v>0</v>
      </c>
      <c r="N15" s="60"/>
    </row>
    <row r="16" spans="1:14">
      <c r="A16" s="60">
        <v>8</v>
      </c>
      <c r="B16" s="60" t="s">
        <v>241</v>
      </c>
      <c r="C16" s="60" t="s">
        <v>24</v>
      </c>
      <c r="D16" s="24">
        <v>204</v>
      </c>
      <c r="E16" s="24">
        <v>996</v>
      </c>
      <c r="F16" s="24">
        <v>204</v>
      </c>
      <c r="G16" s="24">
        <v>996</v>
      </c>
      <c r="H16" s="73">
        <v>-79.52</v>
      </c>
      <c r="I16" s="73">
        <v>-79.52</v>
      </c>
      <c r="J16" s="73">
        <v>2.7</v>
      </c>
      <c r="K16" s="73">
        <v>2.7</v>
      </c>
      <c r="L16" s="73">
        <v>9.4600000000000009</v>
      </c>
      <c r="M16" s="73">
        <v>9.4600000000000009</v>
      </c>
      <c r="N16" s="60"/>
    </row>
    <row r="17" spans="1:14">
      <c r="A17" s="60">
        <v>9</v>
      </c>
      <c r="B17" s="60" t="s">
        <v>516</v>
      </c>
      <c r="C17" s="60" t="s">
        <v>24</v>
      </c>
      <c r="D17" s="24">
        <v>178</v>
      </c>
      <c r="E17" s="24">
        <v>8</v>
      </c>
      <c r="F17" s="24">
        <v>178</v>
      </c>
      <c r="G17" s="24">
        <v>8</v>
      </c>
      <c r="H17" s="73">
        <v>2125</v>
      </c>
      <c r="I17" s="73">
        <v>2125</v>
      </c>
      <c r="J17" s="73">
        <v>2.36</v>
      </c>
      <c r="K17" s="73">
        <v>2.36</v>
      </c>
      <c r="L17" s="73">
        <v>0.08</v>
      </c>
      <c r="M17" s="73">
        <v>0.08</v>
      </c>
      <c r="N17" s="60"/>
    </row>
    <row r="18" spans="1:14">
      <c r="A18" s="60">
        <v>10</v>
      </c>
      <c r="B18" s="60" t="s">
        <v>397</v>
      </c>
      <c r="C18" s="60" t="s">
        <v>23</v>
      </c>
      <c r="D18" s="24">
        <v>171</v>
      </c>
      <c r="E18" s="24">
        <v>529</v>
      </c>
      <c r="F18" s="24">
        <v>171</v>
      </c>
      <c r="G18" s="24">
        <v>529</v>
      </c>
      <c r="H18" s="73">
        <v>-67.67</v>
      </c>
      <c r="I18" s="73">
        <v>-67.67</v>
      </c>
      <c r="J18" s="73">
        <v>2.27</v>
      </c>
      <c r="K18" s="73">
        <v>2.27</v>
      </c>
      <c r="L18" s="73">
        <v>5.03</v>
      </c>
      <c r="M18" s="73">
        <v>5.03</v>
      </c>
      <c r="N18" s="60"/>
    </row>
    <row r="19" spans="1:14">
      <c r="A19" s="60">
        <v>11</v>
      </c>
      <c r="B19" s="60" t="s">
        <v>603</v>
      </c>
      <c r="C19" s="60" t="s">
        <v>24</v>
      </c>
      <c r="D19" s="24">
        <v>153</v>
      </c>
      <c r="E19" s="24">
        <v>200</v>
      </c>
      <c r="F19" s="24">
        <v>153</v>
      </c>
      <c r="G19" s="24">
        <v>200</v>
      </c>
      <c r="H19" s="73">
        <v>-23.5</v>
      </c>
      <c r="I19" s="73">
        <v>-23.5</v>
      </c>
      <c r="J19" s="73">
        <v>2.0299999999999998</v>
      </c>
      <c r="K19" s="73">
        <v>2.0299999999999998</v>
      </c>
      <c r="L19" s="73">
        <v>1.9</v>
      </c>
      <c r="M19" s="73">
        <v>1.9</v>
      </c>
      <c r="N19" s="60"/>
    </row>
    <row r="20" spans="1:14">
      <c r="A20" s="60">
        <v>12</v>
      </c>
      <c r="B20" s="60" t="s">
        <v>423</v>
      </c>
      <c r="C20" s="60" t="s">
        <v>23</v>
      </c>
      <c r="D20" s="24">
        <v>132</v>
      </c>
      <c r="E20" s="24">
        <v>348</v>
      </c>
      <c r="F20" s="24">
        <v>132</v>
      </c>
      <c r="G20" s="24">
        <v>348</v>
      </c>
      <c r="H20" s="73">
        <v>-62.07</v>
      </c>
      <c r="I20" s="73">
        <v>-62.07</v>
      </c>
      <c r="J20" s="73">
        <v>1.75</v>
      </c>
      <c r="K20" s="73">
        <v>1.75</v>
      </c>
      <c r="L20" s="73">
        <v>3.31</v>
      </c>
      <c r="M20" s="73">
        <v>3.31</v>
      </c>
      <c r="N20" s="60"/>
    </row>
    <row r="21" spans="1:14">
      <c r="A21" s="60">
        <v>13</v>
      </c>
      <c r="B21" s="60" t="s">
        <v>608</v>
      </c>
      <c r="C21" s="60" t="s">
        <v>23</v>
      </c>
      <c r="D21" s="24">
        <v>126</v>
      </c>
      <c r="E21" s="24">
        <v>105</v>
      </c>
      <c r="F21" s="24">
        <v>126</v>
      </c>
      <c r="G21" s="24">
        <v>105</v>
      </c>
      <c r="H21" s="73">
        <v>20</v>
      </c>
      <c r="I21" s="73">
        <v>20</v>
      </c>
      <c r="J21" s="73">
        <v>1.67</v>
      </c>
      <c r="K21" s="73">
        <v>1.67</v>
      </c>
      <c r="L21" s="73">
        <v>1</v>
      </c>
      <c r="M21" s="73">
        <v>1</v>
      </c>
      <c r="N21" s="60"/>
    </row>
    <row r="22" spans="1:14">
      <c r="A22" s="60">
        <v>14</v>
      </c>
      <c r="B22" s="60" t="s">
        <v>441</v>
      </c>
      <c r="C22" s="60" t="s">
        <v>23</v>
      </c>
      <c r="D22" s="24">
        <v>123</v>
      </c>
      <c r="E22" s="24">
        <v>126</v>
      </c>
      <c r="F22" s="24">
        <v>123</v>
      </c>
      <c r="G22" s="24">
        <v>126</v>
      </c>
      <c r="H22" s="73">
        <v>-2.38</v>
      </c>
      <c r="I22" s="73">
        <v>-2.38</v>
      </c>
      <c r="J22" s="73">
        <v>1.63</v>
      </c>
      <c r="K22" s="73">
        <v>1.63</v>
      </c>
      <c r="L22" s="73">
        <v>1.2</v>
      </c>
      <c r="M22" s="73">
        <v>1.2</v>
      </c>
      <c r="N22" s="60"/>
    </row>
    <row r="23" spans="1:14">
      <c r="A23" s="60">
        <v>15</v>
      </c>
      <c r="B23" s="60" t="s">
        <v>1072</v>
      </c>
      <c r="C23" s="60" t="s">
        <v>24</v>
      </c>
      <c r="D23" s="24">
        <v>110</v>
      </c>
      <c r="E23" s="24">
        <v>0</v>
      </c>
      <c r="F23" s="24">
        <v>110</v>
      </c>
      <c r="G23" s="24">
        <v>0</v>
      </c>
      <c r="H23" s="73">
        <v>0</v>
      </c>
      <c r="I23" s="73">
        <v>0</v>
      </c>
      <c r="J23" s="73">
        <v>1.46</v>
      </c>
      <c r="K23" s="73">
        <v>1.46</v>
      </c>
      <c r="L23" s="73">
        <v>0</v>
      </c>
      <c r="M23" s="73">
        <v>0</v>
      </c>
      <c r="N23" s="60"/>
    </row>
    <row r="24" spans="1:14">
      <c r="A24" s="60">
        <v>16</v>
      </c>
      <c r="B24" s="60" t="s">
        <v>408</v>
      </c>
      <c r="C24" s="60" t="s">
        <v>23</v>
      </c>
      <c r="D24" s="24">
        <v>105</v>
      </c>
      <c r="E24" s="24">
        <v>60</v>
      </c>
      <c r="F24" s="24">
        <v>105</v>
      </c>
      <c r="G24" s="24">
        <v>60</v>
      </c>
      <c r="H24" s="73">
        <v>75</v>
      </c>
      <c r="I24" s="73">
        <v>75</v>
      </c>
      <c r="J24" s="73">
        <v>1.39</v>
      </c>
      <c r="K24" s="73">
        <v>1.39</v>
      </c>
      <c r="L24" s="73">
        <v>0.56999999999999995</v>
      </c>
      <c r="M24" s="73">
        <v>0.56999999999999995</v>
      </c>
      <c r="N24" s="60"/>
    </row>
    <row r="25" spans="1:14">
      <c r="A25" s="60">
        <v>17</v>
      </c>
      <c r="B25" s="60" t="s">
        <v>630</v>
      </c>
      <c r="C25" s="60" t="s">
        <v>24</v>
      </c>
      <c r="D25" s="24">
        <v>102</v>
      </c>
      <c r="E25" s="24">
        <v>156</v>
      </c>
      <c r="F25" s="24">
        <v>102</v>
      </c>
      <c r="G25" s="24">
        <v>156</v>
      </c>
      <c r="H25" s="73">
        <v>-34.619999999999997</v>
      </c>
      <c r="I25" s="73">
        <v>-34.619999999999997</v>
      </c>
      <c r="J25" s="73">
        <v>1.35</v>
      </c>
      <c r="K25" s="73">
        <v>1.35</v>
      </c>
      <c r="L25" s="73">
        <v>1.48</v>
      </c>
      <c r="M25" s="73">
        <v>1.48</v>
      </c>
      <c r="N25" s="60"/>
    </row>
    <row r="26" spans="1:14">
      <c r="A26" s="60">
        <v>18</v>
      </c>
      <c r="B26" s="60" t="s">
        <v>638</v>
      </c>
      <c r="C26" s="60" t="s">
        <v>24</v>
      </c>
      <c r="D26" s="24">
        <v>102</v>
      </c>
      <c r="E26" s="24">
        <v>8</v>
      </c>
      <c r="F26" s="24">
        <v>102</v>
      </c>
      <c r="G26" s="24">
        <v>8</v>
      </c>
      <c r="H26" s="73">
        <v>1175</v>
      </c>
      <c r="I26" s="73">
        <v>1175</v>
      </c>
      <c r="J26" s="73">
        <v>1.35</v>
      </c>
      <c r="K26" s="73">
        <v>1.35</v>
      </c>
      <c r="L26" s="73">
        <v>0.08</v>
      </c>
      <c r="M26" s="73">
        <v>0.08</v>
      </c>
      <c r="N26" s="60"/>
    </row>
    <row r="27" spans="1:14">
      <c r="A27" s="60">
        <v>19</v>
      </c>
      <c r="B27" s="60" t="s">
        <v>428</v>
      </c>
      <c r="C27" s="60" t="s">
        <v>23</v>
      </c>
      <c r="D27" s="24">
        <v>101</v>
      </c>
      <c r="E27" s="24">
        <v>96</v>
      </c>
      <c r="F27" s="24">
        <v>101</v>
      </c>
      <c r="G27" s="24">
        <v>96</v>
      </c>
      <c r="H27" s="73">
        <v>5.21</v>
      </c>
      <c r="I27" s="73">
        <v>5.21</v>
      </c>
      <c r="J27" s="73">
        <v>1.34</v>
      </c>
      <c r="K27" s="73">
        <v>1.34</v>
      </c>
      <c r="L27" s="73">
        <v>0.91</v>
      </c>
      <c r="M27" s="73">
        <v>0.91</v>
      </c>
      <c r="N27" s="60"/>
    </row>
    <row r="28" spans="1:14">
      <c r="A28" s="60">
        <v>20</v>
      </c>
      <c r="B28" s="60" t="s">
        <v>243</v>
      </c>
      <c r="C28" s="60" t="s">
        <v>23</v>
      </c>
      <c r="D28" s="24">
        <v>99</v>
      </c>
      <c r="E28" s="24">
        <v>82</v>
      </c>
      <c r="F28" s="24">
        <v>99</v>
      </c>
      <c r="G28" s="24">
        <v>82</v>
      </c>
      <c r="H28" s="73">
        <v>20.73</v>
      </c>
      <c r="I28" s="73">
        <v>20.73</v>
      </c>
      <c r="J28" s="73">
        <v>1.31</v>
      </c>
      <c r="K28" s="73">
        <v>1.31</v>
      </c>
      <c r="L28" s="73">
        <v>0.78</v>
      </c>
      <c r="M28" s="73">
        <v>0.78</v>
      </c>
      <c r="N28" s="60"/>
    </row>
    <row r="29" spans="1:14">
      <c r="A29" s="60">
        <v>21</v>
      </c>
      <c r="B29" s="60" t="s">
        <v>64</v>
      </c>
      <c r="C29" s="60" t="s">
        <v>24</v>
      </c>
      <c r="D29" s="24">
        <v>96</v>
      </c>
      <c r="E29" s="24">
        <v>3</v>
      </c>
      <c r="F29" s="24">
        <v>96</v>
      </c>
      <c r="G29" s="24">
        <v>3</v>
      </c>
      <c r="H29" s="73">
        <v>3100</v>
      </c>
      <c r="I29" s="73">
        <v>3100</v>
      </c>
      <c r="J29" s="73">
        <v>1.27</v>
      </c>
      <c r="K29" s="73">
        <v>1.27</v>
      </c>
      <c r="L29" s="73">
        <v>0.03</v>
      </c>
      <c r="M29" s="73">
        <v>0.03</v>
      </c>
      <c r="N29" s="60"/>
    </row>
    <row r="30" spans="1:14">
      <c r="A30" s="60">
        <v>22</v>
      </c>
      <c r="B30" s="60" t="s">
        <v>387</v>
      </c>
      <c r="C30" s="60" t="s">
        <v>24</v>
      </c>
      <c r="D30" s="24">
        <v>94</v>
      </c>
      <c r="E30" s="24">
        <v>96</v>
      </c>
      <c r="F30" s="24">
        <v>94</v>
      </c>
      <c r="G30" s="24">
        <v>96</v>
      </c>
      <c r="H30" s="73">
        <v>-2.08</v>
      </c>
      <c r="I30" s="73">
        <v>-2.08</v>
      </c>
      <c r="J30" s="73">
        <v>1.25</v>
      </c>
      <c r="K30" s="73">
        <v>1.25</v>
      </c>
      <c r="L30" s="73">
        <v>0.91</v>
      </c>
      <c r="M30" s="73">
        <v>0.91</v>
      </c>
      <c r="N30" s="60"/>
    </row>
    <row r="31" spans="1:14">
      <c r="A31" s="60">
        <v>23</v>
      </c>
      <c r="B31" s="60" t="s">
        <v>432</v>
      </c>
      <c r="C31" s="60" t="s">
        <v>24</v>
      </c>
      <c r="D31" s="24">
        <v>87</v>
      </c>
      <c r="E31" s="24">
        <v>247</v>
      </c>
      <c r="F31" s="24">
        <v>87</v>
      </c>
      <c r="G31" s="24">
        <v>247</v>
      </c>
      <c r="H31" s="73">
        <v>-64.78</v>
      </c>
      <c r="I31" s="73">
        <v>-64.78</v>
      </c>
      <c r="J31" s="73">
        <v>1.1499999999999999</v>
      </c>
      <c r="K31" s="73">
        <v>1.1499999999999999</v>
      </c>
      <c r="L31" s="73">
        <v>2.35</v>
      </c>
      <c r="M31" s="73">
        <v>2.35</v>
      </c>
      <c r="N31" s="60"/>
    </row>
    <row r="32" spans="1:14">
      <c r="A32" s="60">
        <v>24</v>
      </c>
      <c r="B32" s="60" t="s">
        <v>1023</v>
      </c>
      <c r="C32" s="60" t="s">
        <v>23</v>
      </c>
      <c r="D32" s="24">
        <v>85</v>
      </c>
      <c r="E32" s="24">
        <v>0</v>
      </c>
      <c r="F32" s="24">
        <v>85</v>
      </c>
      <c r="G32" s="24">
        <v>0</v>
      </c>
      <c r="H32" s="73">
        <v>0</v>
      </c>
      <c r="I32" s="73">
        <v>0</v>
      </c>
      <c r="J32" s="73">
        <v>1.1299999999999999</v>
      </c>
      <c r="K32" s="73">
        <v>1.1299999999999999</v>
      </c>
      <c r="L32" s="73">
        <v>0</v>
      </c>
      <c r="M32" s="73">
        <v>0</v>
      </c>
      <c r="N32" s="60"/>
    </row>
    <row r="33" spans="1:14">
      <c r="A33" s="60">
        <v>25</v>
      </c>
      <c r="B33" s="60" t="s">
        <v>460</v>
      </c>
      <c r="C33" s="60" t="s">
        <v>23</v>
      </c>
      <c r="D33" s="24">
        <v>84</v>
      </c>
      <c r="E33" s="24">
        <v>64</v>
      </c>
      <c r="F33" s="24">
        <v>84</v>
      </c>
      <c r="G33" s="24">
        <v>64</v>
      </c>
      <c r="H33" s="73">
        <v>31.25</v>
      </c>
      <c r="I33" s="73">
        <v>31.25</v>
      </c>
      <c r="J33" s="73">
        <v>1.1100000000000001</v>
      </c>
      <c r="K33" s="73">
        <v>1.1100000000000001</v>
      </c>
      <c r="L33" s="73">
        <v>0.61</v>
      </c>
      <c r="M33" s="73">
        <v>0.61</v>
      </c>
      <c r="N33" s="60"/>
    </row>
    <row r="34" spans="1:14">
      <c r="A34" s="60">
        <v>26</v>
      </c>
      <c r="B34" s="60" t="s">
        <v>683</v>
      </c>
      <c r="C34" s="60" t="s">
        <v>24</v>
      </c>
      <c r="D34" s="24">
        <v>84</v>
      </c>
      <c r="E34" s="24">
        <v>2</v>
      </c>
      <c r="F34" s="24">
        <v>84</v>
      </c>
      <c r="G34" s="24">
        <v>2</v>
      </c>
      <c r="H34" s="73">
        <v>4100</v>
      </c>
      <c r="I34" s="73">
        <v>4100</v>
      </c>
      <c r="J34" s="73">
        <v>1.1100000000000001</v>
      </c>
      <c r="K34" s="73">
        <v>1.1100000000000001</v>
      </c>
      <c r="L34" s="73">
        <v>0.02</v>
      </c>
      <c r="M34" s="73">
        <v>0.02</v>
      </c>
      <c r="N34" s="60"/>
    </row>
    <row r="35" spans="1:14">
      <c r="A35" s="60">
        <v>27</v>
      </c>
      <c r="B35" s="60" t="s">
        <v>422</v>
      </c>
      <c r="C35" s="60" t="s">
        <v>23</v>
      </c>
      <c r="D35" s="24">
        <v>81</v>
      </c>
      <c r="E35" s="24">
        <v>105</v>
      </c>
      <c r="F35" s="24">
        <v>81</v>
      </c>
      <c r="G35" s="24">
        <v>105</v>
      </c>
      <c r="H35" s="73">
        <v>-22.86</v>
      </c>
      <c r="I35" s="73">
        <v>-22.86</v>
      </c>
      <c r="J35" s="73">
        <v>1.07</v>
      </c>
      <c r="K35" s="73">
        <v>1.07</v>
      </c>
      <c r="L35" s="73">
        <v>1</v>
      </c>
      <c r="M35" s="73">
        <v>1</v>
      </c>
      <c r="N35" s="60"/>
    </row>
    <row r="36" spans="1:14">
      <c r="A36" s="60">
        <v>28</v>
      </c>
      <c r="B36" s="60" t="s">
        <v>522</v>
      </c>
      <c r="C36" s="60" t="s">
        <v>23</v>
      </c>
      <c r="D36" s="24">
        <v>81</v>
      </c>
      <c r="E36" s="24">
        <v>21</v>
      </c>
      <c r="F36" s="24">
        <v>81</v>
      </c>
      <c r="G36" s="24">
        <v>21</v>
      </c>
      <c r="H36" s="73">
        <v>285.70999999999998</v>
      </c>
      <c r="I36" s="73">
        <v>285.70999999999998</v>
      </c>
      <c r="J36" s="73">
        <v>1.07</v>
      </c>
      <c r="K36" s="73">
        <v>1.07</v>
      </c>
      <c r="L36" s="73">
        <v>0.2</v>
      </c>
      <c r="M36" s="73">
        <v>0.2</v>
      </c>
      <c r="N36" s="60"/>
    </row>
    <row r="37" spans="1:14">
      <c r="A37" s="60">
        <v>29</v>
      </c>
      <c r="B37" s="60" t="s">
        <v>731</v>
      </c>
      <c r="C37" s="60" t="s">
        <v>24</v>
      </c>
      <c r="D37" s="24">
        <v>81</v>
      </c>
      <c r="E37" s="24">
        <v>0</v>
      </c>
      <c r="F37" s="24">
        <v>81</v>
      </c>
      <c r="G37" s="24">
        <v>0</v>
      </c>
      <c r="H37" s="73">
        <v>0</v>
      </c>
      <c r="I37" s="73">
        <v>0</v>
      </c>
      <c r="J37" s="73">
        <v>1.07</v>
      </c>
      <c r="K37" s="73">
        <v>1.07</v>
      </c>
      <c r="L37" s="73">
        <v>0</v>
      </c>
      <c r="M37" s="73">
        <v>0</v>
      </c>
      <c r="N37" s="60"/>
    </row>
    <row r="38" spans="1:14">
      <c r="A38" s="60">
        <v>30</v>
      </c>
      <c r="B38" s="60" t="s">
        <v>440</v>
      </c>
      <c r="C38" s="60" t="s">
        <v>24</v>
      </c>
      <c r="D38" s="24">
        <v>79</v>
      </c>
      <c r="E38" s="24">
        <v>136</v>
      </c>
      <c r="F38" s="24">
        <v>79</v>
      </c>
      <c r="G38" s="24">
        <v>136</v>
      </c>
      <c r="H38" s="73">
        <v>-41.91</v>
      </c>
      <c r="I38" s="73">
        <v>-41.91</v>
      </c>
      <c r="J38" s="73">
        <v>1.05</v>
      </c>
      <c r="K38" s="73">
        <v>1.05</v>
      </c>
      <c r="L38" s="73">
        <v>1.29</v>
      </c>
      <c r="M38" s="73">
        <v>1.29</v>
      </c>
      <c r="N38" s="60"/>
    </row>
    <row r="39" spans="1:14">
      <c r="A39" s="60">
        <v>31</v>
      </c>
      <c r="B39" s="60" t="s">
        <v>103</v>
      </c>
      <c r="C39" s="60" t="s">
        <v>24</v>
      </c>
      <c r="D39" s="24">
        <v>72</v>
      </c>
      <c r="E39" s="24">
        <v>255</v>
      </c>
      <c r="F39" s="24">
        <v>72</v>
      </c>
      <c r="G39" s="24">
        <v>255</v>
      </c>
      <c r="H39" s="73">
        <v>-71.760000000000005</v>
      </c>
      <c r="I39" s="73">
        <v>-71.760000000000005</v>
      </c>
      <c r="J39" s="73">
        <v>0.95</v>
      </c>
      <c r="K39" s="73">
        <v>0.95</v>
      </c>
      <c r="L39" s="73">
        <v>2.42</v>
      </c>
      <c r="M39" s="73">
        <v>2.42</v>
      </c>
      <c r="N39" s="60"/>
    </row>
    <row r="40" spans="1:14">
      <c r="A40" s="60">
        <v>32</v>
      </c>
      <c r="B40" s="60" t="s">
        <v>534</v>
      </c>
      <c r="C40" s="60" t="s">
        <v>25</v>
      </c>
      <c r="D40" s="24">
        <v>63</v>
      </c>
      <c r="E40" s="24">
        <v>20</v>
      </c>
      <c r="F40" s="24">
        <v>63</v>
      </c>
      <c r="G40" s="24">
        <v>20</v>
      </c>
      <c r="H40" s="73">
        <v>215</v>
      </c>
      <c r="I40" s="73">
        <v>215</v>
      </c>
      <c r="J40" s="73">
        <v>0.83</v>
      </c>
      <c r="K40" s="73">
        <v>0.83</v>
      </c>
      <c r="L40" s="73">
        <v>0.19</v>
      </c>
      <c r="M40" s="73">
        <v>0.19</v>
      </c>
      <c r="N40" s="60"/>
    </row>
    <row r="41" spans="1:14">
      <c r="A41" s="60">
        <v>33</v>
      </c>
      <c r="B41" s="60" t="s">
        <v>246</v>
      </c>
      <c r="C41" s="60" t="s">
        <v>23</v>
      </c>
      <c r="D41" s="24">
        <v>62</v>
      </c>
      <c r="E41" s="24">
        <v>0</v>
      </c>
      <c r="F41" s="24">
        <v>62</v>
      </c>
      <c r="G41" s="24">
        <v>0</v>
      </c>
      <c r="H41" s="73">
        <v>0</v>
      </c>
      <c r="I41" s="73">
        <v>0</v>
      </c>
      <c r="J41" s="73">
        <v>0.82</v>
      </c>
      <c r="K41" s="73">
        <v>0.82</v>
      </c>
      <c r="L41" s="73">
        <v>0</v>
      </c>
      <c r="M41" s="73">
        <v>0</v>
      </c>
      <c r="N41" s="60"/>
    </row>
    <row r="42" spans="1:14">
      <c r="A42" s="60">
        <v>34</v>
      </c>
      <c r="B42" s="60" t="s">
        <v>446</v>
      </c>
      <c r="C42" s="60" t="s">
        <v>24</v>
      </c>
      <c r="D42" s="24">
        <v>59</v>
      </c>
      <c r="E42" s="24">
        <v>117</v>
      </c>
      <c r="F42" s="24">
        <v>59</v>
      </c>
      <c r="G42" s="24">
        <v>117</v>
      </c>
      <c r="H42" s="73">
        <v>-49.57</v>
      </c>
      <c r="I42" s="73">
        <v>-49.57</v>
      </c>
      <c r="J42" s="73">
        <v>0.78</v>
      </c>
      <c r="K42" s="73">
        <v>0.78</v>
      </c>
      <c r="L42" s="73">
        <v>1.1100000000000001</v>
      </c>
      <c r="M42" s="73">
        <v>1.1100000000000001</v>
      </c>
      <c r="N42" s="60"/>
    </row>
    <row r="43" spans="1:14">
      <c r="A43" s="60">
        <v>35</v>
      </c>
      <c r="B43" s="60" t="s">
        <v>681</v>
      </c>
      <c r="C43" s="60" t="s">
        <v>23</v>
      </c>
      <c r="D43" s="24">
        <v>58</v>
      </c>
      <c r="E43" s="24">
        <v>5</v>
      </c>
      <c r="F43" s="24">
        <v>58</v>
      </c>
      <c r="G43" s="24">
        <v>5</v>
      </c>
      <c r="H43" s="73">
        <v>1060</v>
      </c>
      <c r="I43" s="73">
        <v>1060</v>
      </c>
      <c r="J43" s="73">
        <v>0.77</v>
      </c>
      <c r="K43" s="73">
        <v>0.77</v>
      </c>
      <c r="L43" s="73">
        <v>0.05</v>
      </c>
      <c r="M43" s="73">
        <v>0.05</v>
      </c>
      <c r="N43" s="60"/>
    </row>
    <row r="44" spans="1:14">
      <c r="A44" s="60">
        <v>36</v>
      </c>
      <c r="B44" s="60" t="s">
        <v>108</v>
      </c>
      <c r="C44" s="60" t="s">
        <v>24</v>
      </c>
      <c r="D44" s="24">
        <v>57</v>
      </c>
      <c r="E44" s="24">
        <v>68</v>
      </c>
      <c r="F44" s="24">
        <v>57</v>
      </c>
      <c r="G44" s="24">
        <v>68</v>
      </c>
      <c r="H44" s="73">
        <v>-16.18</v>
      </c>
      <c r="I44" s="73">
        <v>-16.18</v>
      </c>
      <c r="J44" s="73">
        <v>0.76</v>
      </c>
      <c r="K44" s="73">
        <v>0.76</v>
      </c>
      <c r="L44" s="73">
        <v>0.65</v>
      </c>
      <c r="M44" s="73">
        <v>0.65</v>
      </c>
      <c r="N44" s="60"/>
    </row>
    <row r="45" spans="1:14">
      <c r="A45" s="60">
        <v>37</v>
      </c>
      <c r="B45" s="60" t="s">
        <v>400</v>
      </c>
      <c r="C45" s="60" t="s">
        <v>23</v>
      </c>
      <c r="D45" s="24">
        <v>57</v>
      </c>
      <c r="E45" s="24">
        <v>66</v>
      </c>
      <c r="F45" s="24">
        <v>57</v>
      </c>
      <c r="G45" s="24">
        <v>66</v>
      </c>
      <c r="H45" s="73">
        <v>-13.64</v>
      </c>
      <c r="I45" s="73">
        <v>-13.64</v>
      </c>
      <c r="J45" s="73">
        <v>0.76</v>
      </c>
      <c r="K45" s="73">
        <v>0.76</v>
      </c>
      <c r="L45" s="73">
        <v>0.63</v>
      </c>
      <c r="M45" s="73">
        <v>0.63</v>
      </c>
      <c r="N45" s="60"/>
    </row>
    <row r="46" spans="1:14">
      <c r="A46" s="60">
        <v>38</v>
      </c>
      <c r="B46" s="60" t="s">
        <v>127</v>
      </c>
      <c r="C46" s="60" t="s">
        <v>23</v>
      </c>
      <c r="D46" s="24">
        <v>57</v>
      </c>
      <c r="E46" s="24">
        <v>62</v>
      </c>
      <c r="F46" s="24">
        <v>57</v>
      </c>
      <c r="G46" s="24">
        <v>62</v>
      </c>
      <c r="H46" s="73">
        <v>-8.06</v>
      </c>
      <c r="I46" s="73">
        <v>-8.06</v>
      </c>
      <c r="J46" s="73">
        <v>0.76</v>
      </c>
      <c r="K46" s="73">
        <v>0.76</v>
      </c>
      <c r="L46" s="73">
        <v>0.59</v>
      </c>
      <c r="M46" s="73">
        <v>0.59</v>
      </c>
      <c r="N46" s="60"/>
    </row>
    <row r="47" spans="1:14">
      <c r="A47" s="60">
        <v>39</v>
      </c>
      <c r="B47" s="60" t="s">
        <v>728</v>
      </c>
      <c r="C47" s="60" t="s">
        <v>24</v>
      </c>
      <c r="D47" s="24">
        <v>57</v>
      </c>
      <c r="E47" s="24">
        <v>0</v>
      </c>
      <c r="F47" s="24">
        <v>57</v>
      </c>
      <c r="G47" s="24">
        <v>0</v>
      </c>
      <c r="H47" s="73">
        <v>0</v>
      </c>
      <c r="I47" s="73">
        <v>0</v>
      </c>
      <c r="J47" s="73">
        <v>0.76</v>
      </c>
      <c r="K47" s="73">
        <v>0.76</v>
      </c>
      <c r="L47" s="73">
        <v>0</v>
      </c>
      <c r="M47" s="73">
        <v>0</v>
      </c>
      <c r="N47" s="60"/>
    </row>
    <row r="48" spans="1:14">
      <c r="A48" s="60">
        <v>40</v>
      </c>
      <c r="B48" s="60" t="s">
        <v>675</v>
      </c>
      <c r="C48" s="60" t="s">
        <v>24</v>
      </c>
      <c r="D48" s="24">
        <v>55</v>
      </c>
      <c r="E48" s="24">
        <v>19</v>
      </c>
      <c r="F48" s="24">
        <v>55</v>
      </c>
      <c r="G48" s="24">
        <v>19</v>
      </c>
      <c r="H48" s="73">
        <v>189.47</v>
      </c>
      <c r="I48" s="73">
        <v>189.47</v>
      </c>
      <c r="J48" s="73">
        <v>0.73</v>
      </c>
      <c r="K48" s="73">
        <v>0.73</v>
      </c>
      <c r="L48" s="73">
        <v>0.18</v>
      </c>
      <c r="M48" s="73">
        <v>0.18</v>
      </c>
      <c r="N48" s="60"/>
    </row>
    <row r="49" spans="1:14">
      <c r="A49" s="60">
        <v>41</v>
      </c>
      <c r="B49" s="60" t="s">
        <v>398</v>
      </c>
      <c r="C49" s="60" t="s">
        <v>23</v>
      </c>
      <c r="D49" s="24">
        <v>54</v>
      </c>
      <c r="E49" s="24">
        <v>107</v>
      </c>
      <c r="F49" s="24">
        <v>54</v>
      </c>
      <c r="G49" s="24">
        <v>107</v>
      </c>
      <c r="H49" s="73">
        <v>-49.53</v>
      </c>
      <c r="I49" s="73">
        <v>-49.53</v>
      </c>
      <c r="J49" s="73">
        <v>0.72</v>
      </c>
      <c r="K49" s="73">
        <v>0.72</v>
      </c>
      <c r="L49" s="73">
        <v>1.02</v>
      </c>
      <c r="M49" s="73">
        <v>1.02</v>
      </c>
      <c r="N49" s="60"/>
    </row>
    <row r="50" spans="1:14">
      <c r="A50" s="60">
        <v>42</v>
      </c>
      <c r="B50" s="60" t="s">
        <v>622</v>
      </c>
      <c r="C50" s="60" t="s">
        <v>24</v>
      </c>
      <c r="D50" s="24">
        <v>49</v>
      </c>
      <c r="E50" s="24">
        <v>48</v>
      </c>
      <c r="F50" s="24">
        <v>49</v>
      </c>
      <c r="G50" s="24">
        <v>48</v>
      </c>
      <c r="H50" s="73">
        <v>2.08</v>
      </c>
      <c r="I50" s="73">
        <v>2.08</v>
      </c>
      <c r="J50" s="73">
        <v>0.65</v>
      </c>
      <c r="K50" s="73">
        <v>0.65</v>
      </c>
      <c r="L50" s="73">
        <v>0.46</v>
      </c>
      <c r="M50" s="73">
        <v>0.46</v>
      </c>
      <c r="N50" s="60"/>
    </row>
    <row r="51" spans="1:14">
      <c r="A51" s="60">
        <v>43</v>
      </c>
      <c r="B51" s="60" t="s">
        <v>434</v>
      </c>
      <c r="C51" s="60" t="s">
        <v>24</v>
      </c>
      <c r="D51" s="24">
        <v>48</v>
      </c>
      <c r="E51" s="24">
        <v>57</v>
      </c>
      <c r="F51" s="24">
        <v>48</v>
      </c>
      <c r="G51" s="24">
        <v>57</v>
      </c>
      <c r="H51" s="73">
        <v>-15.79</v>
      </c>
      <c r="I51" s="73">
        <v>-15.79</v>
      </c>
      <c r="J51" s="73">
        <v>0.64</v>
      </c>
      <c r="K51" s="73">
        <v>0.64</v>
      </c>
      <c r="L51" s="73">
        <v>0.54</v>
      </c>
      <c r="M51" s="73">
        <v>0.54</v>
      </c>
      <c r="N51" s="60"/>
    </row>
    <row r="52" spans="1:14">
      <c r="A52" s="60">
        <v>44</v>
      </c>
      <c r="B52" s="60" t="s">
        <v>736</v>
      </c>
      <c r="C52" s="60" t="s">
        <v>24</v>
      </c>
      <c r="D52" s="24">
        <v>45</v>
      </c>
      <c r="E52" s="24">
        <v>0</v>
      </c>
      <c r="F52" s="24">
        <v>45</v>
      </c>
      <c r="G52" s="24">
        <v>0</v>
      </c>
      <c r="H52" s="73">
        <v>0</v>
      </c>
      <c r="I52" s="73">
        <v>0</v>
      </c>
      <c r="J52" s="73">
        <v>0.6</v>
      </c>
      <c r="K52" s="73">
        <v>0.6</v>
      </c>
      <c r="L52" s="73">
        <v>0</v>
      </c>
      <c r="M52" s="73">
        <v>0</v>
      </c>
      <c r="N52" s="60"/>
    </row>
    <row r="53" spans="1:14">
      <c r="A53" s="60">
        <v>45</v>
      </c>
      <c r="B53" s="60" t="s">
        <v>239</v>
      </c>
      <c r="C53" s="60" t="s">
        <v>23</v>
      </c>
      <c r="D53" s="24">
        <v>44</v>
      </c>
      <c r="E53" s="24">
        <v>258</v>
      </c>
      <c r="F53" s="24">
        <v>44</v>
      </c>
      <c r="G53" s="24">
        <v>258</v>
      </c>
      <c r="H53" s="73">
        <v>-82.95</v>
      </c>
      <c r="I53" s="73">
        <v>-82.95</v>
      </c>
      <c r="J53" s="73">
        <v>0.57999999999999996</v>
      </c>
      <c r="K53" s="73">
        <v>0.57999999999999996</v>
      </c>
      <c r="L53" s="73">
        <v>2.4500000000000002</v>
      </c>
      <c r="M53" s="73">
        <v>2.4500000000000002</v>
      </c>
      <c r="N53" s="60"/>
    </row>
    <row r="54" spans="1:14">
      <c r="A54" s="60">
        <v>46</v>
      </c>
      <c r="B54" s="60" t="s">
        <v>528</v>
      </c>
      <c r="C54" s="60" t="s">
        <v>24</v>
      </c>
      <c r="D54" s="24">
        <v>42</v>
      </c>
      <c r="E54" s="24">
        <v>31</v>
      </c>
      <c r="F54" s="24">
        <v>42</v>
      </c>
      <c r="G54" s="24">
        <v>31</v>
      </c>
      <c r="H54" s="73">
        <v>35.479999999999997</v>
      </c>
      <c r="I54" s="73">
        <v>35.479999999999997</v>
      </c>
      <c r="J54" s="73">
        <v>0.56000000000000005</v>
      </c>
      <c r="K54" s="73">
        <v>0.56000000000000005</v>
      </c>
      <c r="L54" s="73">
        <v>0.28999999999999998</v>
      </c>
      <c r="M54" s="73">
        <v>0.28999999999999998</v>
      </c>
      <c r="N54" s="60"/>
    </row>
    <row r="55" spans="1:14">
      <c r="A55" s="60">
        <v>47</v>
      </c>
      <c r="B55" s="60" t="s">
        <v>401</v>
      </c>
      <c r="C55" s="60" t="s">
        <v>23</v>
      </c>
      <c r="D55" s="24">
        <v>39</v>
      </c>
      <c r="E55" s="24">
        <v>483</v>
      </c>
      <c r="F55" s="24">
        <v>39</v>
      </c>
      <c r="G55" s="24">
        <v>483</v>
      </c>
      <c r="H55" s="73">
        <v>-91.93</v>
      </c>
      <c r="I55" s="73">
        <v>-91.93</v>
      </c>
      <c r="J55" s="73">
        <v>0.52</v>
      </c>
      <c r="K55" s="73">
        <v>0.52</v>
      </c>
      <c r="L55" s="73">
        <v>4.59</v>
      </c>
      <c r="M55" s="73">
        <v>4.59</v>
      </c>
      <c r="N55" s="60"/>
    </row>
    <row r="56" spans="1:14">
      <c r="A56" s="60">
        <v>48</v>
      </c>
      <c r="B56" s="60" t="s">
        <v>677</v>
      </c>
      <c r="C56" s="60" t="s">
        <v>24</v>
      </c>
      <c r="D56" s="24">
        <v>39</v>
      </c>
      <c r="E56" s="24">
        <v>2</v>
      </c>
      <c r="F56" s="24">
        <v>39</v>
      </c>
      <c r="G56" s="24">
        <v>2</v>
      </c>
      <c r="H56" s="73">
        <v>1850</v>
      </c>
      <c r="I56" s="73">
        <v>1850</v>
      </c>
      <c r="J56" s="73">
        <v>0.52</v>
      </c>
      <c r="K56" s="73">
        <v>0.52</v>
      </c>
      <c r="L56" s="73">
        <v>0.02</v>
      </c>
      <c r="M56" s="73">
        <v>0.02</v>
      </c>
      <c r="N56" s="60"/>
    </row>
    <row r="57" spans="1:14">
      <c r="A57" s="60">
        <v>49</v>
      </c>
      <c r="B57" s="60" t="s">
        <v>733</v>
      </c>
      <c r="C57" s="60" t="s">
        <v>24</v>
      </c>
      <c r="D57" s="24">
        <v>38</v>
      </c>
      <c r="E57" s="24">
        <v>0</v>
      </c>
      <c r="F57" s="24">
        <v>38</v>
      </c>
      <c r="G57" s="24">
        <v>0</v>
      </c>
      <c r="H57" s="73">
        <v>0</v>
      </c>
      <c r="I57" s="73">
        <v>0</v>
      </c>
      <c r="J57" s="73">
        <v>0.5</v>
      </c>
      <c r="K57" s="73">
        <v>0.5</v>
      </c>
      <c r="L57" s="73">
        <v>0</v>
      </c>
      <c r="M57" s="73">
        <v>0</v>
      </c>
      <c r="N57" s="60"/>
    </row>
    <row r="58" spans="1:14">
      <c r="A58" s="60">
        <v>50</v>
      </c>
      <c r="B58" s="60" t="s">
        <v>464</v>
      </c>
      <c r="C58" s="60" t="s">
        <v>25</v>
      </c>
      <c r="D58" s="24">
        <v>37</v>
      </c>
      <c r="E58" s="24">
        <v>70</v>
      </c>
      <c r="F58" s="24">
        <v>37</v>
      </c>
      <c r="G58" s="24">
        <v>70</v>
      </c>
      <c r="H58" s="73">
        <v>-47.14</v>
      </c>
      <c r="I58" s="73">
        <v>-47.14</v>
      </c>
      <c r="J58" s="73">
        <v>0.49</v>
      </c>
      <c r="K58" s="73">
        <v>0.49</v>
      </c>
      <c r="L58" s="73">
        <v>0.67</v>
      </c>
      <c r="M58" s="73">
        <v>0.67</v>
      </c>
      <c r="N58" s="60"/>
    </row>
    <row r="59" spans="1:14">
      <c r="A59" s="60">
        <v>51</v>
      </c>
      <c r="B59" s="60" t="s">
        <v>148</v>
      </c>
      <c r="C59" s="60" t="s">
        <v>24</v>
      </c>
      <c r="D59" s="24">
        <v>35</v>
      </c>
      <c r="E59" s="24">
        <v>78</v>
      </c>
      <c r="F59" s="24">
        <v>35</v>
      </c>
      <c r="G59" s="24">
        <v>78</v>
      </c>
      <c r="H59" s="73">
        <v>-55.13</v>
      </c>
      <c r="I59" s="73">
        <v>-55.13</v>
      </c>
      <c r="J59" s="73">
        <v>0.46</v>
      </c>
      <c r="K59" s="73">
        <v>0.46</v>
      </c>
      <c r="L59" s="73">
        <v>0.74</v>
      </c>
      <c r="M59" s="73">
        <v>0.74</v>
      </c>
      <c r="N59" s="60"/>
    </row>
    <row r="60" spans="1:14">
      <c r="A60" s="60">
        <v>52</v>
      </c>
      <c r="B60" s="60" t="s">
        <v>1052</v>
      </c>
      <c r="C60" s="60" t="s">
        <v>24</v>
      </c>
      <c r="D60" s="24">
        <v>33</v>
      </c>
      <c r="E60" s="24">
        <v>0</v>
      </c>
      <c r="F60" s="24">
        <v>33</v>
      </c>
      <c r="G60" s="24">
        <v>0</v>
      </c>
      <c r="H60" s="73">
        <v>0</v>
      </c>
      <c r="I60" s="73">
        <v>0</v>
      </c>
      <c r="J60" s="73">
        <v>0.44</v>
      </c>
      <c r="K60" s="73">
        <v>0.44</v>
      </c>
      <c r="L60" s="73">
        <v>0</v>
      </c>
      <c r="M60" s="73">
        <v>0</v>
      </c>
      <c r="N60" s="60"/>
    </row>
    <row r="61" spans="1:14">
      <c r="A61" s="60">
        <v>53</v>
      </c>
      <c r="B61" s="60" t="s">
        <v>443</v>
      </c>
      <c r="C61" s="60" t="s">
        <v>23</v>
      </c>
      <c r="D61" s="24">
        <v>30</v>
      </c>
      <c r="E61" s="24">
        <v>47</v>
      </c>
      <c r="F61" s="24">
        <v>30</v>
      </c>
      <c r="G61" s="24">
        <v>47</v>
      </c>
      <c r="H61" s="73">
        <v>-36.17</v>
      </c>
      <c r="I61" s="73">
        <v>-36.17</v>
      </c>
      <c r="J61" s="73">
        <v>0.4</v>
      </c>
      <c r="K61" s="73">
        <v>0.4</v>
      </c>
      <c r="L61" s="73">
        <v>0.45</v>
      </c>
      <c r="M61" s="73">
        <v>0.45</v>
      </c>
      <c r="N61" s="60"/>
    </row>
    <row r="62" spans="1:14">
      <c r="A62" s="60">
        <v>54</v>
      </c>
      <c r="B62" s="60" t="s">
        <v>399</v>
      </c>
      <c r="C62" s="60" t="s">
        <v>23</v>
      </c>
      <c r="D62" s="24">
        <v>30</v>
      </c>
      <c r="E62" s="24">
        <v>10</v>
      </c>
      <c r="F62" s="24">
        <v>30</v>
      </c>
      <c r="G62" s="24">
        <v>10</v>
      </c>
      <c r="H62" s="73">
        <v>200</v>
      </c>
      <c r="I62" s="73">
        <v>200</v>
      </c>
      <c r="J62" s="73">
        <v>0.4</v>
      </c>
      <c r="K62" s="73">
        <v>0.4</v>
      </c>
      <c r="L62" s="73">
        <v>0.1</v>
      </c>
      <c r="M62" s="73">
        <v>0.1</v>
      </c>
      <c r="N62" s="60"/>
    </row>
    <row r="63" spans="1:14">
      <c r="A63" s="60">
        <v>55</v>
      </c>
      <c r="B63" s="60" t="s">
        <v>425</v>
      </c>
      <c r="C63" s="60" t="s">
        <v>23</v>
      </c>
      <c r="D63" s="24">
        <v>29</v>
      </c>
      <c r="E63" s="24">
        <v>10</v>
      </c>
      <c r="F63" s="24">
        <v>29</v>
      </c>
      <c r="G63" s="24">
        <v>10</v>
      </c>
      <c r="H63" s="73">
        <v>190</v>
      </c>
      <c r="I63" s="73">
        <v>190</v>
      </c>
      <c r="J63" s="73">
        <v>0.38</v>
      </c>
      <c r="K63" s="73">
        <v>0.38</v>
      </c>
      <c r="L63" s="73">
        <v>0.1</v>
      </c>
      <c r="M63" s="73">
        <v>0.1</v>
      </c>
      <c r="N63" s="60"/>
    </row>
    <row r="64" spans="1:14">
      <c r="A64" s="60">
        <v>56</v>
      </c>
      <c r="B64" s="60" t="s">
        <v>594</v>
      </c>
      <c r="C64" s="60" t="s">
        <v>24</v>
      </c>
      <c r="D64" s="24">
        <v>28</v>
      </c>
      <c r="E64" s="24">
        <v>55</v>
      </c>
      <c r="F64" s="24">
        <v>28</v>
      </c>
      <c r="G64" s="24">
        <v>55</v>
      </c>
      <c r="H64" s="73">
        <v>-49.09</v>
      </c>
      <c r="I64" s="73">
        <v>-49.09</v>
      </c>
      <c r="J64" s="73">
        <v>0.37</v>
      </c>
      <c r="K64" s="73">
        <v>0.37</v>
      </c>
      <c r="L64" s="73">
        <v>0.52</v>
      </c>
      <c r="M64" s="73">
        <v>0.52</v>
      </c>
      <c r="N64" s="60"/>
    </row>
    <row r="65" spans="1:14">
      <c r="A65" s="60">
        <v>57</v>
      </c>
      <c r="B65" s="60" t="s">
        <v>429</v>
      </c>
      <c r="C65" s="60" t="s">
        <v>24</v>
      </c>
      <c r="D65" s="24">
        <v>27</v>
      </c>
      <c r="E65" s="24">
        <v>82</v>
      </c>
      <c r="F65" s="24">
        <v>27</v>
      </c>
      <c r="G65" s="24">
        <v>82</v>
      </c>
      <c r="H65" s="73">
        <v>-67.069999999999993</v>
      </c>
      <c r="I65" s="73">
        <v>-67.069999999999993</v>
      </c>
      <c r="J65" s="73">
        <v>0.36</v>
      </c>
      <c r="K65" s="73">
        <v>0.36</v>
      </c>
      <c r="L65" s="73">
        <v>0.78</v>
      </c>
      <c r="M65" s="73">
        <v>0.78</v>
      </c>
      <c r="N65" s="60"/>
    </row>
    <row r="66" spans="1:14">
      <c r="A66" s="60">
        <v>58</v>
      </c>
      <c r="B66" s="60" t="s">
        <v>690</v>
      </c>
      <c r="C66" s="60" t="s">
        <v>23</v>
      </c>
      <c r="D66" s="24">
        <v>26</v>
      </c>
      <c r="E66" s="24">
        <v>13</v>
      </c>
      <c r="F66" s="24">
        <v>26</v>
      </c>
      <c r="G66" s="24">
        <v>13</v>
      </c>
      <c r="H66" s="73">
        <v>100</v>
      </c>
      <c r="I66" s="73">
        <v>100</v>
      </c>
      <c r="J66" s="73">
        <v>0.34</v>
      </c>
      <c r="K66" s="73">
        <v>0.34</v>
      </c>
      <c r="L66" s="73">
        <v>0.12</v>
      </c>
      <c r="M66" s="73">
        <v>0.12</v>
      </c>
      <c r="N66" s="60"/>
    </row>
    <row r="67" spans="1:14">
      <c r="A67" s="60">
        <v>59</v>
      </c>
      <c r="B67" s="60" t="s">
        <v>1051</v>
      </c>
      <c r="C67" s="60" t="s">
        <v>24</v>
      </c>
      <c r="D67" s="24">
        <v>26</v>
      </c>
      <c r="E67" s="24">
        <v>0</v>
      </c>
      <c r="F67" s="24">
        <v>26</v>
      </c>
      <c r="G67" s="24">
        <v>0</v>
      </c>
      <c r="H67" s="73">
        <v>0</v>
      </c>
      <c r="I67" s="73">
        <v>0</v>
      </c>
      <c r="J67" s="73">
        <v>0.34</v>
      </c>
      <c r="K67" s="73">
        <v>0.34</v>
      </c>
      <c r="L67" s="73">
        <v>0</v>
      </c>
      <c r="M67" s="73">
        <v>0</v>
      </c>
      <c r="N67" s="60"/>
    </row>
    <row r="68" spans="1:14">
      <c r="A68" s="60">
        <v>60</v>
      </c>
      <c r="B68" s="60" t="s">
        <v>418</v>
      </c>
      <c r="C68" s="60" t="s">
        <v>23</v>
      </c>
      <c r="D68" s="24">
        <v>25</v>
      </c>
      <c r="E68" s="24">
        <v>123</v>
      </c>
      <c r="F68" s="24">
        <v>25</v>
      </c>
      <c r="G68" s="24">
        <v>123</v>
      </c>
      <c r="H68" s="73">
        <v>-79.67</v>
      </c>
      <c r="I68" s="73">
        <v>-79.67</v>
      </c>
      <c r="J68" s="73">
        <v>0.33</v>
      </c>
      <c r="K68" s="73">
        <v>0.33</v>
      </c>
      <c r="L68" s="73">
        <v>1.17</v>
      </c>
      <c r="M68" s="73">
        <v>1.17</v>
      </c>
      <c r="N68" s="60"/>
    </row>
    <row r="69" spans="1:14">
      <c r="A69" s="60">
        <v>61</v>
      </c>
      <c r="B69" s="60" t="s">
        <v>523</v>
      </c>
      <c r="C69" s="60" t="s">
        <v>23</v>
      </c>
      <c r="D69" s="24">
        <v>24</v>
      </c>
      <c r="E69" s="24">
        <v>209</v>
      </c>
      <c r="F69" s="24">
        <v>24</v>
      </c>
      <c r="G69" s="24">
        <v>209</v>
      </c>
      <c r="H69" s="73">
        <v>-88.52</v>
      </c>
      <c r="I69" s="73">
        <v>-88.52</v>
      </c>
      <c r="J69" s="73">
        <v>0.32</v>
      </c>
      <c r="K69" s="73">
        <v>0.32</v>
      </c>
      <c r="L69" s="73">
        <v>1.99</v>
      </c>
      <c r="M69" s="73">
        <v>1.99</v>
      </c>
      <c r="N69" s="60"/>
    </row>
    <row r="70" spans="1:14">
      <c r="A70" s="60">
        <v>62</v>
      </c>
      <c r="B70" s="60" t="s">
        <v>88</v>
      </c>
      <c r="C70" s="60" t="s">
        <v>24</v>
      </c>
      <c r="D70" s="24">
        <v>24</v>
      </c>
      <c r="E70" s="24">
        <v>48</v>
      </c>
      <c r="F70" s="24">
        <v>24</v>
      </c>
      <c r="G70" s="24">
        <v>48</v>
      </c>
      <c r="H70" s="73">
        <v>-50</v>
      </c>
      <c r="I70" s="73">
        <v>-50</v>
      </c>
      <c r="J70" s="73">
        <v>0.32</v>
      </c>
      <c r="K70" s="73">
        <v>0.32</v>
      </c>
      <c r="L70" s="73">
        <v>0.46</v>
      </c>
      <c r="M70" s="73">
        <v>0.46</v>
      </c>
      <c r="N70" s="60"/>
    </row>
    <row r="71" spans="1:14">
      <c r="A71" s="60">
        <v>63</v>
      </c>
      <c r="B71" s="60" t="s">
        <v>697</v>
      </c>
      <c r="C71" s="60" t="s">
        <v>24</v>
      </c>
      <c r="D71" s="24">
        <v>23</v>
      </c>
      <c r="E71" s="24">
        <v>53</v>
      </c>
      <c r="F71" s="24">
        <v>23</v>
      </c>
      <c r="G71" s="24">
        <v>53</v>
      </c>
      <c r="H71" s="73">
        <v>-56.6</v>
      </c>
      <c r="I71" s="73">
        <v>-56.6</v>
      </c>
      <c r="J71" s="73">
        <v>0.3</v>
      </c>
      <c r="K71" s="73">
        <v>0.3</v>
      </c>
      <c r="L71" s="73">
        <v>0.5</v>
      </c>
      <c r="M71" s="73">
        <v>0.5</v>
      </c>
      <c r="N71" s="60"/>
    </row>
    <row r="72" spans="1:14">
      <c r="A72" s="60">
        <v>64</v>
      </c>
      <c r="B72" s="60" t="s">
        <v>433</v>
      </c>
      <c r="C72" s="60" t="s">
        <v>23</v>
      </c>
      <c r="D72" s="24">
        <v>23</v>
      </c>
      <c r="E72" s="24">
        <v>13</v>
      </c>
      <c r="F72" s="24">
        <v>23</v>
      </c>
      <c r="G72" s="24">
        <v>13</v>
      </c>
      <c r="H72" s="73">
        <v>76.92</v>
      </c>
      <c r="I72" s="73">
        <v>76.92</v>
      </c>
      <c r="J72" s="73">
        <v>0.3</v>
      </c>
      <c r="K72" s="73">
        <v>0.3</v>
      </c>
      <c r="L72" s="73">
        <v>0.12</v>
      </c>
      <c r="M72" s="73">
        <v>0.12</v>
      </c>
      <c r="N72" s="60"/>
    </row>
    <row r="73" spans="1:14">
      <c r="A73" s="60">
        <v>65</v>
      </c>
      <c r="B73" s="60" t="s">
        <v>240</v>
      </c>
      <c r="C73" s="60" t="s">
        <v>23</v>
      </c>
      <c r="D73" s="24">
        <v>21</v>
      </c>
      <c r="E73" s="24">
        <v>74</v>
      </c>
      <c r="F73" s="24">
        <v>21</v>
      </c>
      <c r="G73" s="24">
        <v>74</v>
      </c>
      <c r="H73" s="73">
        <v>-71.62</v>
      </c>
      <c r="I73" s="73">
        <v>-71.62</v>
      </c>
      <c r="J73" s="73">
        <v>0.28000000000000003</v>
      </c>
      <c r="K73" s="73">
        <v>0.28000000000000003</v>
      </c>
      <c r="L73" s="73">
        <v>0.7</v>
      </c>
      <c r="M73" s="73">
        <v>0.7</v>
      </c>
      <c r="N73" s="60"/>
    </row>
    <row r="74" spans="1:14">
      <c r="A74" s="60">
        <v>66</v>
      </c>
      <c r="B74" s="60" t="s">
        <v>676</v>
      </c>
      <c r="C74" s="60" t="s">
        <v>24</v>
      </c>
      <c r="D74" s="24">
        <v>21</v>
      </c>
      <c r="E74" s="24">
        <v>0</v>
      </c>
      <c r="F74" s="24">
        <v>21</v>
      </c>
      <c r="G74" s="24">
        <v>0</v>
      </c>
      <c r="H74" s="73">
        <v>0</v>
      </c>
      <c r="I74" s="73">
        <v>0</v>
      </c>
      <c r="J74" s="73">
        <v>0.28000000000000003</v>
      </c>
      <c r="K74" s="73">
        <v>0.28000000000000003</v>
      </c>
      <c r="L74" s="73">
        <v>0</v>
      </c>
      <c r="M74" s="73">
        <v>0</v>
      </c>
      <c r="N74" s="60"/>
    </row>
    <row r="75" spans="1:14">
      <c r="A75" s="60">
        <v>67</v>
      </c>
      <c r="B75" s="60" t="s">
        <v>376</v>
      </c>
      <c r="C75" s="60" t="s">
        <v>23</v>
      </c>
      <c r="D75" s="24">
        <v>20</v>
      </c>
      <c r="E75" s="24">
        <v>34</v>
      </c>
      <c r="F75" s="24">
        <v>20</v>
      </c>
      <c r="G75" s="24">
        <v>34</v>
      </c>
      <c r="H75" s="73">
        <v>-41.18</v>
      </c>
      <c r="I75" s="73">
        <v>-41.18</v>
      </c>
      <c r="J75" s="73">
        <v>0.27</v>
      </c>
      <c r="K75" s="73">
        <v>0.27</v>
      </c>
      <c r="L75" s="73">
        <v>0.32</v>
      </c>
      <c r="M75" s="73">
        <v>0.32</v>
      </c>
      <c r="N75" s="60"/>
    </row>
    <row r="76" spans="1:14">
      <c r="A76" s="60">
        <v>68</v>
      </c>
      <c r="B76" s="60" t="s">
        <v>149</v>
      </c>
      <c r="C76" s="60" t="s">
        <v>24</v>
      </c>
      <c r="D76" s="24">
        <v>20</v>
      </c>
      <c r="E76" s="24">
        <v>0</v>
      </c>
      <c r="F76" s="24">
        <v>20</v>
      </c>
      <c r="G76" s="24">
        <v>0</v>
      </c>
      <c r="H76" s="73">
        <v>0</v>
      </c>
      <c r="I76" s="73">
        <v>0</v>
      </c>
      <c r="J76" s="73">
        <v>0.27</v>
      </c>
      <c r="K76" s="73">
        <v>0.27</v>
      </c>
      <c r="L76" s="73">
        <v>0</v>
      </c>
      <c r="M76" s="73">
        <v>0</v>
      </c>
      <c r="N76" s="60"/>
    </row>
    <row r="77" spans="1:14">
      <c r="A77" s="60">
        <v>69</v>
      </c>
      <c r="B77" s="60" t="s">
        <v>1032</v>
      </c>
      <c r="C77" s="60" t="s">
        <v>23</v>
      </c>
      <c r="D77" s="24">
        <v>20</v>
      </c>
      <c r="E77" s="24">
        <v>0</v>
      </c>
      <c r="F77" s="24">
        <v>20</v>
      </c>
      <c r="G77" s="24">
        <v>0</v>
      </c>
      <c r="H77" s="73">
        <v>0</v>
      </c>
      <c r="I77" s="73">
        <v>0</v>
      </c>
      <c r="J77" s="73">
        <v>0.27</v>
      </c>
      <c r="K77" s="73">
        <v>0.27</v>
      </c>
      <c r="L77" s="73">
        <v>0</v>
      </c>
      <c r="M77" s="73">
        <v>0</v>
      </c>
      <c r="N77" s="60"/>
    </row>
    <row r="78" spans="1:14">
      <c r="A78" s="60">
        <v>70</v>
      </c>
      <c r="B78" s="60" t="s">
        <v>1087</v>
      </c>
      <c r="C78" s="60" t="s">
        <v>23</v>
      </c>
      <c r="D78" s="24">
        <v>19</v>
      </c>
      <c r="E78" s="24">
        <v>0</v>
      </c>
      <c r="F78" s="24">
        <v>19</v>
      </c>
      <c r="G78" s="24">
        <v>0</v>
      </c>
      <c r="H78" s="73">
        <v>0</v>
      </c>
      <c r="I78" s="73">
        <v>0</v>
      </c>
      <c r="J78" s="73">
        <v>0.25</v>
      </c>
      <c r="K78" s="73">
        <v>0.25</v>
      </c>
      <c r="L78" s="73">
        <v>0</v>
      </c>
      <c r="M78" s="73">
        <v>0</v>
      </c>
      <c r="N78" s="60"/>
    </row>
    <row r="79" spans="1:14">
      <c r="A79" s="60">
        <v>71</v>
      </c>
      <c r="B79" s="60" t="s">
        <v>607</v>
      </c>
      <c r="C79" s="60" t="s">
        <v>24</v>
      </c>
      <c r="D79" s="24">
        <v>18</v>
      </c>
      <c r="E79" s="24">
        <v>110</v>
      </c>
      <c r="F79" s="24">
        <v>18</v>
      </c>
      <c r="G79" s="24">
        <v>110</v>
      </c>
      <c r="H79" s="73">
        <v>-83.64</v>
      </c>
      <c r="I79" s="73">
        <v>-83.64</v>
      </c>
      <c r="J79" s="73">
        <v>0.24</v>
      </c>
      <c r="K79" s="73">
        <v>0.24</v>
      </c>
      <c r="L79" s="73">
        <v>1.05</v>
      </c>
      <c r="M79" s="73">
        <v>1.05</v>
      </c>
      <c r="N79" s="60"/>
    </row>
    <row r="80" spans="1:14">
      <c r="A80" s="60">
        <v>72</v>
      </c>
      <c r="B80" s="60" t="s">
        <v>1059</v>
      </c>
      <c r="C80" s="60" t="s">
        <v>24</v>
      </c>
      <c r="D80" s="24">
        <v>18</v>
      </c>
      <c r="E80" s="24">
        <v>0</v>
      </c>
      <c r="F80" s="24">
        <v>18</v>
      </c>
      <c r="G80" s="24">
        <v>0</v>
      </c>
      <c r="H80" s="73">
        <v>0</v>
      </c>
      <c r="I80" s="73">
        <v>0</v>
      </c>
      <c r="J80" s="73">
        <v>0.24</v>
      </c>
      <c r="K80" s="73">
        <v>0.24</v>
      </c>
      <c r="L80" s="73">
        <v>0</v>
      </c>
      <c r="M80" s="73">
        <v>0</v>
      </c>
      <c r="N80" s="60"/>
    </row>
    <row r="81" spans="1:14">
      <c r="A81" s="60">
        <v>73</v>
      </c>
      <c r="B81" s="60" t="s">
        <v>636</v>
      </c>
      <c r="C81" s="60" t="s">
        <v>24</v>
      </c>
      <c r="D81" s="24">
        <v>17</v>
      </c>
      <c r="E81" s="24">
        <v>112</v>
      </c>
      <c r="F81" s="24">
        <v>17</v>
      </c>
      <c r="G81" s="24">
        <v>112</v>
      </c>
      <c r="H81" s="73">
        <v>-84.82</v>
      </c>
      <c r="I81" s="73">
        <v>-84.82</v>
      </c>
      <c r="J81" s="73">
        <v>0.23</v>
      </c>
      <c r="K81" s="73">
        <v>0.23</v>
      </c>
      <c r="L81" s="73">
        <v>1.06</v>
      </c>
      <c r="M81" s="73">
        <v>1.06</v>
      </c>
      <c r="N81" s="60"/>
    </row>
    <row r="82" spans="1:14">
      <c r="A82" s="60">
        <v>74</v>
      </c>
      <c r="B82" s="60" t="s">
        <v>649</v>
      </c>
      <c r="C82" s="60" t="s">
        <v>24</v>
      </c>
      <c r="D82" s="24">
        <v>17</v>
      </c>
      <c r="E82" s="24">
        <v>40</v>
      </c>
      <c r="F82" s="24">
        <v>17</v>
      </c>
      <c r="G82" s="24">
        <v>40</v>
      </c>
      <c r="H82" s="73">
        <v>-57.5</v>
      </c>
      <c r="I82" s="73">
        <v>-57.5</v>
      </c>
      <c r="J82" s="73">
        <v>0.23</v>
      </c>
      <c r="K82" s="73">
        <v>0.23</v>
      </c>
      <c r="L82" s="73">
        <v>0.38</v>
      </c>
      <c r="M82" s="73">
        <v>0.38</v>
      </c>
      <c r="N82" s="60"/>
    </row>
    <row r="83" spans="1:14">
      <c r="A83" s="60">
        <v>75</v>
      </c>
      <c r="B83" s="60" t="s">
        <v>453</v>
      </c>
      <c r="C83" s="60" t="s">
        <v>23</v>
      </c>
      <c r="D83" s="24">
        <v>15</v>
      </c>
      <c r="E83" s="24">
        <v>178</v>
      </c>
      <c r="F83" s="24">
        <v>15</v>
      </c>
      <c r="G83" s="24">
        <v>178</v>
      </c>
      <c r="H83" s="73">
        <v>-91.57</v>
      </c>
      <c r="I83" s="73">
        <v>-91.57</v>
      </c>
      <c r="J83" s="73">
        <v>0.2</v>
      </c>
      <c r="K83" s="73">
        <v>0.2</v>
      </c>
      <c r="L83" s="73">
        <v>1.69</v>
      </c>
      <c r="M83" s="73">
        <v>1.69</v>
      </c>
      <c r="N83" s="60"/>
    </row>
    <row r="84" spans="1:14">
      <c r="A84" s="60">
        <v>76</v>
      </c>
      <c r="B84" s="60" t="s">
        <v>84</v>
      </c>
      <c r="C84" s="60" t="s">
        <v>23</v>
      </c>
      <c r="D84" s="24">
        <v>15</v>
      </c>
      <c r="E84" s="24">
        <v>48</v>
      </c>
      <c r="F84" s="24">
        <v>15</v>
      </c>
      <c r="G84" s="24">
        <v>48</v>
      </c>
      <c r="H84" s="73">
        <v>-68.75</v>
      </c>
      <c r="I84" s="73">
        <v>-68.75</v>
      </c>
      <c r="J84" s="73">
        <v>0.2</v>
      </c>
      <c r="K84" s="73">
        <v>0.2</v>
      </c>
      <c r="L84" s="73">
        <v>0.46</v>
      </c>
      <c r="M84" s="73">
        <v>0.46</v>
      </c>
      <c r="N84" s="60"/>
    </row>
    <row r="85" spans="1:14">
      <c r="A85" s="60">
        <v>77</v>
      </c>
      <c r="B85" s="60" t="s">
        <v>472</v>
      </c>
      <c r="C85" s="60" t="s">
        <v>24</v>
      </c>
      <c r="D85" s="24">
        <v>13</v>
      </c>
      <c r="E85" s="24">
        <v>1</v>
      </c>
      <c r="F85" s="24">
        <v>13</v>
      </c>
      <c r="G85" s="24">
        <v>1</v>
      </c>
      <c r="H85" s="73">
        <v>1200</v>
      </c>
      <c r="I85" s="73">
        <v>1200</v>
      </c>
      <c r="J85" s="73">
        <v>0.17</v>
      </c>
      <c r="K85" s="73">
        <v>0.17</v>
      </c>
      <c r="L85" s="73">
        <v>0.01</v>
      </c>
      <c r="M85" s="73">
        <v>0.01</v>
      </c>
      <c r="N85" s="60"/>
    </row>
    <row r="86" spans="1:14">
      <c r="A86" s="60">
        <v>78</v>
      </c>
      <c r="B86" s="60" t="s">
        <v>1025</v>
      </c>
      <c r="C86" s="60" t="s">
        <v>24</v>
      </c>
      <c r="D86" s="24">
        <v>13</v>
      </c>
      <c r="E86" s="24">
        <v>0</v>
      </c>
      <c r="F86" s="24">
        <v>13</v>
      </c>
      <c r="G86" s="24">
        <v>0</v>
      </c>
      <c r="H86" s="73">
        <v>0</v>
      </c>
      <c r="I86" s="73">
        <v>0</v>
      </c>
      <c r="J86" s="73">
        <v>0.17</v>
      </c>
      <c r="K86" s="73">
        <v>0.17</v>
      </c>
      <c r="L86" s="73">
        <v>0</v>
      </c>
      <c r="M86" s="73">
        <v>0</v>
      </c>
      <c r="N86" s="60"/>
    </row>
    <row r="87" spans="1:14">
      <c r="A87" s="60">
        <v>79</v>
      </c>
      <c r="B87" s="60" t="s">
        <v>426</v>
      </c>
      <c r="C87" s="60" t="s">
        <v>24</v>
      </c>
      <c r="D87" s="24">
        <v>12</v>
      </c>
      <c r="E87" s="24">
        <v>68</v>
      </c>
      <c r="F87" s="24">
        <v>12</v>
      </c>
      <c r="G87" s="24">
        <v>68</v>
      </c>
      <c r="H87" s="73">
        <v>-82.35</v>
      </c>
      <c r="I87" s="73">
        <v>-82.35</v>
      </c>
      <c r="J87" s="73">
        <v>0.16</v>
      </c>
      <c r="K87" s="73">
        <v>0.16</v>
      </c>
      <c r="L87" s="73">
        <v>0.65</v>
      </c>
      <c r="M87" s="73">
        <v>0.65</v>
      </c>
      <c r="N87" s="60"/>
    </row>
    <row r="88" spans="1:14">
      <c r="A88" s="60">
        <v>80</v>
      </c>
      <c r="B88" s="60" t="s">
        <v>676</v>
      </c>
      <c r="C88" s="60" t="s">
        <v>24</v>
      </c>
      <c r="D88" s="24">
        <v>12</v>
      </c>
      <c r="E88" s="24">
        <v>20</v>
      </c>
      <c r="F88" s="24">
        <v>12</v>
      </c>
      <c r="G88" s="24">
        <v>20</v>
      </c>
      <c r="H88" s="73">
        <v>-40</v>
      </c>
      <c r="I88" s="73">
        <v>-40</v>
      </c>
      <c r="J88" s="73">
        <v>0.16</v>
      </c>
      <c r="K88" s="73">
        <v>0.16</v>
      </c>
      <c r="L88" s="73">
        <v>0.19</v>
      </c>
      <c r="M88" s="73">
        <v>0.19</v>
      </c>
      <c r="N88" s="60"/>
    </row>
    <row r="89" spans="1:14">
      <c r="A89" s="60">
        <v>81</v>
      </c>
      <c r="B89" s="60" t="s">
        <v>155</v>
      </c>
      <c r="C89" s="60" t="s">
        <v>25</v>
      </c>
      <c r="D89" s="24">
        <v>12</v>
      </c>
      <c r="E89" s="24">
        <v>3</v>
      </c>
      <c r="F89" s="24">
        <v>12</v>
      </c>
      <c r="G89" s="24">
        <v>3</v>
      </c>
      <c r="H89" s="73">
        <v>300</v>
      </c>
      <c r="I89" s="73">
        <v>300</v>
      </c>
      <c r="J89" s="73">
        <v>0.16</v>
      </c>
      <c r="K89" s="73">
        <v>0.16</v>
      </c>
      <c r="L89" s="73">
        <v>0.03</v>
      </c>
      <c r="M89" s="73">
        <v>0.03</v>
      </c>
      <c r="N89" s="60"/>
    </row>
    <row r="90" spans="1:14">
      <c r="A90" s="60">
        <v>82</v>
      </c>
      <c r="B90" s="60" t="s">
        <v>430</v>
      </c>
      <c r="C90" s="60" t="s">
        <v>23</v>
      </c>
      <c r="D90" s="24">
        <v>11</v>
      </c>
      <c r="E90" s="24">
        <v>114</v>
      </c>
      <c r="F90" s="24">
        <v>11</v>
      </c>
      <c r="G90" s="24">
        <v>114</v>
      </c>
      <c r="H90" s="73">
        <v>-90.35</v>
      </c>
      <c r="I90" s="73">
        <v>-90.35</v>
      </c>
      <c r="J90" s="73">
        <v>0.15</v>
      </c>
      <c r="K90" s="73">
        <v>0.15</v>
      </c>
      <c r="L90" s="73">
        <v>1.08</v>
      </c>
      <c r="M90" s="73">
        <v>1.08</v>
      </c>
      <c r="N90" s="60"/>
    </row>
    <row r="91" spans="1:14">
      <c r="A91" s="60">
        <v>83</v>
      </c>
      <c r="B91" s="60" t="s">
        <v>424</v>
      </c>
      <c r="C91" s="60" t="s">
        <v>24</v>
      </c>
      <c r="D91" s="24">
        <v>11</v>
      </c>
      <c r="E91" s="24">
        <v>72</v>
      </c>
      <c r="F91" s="24">
        <v>11</v>
      </c>
      <c r="G91" s="24">
        <v>72</v>
      </c>
      <c r="H91" s="73">
        <v>-84.72</v>
      </c>
      <c r="I91" s="73">
        <v>-84.72</v>
      </c>
      <c r="J91" s="73">
        <v>0.15</v>
      </c>
      <c r="K91" s="73">
        <v>0.15</v>
      </c>
      <c r="L91" s="73">
        <v>0.68</v>
      </c>
      <c r="M91" s="73">
        <v>0.68</v>
      </c>
      <c r="N91" s="60"/>
    </row>
    <row r="92" spans="1:14">
      <c r="A92" s="60">
        <v>84</v>
      </c>
      <c r="B92" s="60" t="s">
        <v>165</v>
      </c>
      <c r="C92" s="60" t="s">
        <v>23</v>
      </c>
      <c r="D92" s="24">
        <v>11</v>
      </c>
      <c r="E92" s="24">
        <v>21</v>
      </c>
      <c r="F92" s="24">
        <v>11</v>
      </c>
      <c r="G92" s="24">
        <v>21</v>
      </c>
      <c r="H92" s="73">
        <v>-47.62</v>
      </c>
      <c r="I92" s="73">
        <v>-47.62</v>
      </c>
      <c r="J92" s="73">
        <v>0.15</v>
      </c>
      <c r="K92" s="73">
        <v>0.15</v>
      </c>
      <c r="L92" s="73">
        <v>0.2</v>
      </c>
      <c r="M92" s="73">
        <v>0.2</v>
      </c>
      <c r="N92" s="60"/>
    </row>
    <row r="93" spans="1:14">
      <c r="A93" s="60">
        <v>85</v>
      </c>
      <c r="B93" s="60" t="s">
        <v>698</v>
      </c>
      <c r="C93" s="60" t="s">
        <v>24</v>
      </c>
      <c r="D93" s="24">
        <v>11</v>
      </c>
      <c r="E93" s="24">
        <v>8</v>
      </c>
      <c r="F93" s="24">
        <v>11</v>
      </c>
      <c r="G93" s="24">
        <v>8</v>
      </c>
      <c r="H93" s="73">
        <v>37.5</v>
      </c>
      <c r="I93" s="73">
        <v>37.5</v>
      </c>
      <c r="J93" s="73">
        <v>0.15</v>
      </c>
      <c r="K93" s="73">
        <v>0.15</v>
      </c>
      <c r="L93" s="73">
        <v>0.08</v>
      </c>
      <c r="M93" s="73">
        <v>0.08</v>
      </c>
      <c r="N93" s="60"/>
    </row>
    <row r="94" spans="1:14">
      <c r="A94" s="60">
        <v>86</v>
      </c>
      <c r="B94" s="60" t="s">
        <v>79</v>
      </c>
      <c r="C94" s="60" t="s">
        <v>23</v>
      </c>
      <c r="D94" s="24">
        <v>10</v>
      </c>
      <c r="E94" s="24">
        <v>58</v>
      </c>
      <c r="F94" s="24">
        <v>10</v>
      </c>
      <c r="G94" s="24">
        <v>58</v>
      </c>
      <c r="H94" s="73">
        <v>-82.76</v>
      </c>
      <c r="I94" s="73">
        <v>-82.76</v>
      </c>
      <c r="J94" s="73">
        <v>0.13</v>
      </c>
      <c r="K94" s="73">
        <v>0.13</v>
      </c>
      <c r="L94" s="73">
        <v>0.55000000000000004</v>
      </c>
      <c r="M94" s="73">
        <v>0.55000000000000004</v>
      </c>
      <c r="N94" s="60"/>
    </row>
    <row r="95" spans="1:14">
      <c r="A95" s="60">
        <v>87</v>
      </c>
      <c r="B95" s="60" t="s">
        <v>1073</v>
      </c>
      <c r="C95" s="60" t="s">
        <v>24</v>
      </c>
      <c r="D95" s="24">
        <v>10</v>
      </c>
      <c r="E95" s="24">
        <v>0</v>
      </c>
      <c r="F95" s="24">
        <v>10</v>
      </c>
      <c r="G95" s="24">
        <v>0</v>
      </c>
      <c r="H95" s="73">
        <v>0</v>
      </c>
      <c r="I95" s="73">
        <v>0</v>
      </c>
      <c r="J95" s="73">
        <v>0.13</v>
      </c>
      <c r="K95" s="73">
        <v>0.13</v>
      </c>
      <c r="L95" s="73">
        <v>0</v>
      </c>
      <c r="M95" s="73">
        <v>0</v>
      </c>
      <c r="N95" s="60"/>
    </row>
    <row r="96" spans="1:14">
      <c r="A96" s="60">
        <v>88</v>
      </c>
      <c r="B96" s="60" t="s">
        <v>184</v>
      </c>
      <c r="C96" s="60" t="s">
        <v>23</v>
      </c>
      <c r="D96" s="24">
        <v>9</v>
      </c>
      <c r="E96" s="24">
        <v>49</v>
      </c>
      <c r="F96" s="24">
        <v>9</v>
      </c>
      <c r="G96" s="24">
        <v>49</v>
      </c>
      <c r="H96" s="73">
        <v>-81.63</v>
      </c>
      <c r="I96" s="73">
        <v>-81.63</v>
      </c>
      <c r="J96" s="73">
        <v>0.12</v>
      </c>
      <c r="K96" s="73">
        <v>0.12</v>
      </c>
      <c r="L96" s="73">
        <v>0.47</v>
      </c>
      <c r="M96" s="73">
        <v>0.47</v>
      </c>
      <c r="N96" s="60"/>
    </row>
    <row r="97" spans="1:14">
      <c r="A97" s="60">
        <v>89</v>
      </c>
      <c r="B97" s="60" t="s">
        <v>411</v>
      </c>
      <c r="C97" s="60" t="s">
        <v>23</v>
      </c>
      <c r="D97" s="24">
        <v>9</v>
      </c>
      <c r="E97" s="24">
        <v>14</v>
      </c>
      <c r="F97" s="24">
        <v>9</v>
      </c>
      <c r="G97" s="24">
        <v>14</v>
      </c>
      <c r="H97" s="73">
        <v>-35.71</v>
      </c>
      <c r="I97" s="73">
        <v>-35.71</v>
      </c>
      <c r="J97" s="73">
        <v>0.12</v>
      </c>
      <c r="K97" s="73">
        <v>0.12</v>
      </c>
      <c r="L97" s="73">
        <v>0.13</v>
      </c>
      <c r="M97" s="73">
        <v>0.13</v>
      </c>
      <c r="N97" s="60"/>
    </row>
    <row r="98" spans="1:14">
      <c r="A98" s="60">
        <v>90</v>
      </c>
      <c r="B98" s="60" t="s">
        <v>530</v>
      </c>
      <c r="C98" s="60" t="s">
        <v>24</v>
      </c>
      <c r="D98" s="24">
        <v>9</v>
      </c>
      <c r="E98" s="24">
        <v>3</v>
      </c>
      <c r="F98" s="24">
        <v>9</v>
      </c>
      <c r="G98" s="24">
        <v>3</v>
      </c>
      <c r="H98" s="73">
        <v>200</v>
      </c>
      <c r="I98" s="73">
        <v>200</v>
      </c>
      <c r="J98" s="73">
        <v>0.12</v>
      </c>
      <c r="K98" s="73">
        <v>0.12</v>
      </c>
      <c r="L98" s="73">
        <v>0.03</v>
      </c>
      <c r="M98" s="73">
        <v>0.03</v>
      </c>
      <c r="N98" s="60"/>
    </row>
    <row r="99" spans="1:14">
      <c r="A99" s="60">
        <v>91</v>
      </c>
      <c r="B99" s="60" t="s">
        <v>1074</v>
      </c>
      <c r="C99" s="60" t="s">
        <v>23</v>
      </c>
      <c r="D99" s="24">
        <v>9</v>
      </c>
      <c r="E99" s="24">
        <v>0</v>
      </c>
      <c r="F99" s="24">
        <v>9</v>
      </c>
      <c r="G99" s="24">
        <v>0</v>
      </c>
      <c r="H99" s="73">
        <v>0</v>
      </c>
      <c r="I99" s="73">
        <v>0</v>
      </c>
      <c r="J99" s="73">
        <v>0.12</v>
      </c>
      <c r="K99" s="73">
        <v>0.12</v>
      </c>
      <c r="L99" s="73">
        <v>0</v>
      </c>
      <c r="M99" s="73">
        <v>0</v>
      </c>
      <c r="N99" s="60"/>
    </row>
    <row r="100" spans="1:14">
      <c r="A100" s="60">
        <v>92</v>
      </c>
      <c r="B100" s="60" t="s">
        <v>727</v>
      </c>
      <c r="C100" s="60" t="s">
        <v>24</v>
      </c>
      <c r="D100" s="24">
        <v>9</v>
      </c>
      <c r="E100" s="24">
        <v>0</v>
      </c>
      <c r="F100" s="24">
        <v>9</v>
      </c>
      <c r="G100" s="24">
        <v>0</v>
      </c>
      <c r="H100" s="73">
        <v>0</v>
      </c>
      <c r="I100" s="73">
        <v>0</v>
      </c>
      <c r="J100" s="73">
        <v>0.12</v>
      </c>
      <c r="K100" s="73">
        <v>0.12</v>
      </c>
      <c r="L100" s="73">
        <v>0</v>
      </c>
      <c r="M100" s="73">
        <v>0</v>
      </c>
      <c r="N100" s="60"/>
    </row>
    <row r="101" spans="1:14">
      <c r="A101" s="60">
        <v>93</v>
      </c>
      <c r="B101" s="60" t="s">
        <v>1069</v>
      </c>
      <c r="C101" s="60" t="s">
        <v>24</v>
      </c>
      <c r="D101" s="24">
        <v>9</v>
      </c>
      <c r="E101" s="24">
        <v>0</v>
      </c>
      <c r="F101" s="24">
        <v>9</v>
      </c>
      <c r="G101" s="24">
        <v>0</v>
      </c>
      <c r="H101" s="73">
        <v>0</v>
      </c>
      <c r="I101" s="73">
        <v>0</v>
      </c>
      <c r="J101" s="73">
        <v>0.12</v>
      </c>
      <c r="K101" s="73">
        <v>0.12</v>
      </c>
      <c r="L101" s="73">
        <v>0</v>
      </c>
      <c r="M101" s="73">
        <v>0</v>
      </c>
      <c r="N101" s="60"/>
    </row>
    <row r="102" spans="1:14">
      <c r="A102" s="60">
        <v>94</v>
      </c>
      <c r="B102" s="60" t="s">
        <v>531</v>
      </c>
      <c r="C102" s="60" t="s">
        <v>23</v>
      </c>
      <c r="D102" s="24">
        <v>8</v>
      </c>
      <c r="E102" s="24">
        <v>28</v>
      </c>
      <c r="F102" s="24">
        <v>8</v>
      </c>
      <c r="G102" s="24">
        <v>28</v>
      </c>
      <c r="H102" s="73">
        <v>-71.430000000000007</v>
      </c>
      <c r="I102" s="73">
        <v>-71.430000000000007</v>
      </c>
      <c r="J102" s="73">
        <v>0.11</v>
      </c>
      <c r="K102" s="73">
        <v>0.11</v>
      </c>
      <c r="L102" s="73">
        <v>0.27</v>
      </c>
      <c r="M102" s="73">
        <v>0.27</v>
      </c>
      <c r="N102" s="60"/>
    </row>
    <row r="103" spans="1:14">
      <c r="A103" s="60">
        <v>95</v>
      </c>
      <c r="B103" s="60" t="s">
        <v>1110</v>
      </c>
      <c r="C103" s="60" t="s">
        <v>24</v>
      </c>
      <c r="D103" s="24">
        <v>8</v>
      </c>
      <c r="E103" s="24">
        <v>0</v>
      </c>
      <c r="F103" s="24">
        <v>8</v>
      </c>
      <c r="G103" s="24">
        <v>0</v>
      </c>
      <c r="H103" s="73">
        <v>0</v>
      </c>
      <c r="I103" s="73">
        <v>0</v>
      </c>
      <c r="J103" s="73">
        <v>0.11</v>
      </c>
      <c r="K103" s="73">
        <v>0.11</v>
      </c>
      <c r="L103" s="73">
        <v>0</v>
      </c>
      <c r="M103" s="73">
        <v>0</v>
      </c>
      <c r="N103" s="60"/>
    </row>
    <row r="104" spans="1:14">
      <c r="A104" s="60">
        <v>96</v>
      </c>
      <c r="B104" s="60" t="s">
        <v>623</v>
      </c>
      <c r="C104" s="60" t="s">
        <v>23</v>
      </c>
      <c r="D104" s="24">
        <v>7</v>
      </c>
      <c r="E104" s="24">
        <v>321</v>
      </c>
      <c r="F104" s="24">
        <v>7</v>
      </c>
      <c r="G104" s="24">
        <v>321</v>
      </c>
      <c r="H104" s="73">
        <v>-97.82</v>
      </c>
      <c r="I104" s="73">
        <v>-97.82</v>
      </c>
      <c r="J104" s="73">
        <v>0.09</v>
      </c>
      <c r="K104" s="73">
        <v>0.09</v>
      </c>
      <c r="L104" s="73">
        <v>3.05</v>
      </c>
      <c r="M104" s="73">
        <v>3.05</v>
      </c>
      <c r="N104" s="60"/>
    </row>
    <row r="105" spans="1:14">
      <c r="A105" s="60">
        <v>97</v>
      </c>
      <c r="B105" s="60" t="s">
        <v>439</v>
      </c>
      <c r="C105" s="60" t="s">
        <v>23</v>
      </c>
      <c r="D105" s="24">
        <v>7</v>
      </c>
      <c r="E105" s="24">
        <v>62</v>
      </c>
      <c r="F105" s="24">
        <v>7</v>
      </c>
      <c r="G105" s="24">
        <v>62</v>
      </c>
      <c r="H105" s="73">
        <v>-88.71</v>
      </c>
      <c r="I105" s="73">
        <v>-88.71</v>
      </c>
      <c r="J105" s="73">
        <v>0.09</v>
      </c>
      <c r="K105" s="73">
        <v>0.09</v>
      </c>
      <c r="L105" s="73">
        <v>0.59</v>
      </c>
      <c r="M105" s="73">
        <v>0.59</v>
      </c>
      <c r="N105" s="60"/>
    </row>
    <row r="106" spans="1:14">
      <c r="A106" s="60">
        <v>98</v>
      </c>
      <c r="B106" s="60" t="s">
        <v>586</v>
      </c>
      <c r="C106" s="60" t="s">
        <v>23</v>
      </c>
      <c r="D106" s="24">
        <v>7</v>
      </c>
      <c r="E106" s="24">
        <v>15</v>
      </c>
      <c r="F106" s="24">
        <v>7</v>
      </c>
      <c r="G106" s="24">
        <v>15</v>
      </c>
      <c r="H106" s="73">
        <v>-53.33</v>
      </c>
      <c r="I106" s="73">
        <v>-53.33</v>
      </c>
      <c r="J106" s="73">
        <v>0.09</v>
      </c>
      <c r="K106" s="73">
        <v>0.09</v>
      </c>
      <c r="L106" s="73">
        <v>0.14000000000000001</v>
      </c>
      <c r="M106" s="73">
        <v>0.14000000000000001</v>
      </c>
      <c r="N106" s="60"/>
    </row>
    <row r="107" spans="1:14">
      <c r="A107" s="60">
        <v>99</v>
      </c>
      <c r="B107" s="60" t="s">
        <v>1081</v>
      </c>
      <c r="C107" s="60" t="s">
        <v>24</v>
      </c>
      <c r="D107" s="24">
        <v>7</v>
      </c>
      <c r="E107" s="24">
        <v>0</v>
      </c>
      <c r="F107" s="24">
        <v>7</v>
      </c>
      <c r="G107" s="24">
        <v>0</v>
      </c>
      <c r="H107" s="73">
        <v>0</v>
      </c>
      <c r="I107" s="73">
        <v>0</v>
      </c>
      <c r="J107" s="73">
        <v>0.09</v>
      </c>
      <c r="K107" s="73">
        <v>0.09</v>
      </c>
      <c r="L107" s="73">
        <v>0</v>
      </c>
      <c r="M107" s="73">
        <v>0</v>
      </c>
      <c r="N107" s="60"/>
    </row>
    <row r="108" spans="1:14">
      <c r="A108" s="60">
        <v>100</v>
      </c>
      <c r="B108" s="60" t="s">
        <v>684</v>
      </c>
      <c r="C108" s="60" t="s">
        <v>23</v>
      </c>
      <c r="D108" s="24">
        <v>6</v>
      </c>
      <c r="E108" s="24">
        <v>60</v>
      </c>
      <c r="F108" s="24">
        <v>6</v>
      </c>
      <c r="G108" s="24">
        <v>60</v>
      </c>
      <c r="H108" s="73">
        <v>-90</v>
      </c>
      <c r="I108" s="73">
        <v>-90</v>
      </c>
      <c r="J108" s="73">
        <v>0.08</v>
      </c>
      <c r="K108" s="73">
        <v>0.08</v>
      </c>
      <c r="L108" s="73">
        <v>0.56999999999999995</v>
      </c>
      <c r="M108" s="73">
        <v>0.56999999999999995</v>
      </c>
      <c r="N108" s="60"/>
    </row>
    <row r="109" spans="1:14">
      <c r="A109" s="60">
        <v>101</v>
      </c>
      <c r="B109" s="60" t="s">
        <v>592</v>
      </c>
      <c r="C109" s="60" t="s">
        <v>24</v>
      </c>
      <c r="D109" s="24">
        <v>6</v>
      </c>
      <c r="E109" s="24">
        <v>8</v>
      </c>
      <c r="F109" s="24">
        <v>6</v>
      </c>
      <c r="G109" s="24">
        <v>8</v>
      </c>
      <c r="H109" s="73">
        <v>-25</v>
      </c>
      <c r="I109" s="73">
        <v>-25</v>
      </c>
      <c r="J109" s="73">
        <v>0.08</v>
      </c>
      <c r="K109" s="73">
        <v>0.08</v>
      </c>
      <c r="L109" s="73">
        <v>0.08</v>
      </c>
      <c r="M109" s="73">
        <v>0.08</v>
      </c>
      <c r="N109" s="60"/>
    </row>
    <row r="110" spans="1:14">
      <c r="A110" s="60">
        <v>102</v>
      </c>
      <c r="B110" s="60" t="s">
        <v>533</v>
      </c>
      <c r="C110" s="60" t="s">
        <v>24</v>
      </c>
      <c r="D110" s="24">
        <v>6</v>
      </c>
      <c r="E110" s="24">
        <v>2</v>
      </c>
      <c r="F110" s="24">
        <v>6</v>
      </c>
      <c r="G110" s="24">
        <v>2</v>
      </c>
      <c r="H110" s="73">
        <v>200</v>
      </c>
      <c r="I110" s="73">
        <v>200</v>
      </c>
      <c r="J110" s="73">
        <v>0.08</v>
      </c>
      <c r="K110" s="73">
        <v>0.08</v>
      </c>
      <c r="L110" s="73">
        <v>0.02</v>
      </c>
      <c r="M110" s="73">
        <v>0.02</v>
      </c>
      <c r="N110" s="60"/>
    </row>
    <row r="111" spans="1:14">
      <c r="A111" s="60">
        <v>103</v>
      </c>
      <c r="B111" s="60" t="s">
        <v>691</v>
      </c>
      <c r="C111" s="60" t="s">
        <v>24</v>
      </c>
      <c r="D111" s="24">
        <v>6</v>
      </c>
      <c r="E111" s="24">
        <v>1</v>
      </c>
      <c r="F111" s="24">
        <v>6</v>
      </c>
      <c r="G111" s="24">
        <v>1</v>
      </c>
      <c r="H111" s="73">
        <v>500</v>
      </c>
      <c r="I111" s="73">
        <v>500</v>
      </c>
      <c r="J111" s="73">
        <v>0.08</v>
      </c>
      <c r="K111" s="73">
        <v>0.08</v>
      </c>
      <c r="L111" s="73">
        <v>0.01</v>
      </c>
      <c r="M111" s="73">
        <v>0.01</v>
      </c>
      <c r="N111" s="60"/>
    </row>
    <row r="112" spans="1:14">
      <c r="A112" s="60">
        <v>104</v>
      </c>
      <c r="B112" s="60" t="s">
        <v>49</v>
      </c>
      <c r="C112" s="60" t="s">
        <v>23</v>
      </c>
      <c r="D112" s="24">
        <v>5</v>
      </c>
      <c r="E112" s="24">
        <v>6</v>
      </c>
      <c r="F112" s="24">
        <v>5</v>
      </c>
      <c r="G112" s="24">
        <v>6</v>
      </c>
      <c r="H112" s="73">
        <v>-16.670000000000002</v>
      </c>
      <c r="I112" s="73">
        <v>-16.670000000000002</v>
      </c>
      <c r="J112" s="73">
        <v>7.0000000000000007E-2</v>
      </c>
      <c r="K112" s="73">
        <v>7.0000000000000007E-2</v>
      </c>
      <c r="L112" s="73">
        <v>0.06</v>
      </c>
      <c r="M112" s="73">
        <v>0.06</v>
      </c>
      <c r="N112" s="60"/>
    </row>
    <row r="113" spans="1:14">
      <c r="A113" s="60">
        <v>105</v>
      </c>
      <c r="B113" s="60" t="s">
        <v>647</v>
      </c>
      <c r="C113" s="60" t="s">
        <v>23</v>
      </c>
      <c r="D113" s="24">
        <v>5</v>
      </c>
      <c r="E113" s="24">
        <v>4</v>
      </c>
      <c r="F113" s="24">
        <v>5</v>
      </c>
      <c r="G113" s="24">
        <v>4</v>
      </c>
      <c r="H113" s="73">
        <v>25</v>
      </c>
      <c r="I113" s="73">
        <v>25</v>
      </c>
      <c r="J113" s="73">
        <v>7.0000000000000007E-2</v>
      </c>
      <c r="K113" s="73">
        <v>7.0000000000000007E-2</v>
      </c>
      <c r="L113" s="73">
        <v>0.04</v>
      </c>
      <c r="M113" s="73">
        <v>0.04</v>
      </c>
      <c r="N113" s="60"/>
    </row>
    <row r="114" spans="1:14">
      <c r="A114" s="60">
        <v>106</v>
      </c>
      <c r="B114" s="60" t="s">
        <v>457</v>
      </c>
      <c r="C114" s="60" t="s">
        <v>23</v>
      </c>
      <c r="D114" s="24">
        <v>4</v>
      </c>
      <c r="E114" s="24">
        <v>16</v>
      </c>
      <c r="F114" s="24">
        <v>4</v>
      </c>
      <c r="G114" s="24">
        <v>16</v>
      </c>
      <c r="H114" s="73">
        <v>-75</v>
      </c>
      <c r="I114" s="73">
        <v>-75</v>
      </c>
      <c r="J114" s="73">
        <v>0.05</v>
      </c>
      <c r="K114" s="73">
        <v>0.05</v>
      </c>
      <c r="L114" s="73">
        <v>0.15</v>
      </c>
      <c r="M114" s="73">
        <v>0.15</v>
      </c>
      <c r="N114" s="60"/>
    </row>
    <row r="115" spans="1:14">
      <c r="A115" s="60">
        <v>107</v>
      </c>
      <c r="B115" s="60" t="s">
        <v>462</v>
      </c>
      <c r="C115" s="60" t="s">
        <v>24</v>
      </c>
      <c r="D115" s="24">
        <v>4</v>
      </c>
      <c r="E115" s="24">
        <v>13</v>
      </c>
      <c r="F115" s="24">
        <v>4</v>
      </c>
      <c r="G115" s="24">
        <v>13</v>
      </c>
      <c r="H115" s="73">
        <v>-69.23</v>
      </c>
      <c r="I115" s="73">
        <v>-69.23</v>
      </c>
      <c r="J115" s="73">
        <v>0.05</v>
      </c>
      <c r="K115" s="73">
        <v>0.05</v>
      </c>
      <c r="L115" s="73">
        <v>0.12</v>
      </c>
      <c r="M115" s="73">
        <v>0.12</v>
      </c>
      <c r="N115" s="60"/>
    </row>
    <row r="116" spans="1:14">
      <c r="A116" s="60">
        <v>108</v>
      </c>
      <c r="B116" s="60" t="s">
        <v>427</v>
      </c>
      <c r="C116" s="60" t="s">
        <v>24</v>
      </c>
      <c r="D116" s="24">
        <v>4</v>
      </c>
      <c r="E116" s="24">
        <v>10</v>
      </c>
      <c r="F116" s="24">
        <v>4</v>
      </c>
      <c r="G116" s="24">
        <v>10</v>
      </c>
      <c r="H116" s="73">
        <v>-60</v>
      </c>
      <c r="I116" s="73">
        <v>-60</v>
      </c>
      <c r="J116" s="73">
        <v>0.05</v>
      </c>
      <c r="K116" s="73">
        <v>0.05</v>
      </c>
      <c r="L116" s="73">
        <v>0.1</v>
      </c>
      <c r="M116" s="73">
        <v>0.1</v>
      </c>
      <c r="N116" s="60"/>
    </row>
    <row r="117" spans="1:14">
      <c r="A117" s="60">
        <v>109</v>
      </c>
      <c r="B117" s="60" t="s">
        <v>741</v>
      </c>
      <c r="C117" s="60" t="s">
        <v>23</v>
      </c>
      <c r="D117" s="24">
        <v>4</v>
      </c>
      <c r="E117" s="24">
        <v>0</v>
      </c>
      <c r="F117" s="24">
        <v>4</v>
      </c>
      <c r="G117" s="24">
        <v>0</v>
      </c>
      <c r="H117" s="73">
        <v>0</v>
      </c>
      <c r="I117" s="73">
        <v>0</v>
      </c>
      <c r="J117" s="73">
        <v>0.05</v>
      </c>
      <c r="K117" s="73">
        <v>0.05</v>
      </c>
      <c r="L117" s="73">
        <v>0</v>
      </c>
      <c r="M117" s="73">
        <v>0</v>
      </c>
      <c r="N117" s="60"/>
    </row>
    <row r="118" spans="1:14">
      <c r="A118" s="60">
        <v>110</v>
      </c>
      <c r="B118" s="60" t="s">
        <v>402</v>
      </c>
      <c r="C118" s="60" t="s">
        <v>23</v>
      </c>
      <c r="D118" s="24">
        <v>3</v>
      </c>
      <c r="E118" s="24">
        <v>17</v>
      </c>
      <c r="F118" s="24">
        <v>3</v>
      </c>
      <c r="G118" s="24">
        <v>17</v>
      </c>
      <c r="H118" s="73">
        <v>-82.35</v>
      </c>
      <c r="I118" s="73">
        <v>-82.35</v>
      </c>
      <c r="J118" s="73">
        <v>0.04</v>
      </c>
      <c r="K118" s="73">
        <v>0.04</v>
      </c>
      <c r="L118" s="73">
        <v>0.16</v>
      </c>
      <c r="M118" s="73">
        <v>0.16</v>
      </c>
      <c r="N118" s="60"/>
    </row>
    <row r="119" spans="1:14">
      <c r="A119" s="60">
        <v>111</v>
      </c>
      <c r="B119" s="60" t="s">
        <v>737</v>
      </c>
      <c r="C119" s="60" t="s">
        <v>23</v>
      </c>
      <c r="D119" s="24">
        <v>3</v>
      </c>
      <c r="E119" s="24">
        <v>0</v>
      </c>
      <c r="F119" s="24">
        <v>3</v>
      </c>
      <c r="G119" s="24">
        <v>0</v>
      </c>
      <c r="H119" s="73">
        <v>0</v>
      </c>
      <c r="I119" s="73">
        <v>0</v>
      </c>
      <c r="J119" s="73">
        <v>0.04</v>
      </c>
      <c r="K119" s="73">
        <v>0.04</v>
      </c>
      <c r="L119" s="73">
        <v>0</v>
      </c>
      <c r="M119" s="73">
        <v>0</v>
      </c>
      <c r="N119" s="60"/>
    </row>
    <row r="120" spans="1:14">
      <c r="A120" s="60">
        <v>112</v>
      </c>
      <c r="B120" s="60" t="s">
        <v>1085</v>
      </c>
      <c r="C120" s="60" t="s">
        <v>24</v>
      </c>
      <c r="D120" s="24">
        <v>3</v>
      </c>
      <c r="E120" s="24">
        <v>0</v>
      </c>
      <c r="F120" s="24">
        <v>3</v>
      </c>
      <c r="G120" s="24">
        <v>0</v>
      </c>
      <c r="H120" s="73">
        <v>0</v>
      </c>
      <c r="I120" s="73">
        <v>0</v>
      </c>
      <c r="J120" s="73">
        <v>0.04</v>
      </c>
      <c r="K120" s="73">
        <v>0.04</v>
      </c>
      <c r="L120" s="73">
        <v>0</v>
      </c>
      <c r="M120" s="73">
        <v>0</v>
      </c>
      <c r="N120" s="60"/>
    </row>
    <row r="121" spans="1:14">
      <c r="A121" s="60">
        <v>113</v>
      </c>
      <c r="B121" s="60" t="s">
        <v>1086</v>
      </c>
      <c r="C121" s="60" t="s">
        <v>24</v>
      </c>
      <c r="D121" s="24">
        <v>3</v>
      </c>
      <c r="E121" s="24">
        <v>0</v>
      </c>
      <c r="F121" s="24">
        <v>3</v>
      </c>
      <c r="G121" s="24">
        <v>0</v>
      </c>
      <c r="H121" s="73">
        <v>0</v>
      </c>
      <c r="I121" s="73">
        <v>0</v>
      </c>
      <c r="J121" s="73">
        <v>0.04</v>
      </c>
      <c r="K121" s="73">
        <v>0.04</v>
      </c>
      <c r="L121" s="73">
        <v>0</v>
      </c>
      <c r="M121" s="73">
        <v>0</v>
      </c>
      <c r="N121" s="60"/>
    </row>
    <row r="122" spans="1:14">
      <c r="A122" s="60">
        <v>114</v>
      </c>
      <c r="B122" s="60" t="s">
        <v>1088</v>
      </c>
      <c r="C122" s="60" t="s">
        <v>24</v>
      </c>
      <c r="D122" s="24">
        <v>3</v>
      </c>
      <c r="E122" s="24">
        <v>0</v>
      </c>
      <c r="F122" s="24">
        <v>3</v>
      </c>
      <c r="G122" s="24">
        <v>0</v>
      </c>
      <c r="H122" s="73">
        <v>0</v>
      </c>
      <c r="I122" s="73">
        <v>0</v>
      </c>
      <c r="J122" s="73">
        <v>0.04</v>
      </c>
      <c r="K122" s="73">
        <v>0.04</v>
      </c>
      <c r="L122" s="73">
        <v>0</v>
      </c>
      <c r="M122" s="73">
        <v>0</v>
      </c>
      <c r="N122" s="60"/>
    </row>
    <row r="123" spans="1:14">
      <c r="A123" s="60">
        <v>115</v>
      </c>
      <c r="B123" s="60" t="s">
        <v>415</v>
      </c>
      <c r="C123" s="60" t="s">
        <v>24</v>
      </c>
      <c r="D123" s="24">
        <v>2</v>
      </c>
      <c r="E123" s="24">
        <v>17</v>
      </c>
      <c r="F123" s="24">
        <v>2</v>
      </c>
      <c r="G123" s="24">
        <v>17</v>
      </c>
      <c r="H123" s="73">
        <v>-88.24</v>
      </c>
      <c r="I123" s="73">
        <v>-88.24</v>
      </c>
      <c r="J123" s="73">
        <v>0.03</v>
      </c>
      <c r="K123" s="73">
        <v>0.03</v>
      </c>
      <c r="L123" s="73">
        <v>0.16</v>
      </c>
      <c r="M123" s="73">
        <v>0.16</v>
      </c>
      <c r="N123" s="60"/>
    </row>
    <row r="124" spans="1:14">
      <c r="A124" s="60">
        <v>116</v>
      </c>
      <c r="B124" s="60" t="s">
        <v>435</v>
      </c>
      <c r="C124" s="60" t="s">
        <v>25</v>
      </c>
      <c r="D124" s="24">
        <v>2</v>
      </c>
      <c r="E124" s="24">
        <v>12</v>
      </c>
      <c r="F124" s="24">
        <v>2</v>
      </c>
      <c r="G124" s="24">
        <v>12</v>
      </c>
      <c r="H124" s="73">
        <v>-83.33</v>
      </c>
      <c r="I124" s="73">
        <v>-83.33</v>
      </c>
      <c r="J124" s="73">
        <v>0.03</v>
      </c>
      <c r="K124" s="73">
        <v>0.03</v>
      </c>
      <c r="L124" s="73">
        <v>0.11</v>
      </c>
      <c r="M124" s="73">
        <v>0.11</v>
      </c>
      <c r="N124" s="60"/>
    </row>
    <row r="125" spans="1:14">
      <c r="A125" s="60">
        <v>117</v>
      </c>
      <c r="B125" s="60" t="s">
        <v>141</v>
      </c>
      <c r="C125" s="60" t="s">
        <v>23</v>
      </c>
      <c r="D125" s="24">
        <v>2</v>
      </c>
      <c r="E125" s="24">
        <v>11</v>
      </c>
      <c r="F125" s="24">
        <v>2</v>
      </c>
      <c r="G125" s="24">
        <v>11</v>
      </c>
      <c r="H125" s="73">
        <v>-81.819999999999993</v>
      </c>
      <c r="I125" s="73">
        <v>-81.819999999999993</v>
      </c>
      <c r="J125" s="73">
        <v>0.03</v>
      </c>
      <c r="K125" s="73">
        <v>0.03</v>
      </c>
      <c r="L125" s="73">
        <v>0.1</v>
      </c>
      <c r="M125" s="73">
        <v>0.1</v>
      </c>
      <c r="N125" s="60"/>
    </row>
    <row r="126" spans="1:14">
      <c r="A126" s="60">
        <v>118</v>
      </c>
      <c r="B126" s="60" t="s">
        <v>375</v>
      </c>
      <c r="C126" s="60" t="s">
        <v>25</v>
      </c>
      <c r="D126" s="24">
        <v>2</v>
      </c>
      <c r="E126" s="24">
        <v>10</v>
      </c>
      <c r="F126" s="24">
        <v>2</v>
      </c>
      <c r="G126" s="24">
        <v>10</v>
      </c>
      <c r="H126" s="73">
        <v>-80</v>
      </c>
      <c r="I126" s="73">
        <v>-80</v>
      </c>
      <c r="J126" s="73">
        <v>0.03</v>
      </c>
      <c r="K126" s="73">
        <v>0.03</v>
      </c>
      <c r="L126" s="73">
        <v>0.1</v>
      </c>
      <c r="M126" s="73">
        <v>0.1</v>
      </c>
      <c r="N126" s="60"/>
    </row>
    <row r="127" spans="1:14">
      <c r="A127" s="60">
        <v>119</v>
      </c>
      <c r="B127" s="60" t="s">
        <v>526</v>
      </c>
      <c r="C127" s="60" t="s">
        <v>23</v>
      </c>
      <c r="D127" s="24">
        <v>2</v>
      </c>
      <c r="E127" s="24">
        <v>8</v>
      </c>
      <c r="F127" s="24">
        <v>2</v>
      </c>
      <c r="G127" s="24">
        <v>8</v>
      </c>
      <c r="H127" s="73">
        <v>-75</v>
      </c>
      <c r="I127" s="73">
        <v>-75</v>
      </c>
      <c r="J127" s="73">
        <v>0.03</v>
      </c>
      <c r="K127" s="73">
        <v>0.03</v>
      </c>
      <c r="L127" s="73">
        <v>0.08</v>
      </c>
      <c r="M127" s="73">
        <v>0.08</v>
      </c>
      <c r="N127" s="60"/>
    </row>
    <row r="128" spans="1:14">
      <c r="A128" s="60">
        <v>120</v>
      </c>
      <c r="B128" s="60" t="s">
        <v>449</v>
      </c>
      <c r="C128" s="60" t="s">
        <v>23</v>
      </c>
      <c r="D128" s="24">
        <v>2</v>
      </c>
      <c r="E128" s="24">
        <v>5</v>
      </c>
      <c r="F128" s="24">
        <v>2</v>
      </c>
      <c r="G128" s="24">
        <v>5</v>
      </c>
      <c r="H128" s="73">
        <v>-60</v>
      </c>
      <c r="I128" s="73">
        <v>-60</v>
      </c>
      <c r="J128" s="73">
        <v>0.03</v>
      </c>
      <c r="K128" s="73">
        <v>0.03</v>
      </c>
      <c r="L128" s="73">
        <v>0.05</v>
      </c>
      <c r="M128" s="73">
        <v>0.05</v>
      </c>
      <c r="N128" s="60"/>
    </row>
    <row r="129" spans="1:14">
      <c r="A129" s="60">
        <v>121</v>
      </c>
      <c r="B129" s="60" t="s">
        <v>247</v>
      </c>
      <c r="C129" s="60" t="s">
        <v>23</v>
      </c>
      <c r="D129" s="24">
        <v>2</v>
      </c>
      <c r="E129" s="24">
        <v>2</v>
      </c>
      <c r="F129" s="24">
        <v>2</v>
      </c>
      <c r="G129" s="24">
        <v>2</v>
      </c>
      <c r="H129" s="73">
        <v>0</v>
      </c>
      <c r="I129" s="73">
        <v>0</v>
      </c>
      <c r="J129" s="73">
        <v>0.03</v>
      </c>
      <c r="K129" s="73">
        <v>0.03</v>
      </c>
      <c r="L129" s="73">
        <v>0.02</v>
      </c>
      <c r="M129" s="73">
        <v>0.02</v>
      </c>
      <c r="N129" s="60"/>
    </row>
    <row r="130" spans="1:14">
      <c r="A130" s="60">
        <v>122</v>
      </c>
      <c r="B130" s="60" t="s">
        <v>708</v>
      </c>
      <c r="C130" s="60" t="s">
        <v>23</v>
      </c>
      <c r="D130" s="24">
        <v>2</v>
      </c>
      <c r="E130" s="24">
        <v>0</v>
      </c>
      <c r="F130" s="24">
        <v>2</v>
      </c>
      <c r="G130" s="24">
        <v>0</v>
      </c>
      <c r="H130" s="73">
        <v>0</v>
      </c>
      <c r="I130" s="73">
        <v>0</v>
      </c>
      <c r="J130" s="73">
        <v>0.03</v>
      </c>
      <c r="K130" s="73">
        <v>0.03</v>
      </c>
      <c r="L130" s="73">
        <v>0</v>
      </c>
      <c r="M130" s="73">
        <v>0</v>
      </c>
      <c r="N130" s="60"/>
    </row>
    <row r="131" spans="1:14">
      <c r="A131" s="60">
        <v>123</v>
      </c>
      <c r="B131" s="60" t="s">
        <v>746</v>
      </c>
      <c r="C131" s="60" t="s">
        <v>24</v>
      </c>
      <c r="D131" s="24">
        <v>2</v>
      </c>
      <c r="E131" s="24">
        <v>0</v>
      </c>
      <c r="F131" s="24">
        <v>2</v>
      </c>
      <c r="G131" s="24">
        <v>0</v>
      </c>
      <c r="H131" s="73">
        <v>0</v>
      </c>
      <c r="I131" s="73">
        <v>0</v>
      </c>
      <c r="J131" s="73">
        <v>0.03</v>
      </c>
      <c r="K131" s="73">
        <v>0.03</v>
      </c>
      <c r="L131" s="73">
        <v>0</v>
      </c>
      <c r="M131" s="73">
        <v>0</v>
      </c>
      <c r="N131" s="60"/>
    </row>
    <row r="132" spans="1:14">
      <c r="A132" s="60">
        <v>124</v>
      </c>
      <c r="B132" s="60" t="s">
        <v>743</v>
      </c>
      <c r="C132" s="60" t="s">
        <v>24</v>
      </c>
      <c r="D132" s="24">
        <v>2</v>
      </c>
      <c r="E132" s="24">
        <v>0</v>
      </c>
      <c r="F132" s="24">
        <v>2</v>
      </c>
      <c r="G132" s="24">
        <v>0</v>
      </c>
      <c r="H132" s="73">
        <v>0</v>
      </c>
      <c r="I132" s="73">
        <v>0</v>
      </c>
      <c r="J132" s="73">
        <v>0.03</v>
      </c>
      <c r="K132" s="73">
        <v>0.03</v>
      </c>
      <c r="L132" s="73">
        <v>0</v>
      </c>
      <c r="M132" s="73">
        <v>0</v>
      </c>
      <c r="N132" s="60"/>
    </row>
    <row r="133" spans="1:14">
      <c r="A133" s="60">
        <v>125</v>
      </c>
      <c r="B133" s="60" t="s">
        <v>242</v>
      </c>
      <c r="C133" s="60" t="s">
        <v>24</v>
      </c>
      <c r="D133" s="24">
        <v>1</v>
      </c>
      <c r="E133" s="24">
        <v>219</v>
      </c>
      <c r="F133" s="24">
        <v>1</v>
      </c>
      <c r="G133" s="24">
        <v>219</v>
      </c>
      <c r="H133" s="73">
        <v>-99.54</v>
      </c>
      <c r="I133" s="73">
        <v>-99.54</v>
      </c>
      <c r="J133" s="73">
        <v>0.01</v>
      </c>
      <c r="K133" s="73">
        <v>0.01</v>
      </c>
      <c r="L133" s="73">
        <v>2.08</v>
      </c>
      <c r="M133" s="73">
        <v>2.08</v>
      </c>
      <c r="N133" s="60"/>
    </row>
    <row r="134" spans="1:14">
      <c r="A134" s="60">
        <v>126</v>
      </c>
      <c r="B134" s="60" t="s">
        <v>384</v>
      </c>
      <c r="C134" s="60" t="s">
        <v>23</v>
      </c>
      <c r="D134" s="24">
        <v>1</v>
      </c>
      <c r="E134" s="24">
        <v>66</v>
      </c>
      <c r="F134" s="24">
        <v>1</v>
      </c>
      <c r="G134" s="24">
        <v>66</v>
      </c>
      <c r="H134" s="73">
        <v>-98.48</v>
      </c>
      <c r="I134" s="73">
        <v>-98.48</v>
      </c>
      <c r="J134" s="73">
        <v>0.01</v>
      </c>
      <c r="K134" s="73">
        <v>0.01</v>
      </c>
      <c r="L134" s="73">
        <v>0.63</v>
      </c>
      <c r="M134" s="73">
        <v>0.63</v>
      </c>
      <c r="N134" s="60"/>
    </row>
    <row r="135" spans="1:14">
      <c r="A135" s="60">
        <v>127</v>
      </c>
      <c r="B135" s="60" t="s">
        <v>461</v>
      </c>
      <c r="C135" s="60" t="s">
        <v>23</v>
      </c>
      <c r="D135" s="24">
        <v>1</v>
      </c>
      <c r="E135" s="24">
        <v>59</v>
      </c>
      <c r="F135" s="24">
        <v>1</v>
      </c>
      <c r="G135" s="24">
        <v>59</v>
      </c>
      <c r="H135" s="73">
        <v>-98.31</v>
      </c>
      <c r="I135" s="73">
        <v>-98.31</v>
      </c>
      <c r="J135" s="73">
        <v>0.01</v>
      </c>
      <c r="K135" s="73">
        <v>0.01</v>
      </c>
      <c r="L135" s="73">
        <v>0.56000000000000005</v>
      </c>
      <c r="M135" s="73">
        <v>0.56000000000000005</v>
      </c>
      <c r="N135" s="60"/>
    </row>
    <row r="136" spans="1:14">
      <c r="A136" s="60">
        <v>128</v>
      </c>
      <c r="B136" s="60" t="s">
        <v>596</v>
      </c>
      <c r="C136" s="60" t="s">
        <v>24</v>
      </c>
      <c r="D136" s="24">
        <v>1</v>
      </c>
      <c r="E136" s="24">
        <v>17</v>
      </c>
      <c r="F136" s="24">
        <v>1</v>
      </c>
      <c r="G136" s="24">
        <v>17</v>
      </c>
      <c r="H136" s="73">
        <v>-94.12</v>
      </c>
      <c r="I136" s="73">
        <v>-94.12</v>
      </c>
      <c r="J136" s="73">
        <v>0.01</v>
      </c>
      <c r="K136" s="73">
        <v>0.01</v>
      </c>
      <c r="L136" s="73">
        <v>0.16</v>
      </c>
      <c r="M136" s="73">
        <v>0.16</v>
      </c>
      <c r="N136" s="60"/>
    </row>
    <row r="137" spans="1:14">
      <c r="A137" s="60">
        <v>129</v>
      </c>
      <c r="B137" s="60" t="s">
        <v>450</v>
      </c>
      <c r="C137" s="60" t="s">
        <v>23</v>
      </c>
      <c r="D137" s="24">
        <v>1</v>
      </c>
      <c r="E137" s="24">
        <v>6</v>
      </c>
      <c r="F137" s="24">
        <v>1</v>
      </c>
      <c r="G137" s="24">
        <v>6</v>
      </c>
      <c r="H137" s="73">
        <v>-83.33</v>
      </c>
      <c r="I137" s="73">
        <v>-83.33</v>
      </c>
      <c r="J137" s="73">
        <v>0.01</v>
      </c>
      <c r="K137" s="73">
        <v>0.01</v>
      </c>
      <c r="L137" s="73">
        <v>0.06</v>
      </c>
      <c r="M137" s="73">
        <v>0.06</v>
      </c>
      <c r="N137" s="60"/>
    </row>
    <row r="138" spans="1:14">
      <c r="A138" s="60">
        <v>130</v>
      </c>
      <c r="B138" s="60" t="s">
        <v>403</v>
      </c>
      <c r="C138" s="60" t="s">
        <v>25</v>
      </c>
      <c r="D138" s="24">
        <v>1</v>
      </c>
      <c r="E138" s="24">
        <v>2</v>
      </c>
      <c r="F138" s="24">
        <v>1</v>
      </c>
      <c r="G138" s="24">
        <v>2</v>
      </c>
      <c r="H138" s="73">
        <v>-50</v>
      </c>
      <c r="I138" s="73">
        <v>-50</v>
      </c>
      <c r="J138" s="73">
        <v>0.01</v>
      </c>
      <c r="K138" s="73">
        <v>0.01</v>
      </c>
      <c r="L138" s="73">
        <v>0.02</v>
      </c>
      <c r="M138" s="73">
        <v>0.02</v>
      </c>
      <c r="N138" s="60"/>
    </row>
    <row r="139" spans="1:14">
      <c r="A139" s="60">
        <v>131</v>
      </c>
      <c r="B139" s="60" t="s">
        <v>521</v>
      </c>
      <c r="C139" s="60" t="s">
        <v>253</v>
      </c>
      <c r="D139" s="24">
        <v>1</v>
      </c>
      <c r="E139" s="24">
        <v>2</v>
      </c>
      <c r="F139" s="24">
        <v>1</v>
      </c>
      <c r="G139" s="24">
        <v>2</v>
      </c>
      <c r="H139" s="73">
        <v>-50</v>
      </c>
      <c r="I139" s="73">
        <v>-50</v>
      </c>
      <c r="J139" s="73">
        <v>0.01</v>
      </c>
      <c r="K139" s="73">
        <v>0.01</v>
      </c>
      <c r="L139" s="73">
        <v>0.02</v>
      </c>
      <c r="M139" s="73">
        <v>0.02</v>
      </c>
      <c r="N139" s="60"/>
    </row>
    <row r="140" spans="1:14">
      <c r="A140" s="60">
        <v>132</v>
      </c>
      <c r="B140" s="60" t="s">
        <v>409</v>
      </c>
      <c r="C140" s="60" t="s">
        <v>25</v>
      </c>
      <c r="D140" s="24">
        <v>1</v>
      </c>
      <c r="E140" s="24">
        <v>1</v>
      </c>
      <c r="F140" s="24">
        <v>1</v>
      </c>
      <c r="G140" s="24">
        <v>1</v>
      </c>
      <c r="H140" s="73">
        <v>0</v>
      </c>
      <c r="I140" s="73">
        <v>0</v>
      </c>
      <c r="J140" s="73">
        <v>0.01</v>
      </c>
      <c r="K140" s="73">
        <v>0.01</v>
      </c>
      <c r="L140" s="73">
        <v>0.01</v>
      </c>
      <c r="M140" s="73">
        <v>0.01</v>
      </c>
      <c r="N140" s="60"/>
    </row>
    <row r="141" spans="1:14">
      <c r="A141" s="60">
        <v>133</v>
      </c>
      <c r="B141" s="60" t="s">
        <v>527</v>
      </c>
      <c r="C141" s="60" t="s">
        <v>23</v>
      </c>
      <c r="D141" s="24">
        <v>1</v>
      </c>
      <c r="E141" s="24">
        <v>1</v>
      </c>
      <c r="F141" s="24">
        <v>1</v>
      </c>
      <c r="G141" s="24">
        <v>1</v>
      </c>
      <c r="H141" s="73">
        <v>0</v>
      </c>
      <c r="I141" s="73">
        <v>0</v>
      </c>
      <c r="J141" s="73">
        <v>0.01</v>
      </c>
      <c r="K141" s="73">
        <v>0.01</v>
      </c>
      <c r="L141" s="73">
        <v>0.01</v>
      </c>
      <c r="M141" s="73">
        <v>0.01</v>
      </c>
      <c r="N141" s="60"/>
    </row>
    <row r="142" spans="1:14">
      <c r="A142" s="60">
        <v>134</v>
      </c>
      <c r="B142" s="60" t="s">
        <v>465</v>
      </c>
      <c r="C142" s="60" t="s">
        <v>23</v>
      </c>
      <c r="D142" s="24">
        <v>1</v>
      </c>
      <c r="E142" s="24">
        <v>1</v>
      </c>
      <c r="F142" s="24">
        <v>1</v>
      </c>
      <c r="G142" s="24">
        <v>1</v>
      </c>
      <c r="H142" s="73">
        <v>0</v>
      </c>
      <c r="I142" s="73">
        <v>0</v>
      </c>
      <c r="J142" s="73">
        <v>0.01</v>
      </c>
      <c r="K142" s="73">
        <v>0.01</v>
      </c>
      <c r="L142" s="73">
        <v>0.01</v>
      </c>
      <c r="M142" s="73">
        <v>0.01</v>
      </c>
      <c r="N142" s="60"/>
    </row>
    <row r="143" spans="1:14">
      <c r="A143" s="60">
        <v>135</v>
      </c>
      <c r="B143" s="60" t="s">
        <v>1031</v>
      </c>
      <c r="C143" s="60" t="s">
        <v>23</v>
      </c>
      <c r="D143" s="24">
        <v>1</v>
      </c>
      <c r="E143" s="24">
        <v>0</v>
      </c>
      <c r="F143" s="24">
        <v>1</v>
      </c>
      <c r="G143" s="24">
        <v>0</v>
      </c>
      <c r="H143" s="73">
        <v>0</v>
      </c>
      <c r="I143" s="73">
        <v>0</v>
      </c>
      <c r="J143" s="73">
        <v>0.01</v>
      </c>
      <c r="K143" s="73">
        <v>0.01</v>
      </c>
      <c r="L143" s="73">
        <v>0</v>
      </c>
      <c r="M143" s="73">
        <v>0</v>
      </c>
      <c r="N143" s="60"/>
    </row>
    <row r="144" spans="1:14">
      <c r="A144" s="60">
        <v>136</v>
      </c>
      <c r="B144" s="60" t="s">
        <v>1113</v>
      </c>
      <c r="C144" s="60" t="s">
        <v>24</v>
      </c>
      <c r="D144" s="24">
        <v>1</v>
      </c>
      <c r="E144" s="24">
        <v>0</v>
      </c>
      <c r="F144" s="24">
        <v>1</v>
      </c>
      <c r="G144" s="24">
        <v>0</v>
      </c>
      <c r="H144" s="73">
        <v>0</v>
      </c>
      <c r="I144" s="73">
        <v>0</v>
      </c>
      <c r="J144" s="73">
        <v>0.01</v>
      </c>
      <c r="K144" s="73">
        <v>0.01</v>
      </c>
      <c r="L144" s="73">
        <v>0</v>
      </c>
      <c r="M144" s="73">
        <v>0</v>
      </c>
      <c r="N144" s="60"/>
    </row>
    <row r="145" spans="1:14">
      <c r="A145" s="60">
        <v>137</v>
      </c>
      <c r="B145" s="60" t="s">
        <v>1114</v>
      </c>
      <c r="C145" s="60" t="s">
        <v>23</v>
      </c>
      <c r="D145" s="24">
        <v>1</v>
      </c>
      <c r="E145" s="24">
        <v>0</v>
      </c>
      <c r="F145" s="24">
        <v>1</v>
      </c>
      <c r="G145" s="24">
        <v>0</v>
      </c>
      <c r="H145" s="73">
        <v>0</v>
      </c>
      <c r="I145" s="73">
        <v>0</v>
      </c>
      <c r="J145" s="73">
        <v>0.01</v>
      </c>
      <c r="K145" s="73">
        <v>0.01</v>
      </c>
      <c r="L145" s="73">
        <v>0</v>
      </c>
      <c r="M145" s="73">
        <v>0</v>
      </c>
      <c r="N145" s="60"/>
    </row>
    <row r="146" spans="1:14">
      <c r="A146" s="60">
        <v>138</v>
      </c>
      <c r="B146" s="60" t="s">
        <v>1060</v>
      </c>
      <c r="C146" s="60" t="s">
        <v>24</v>
      </c>
      <c r="D146" s="24">
        <v>1</v>
      </c>
      <c r="E146" s="24">
        <v>0</v>
      </c>
      <c r="F146" s="24">
        <v>1</v>
      </c>
      <c r="G146" s="24">
        <v>0</v>
      </c>
      <c r="H146" s="73">
        <v>0</v>
      </c>
      <c r="I146" s="73">
        <v>0</v>
      </c>
      <c r="J146" s="73">
        <v>0.01</v>
      </c>
      <c r="K146" s="73">
        <v>0.01</v>
      </c>
      <c r="L146" s="73">
        <v>0</v>
      </c>
      <c r="M146" s="73">
        <v>0</v>
      </c>
      <c r="N146" s="60"/>
    </row>
    <row r="147" spans="1:14">
      <c r="A147" s="60">
        <v>139</v>
      </c>
      <c r="B147" s="60" t="s">
        <v>629</v>
      </c>
      <c r="C147" s="60" t="s">
        <v>24</v>
      </c>
      <c r="D147" s="24">
        <v>0</v>
      </c>
      <c r="E147" s="24">
        <v>119</v>
      </c>
      <c r="F147" s="24">
        <v>0</v>
      </c>
      <c r="G147" s="24">
        <v>119</v>
      </c>
      <c r="H147" s="73">
        <v>-100</v>
      </c>
      <c r="I147" s="73">
        <v>-100</v>
      </c>
      <c r="J147" s="73">
        <v>0</v>
      </c>
      <c r="K147" s="73">
        <v>0</v>
      </c>
      <c r="L147" s="73">
        <v>1.1299999999999999</v>
      </c>
      <c r="M147" s="73">
        <v>1.1299999999999999</v>
      </c>
      <c r="N147" s="60"/>
    </row>
    <row r="148" spans="1:14">
      <c r="A148" s="60">
        <v>140</v>
      </c>
      <c r="B148" s="60" t="s">
        <v>667</v>
      </c>
      <c r="C148" s="60" t="s">
        <v>23</v>
      </c>
      <c r="D148" s="24">
        <v>0</v>
      </c>
      <c r="E148" s="24">
        <v>39</v>
      </c>
      <c r="F148" s="24">
        <v>0</v>
      </c>
      <c r="G148" s="24">
        <v>39</v>
      </c>
      <c r="H148" s="73">
        <v>-100</v>
      </c>
      <c r="I148" s="73">
        <v>-100</v>
      </c>
      <c r="J148" s="73">
        <v>0</v>
      </c>
      <c r="K148" s="73">
        <v>0</v>
      </c>
      <c r="L148" s="73">
        <v>0.37</v>
      </c>
      <c r="M148" s="73">
        <v>0.37</v>
      </c>
      <c r="N148" s="60"/>
    </row>
    <row r="149" spans="1:14">
      <c r="A149" s="60">
        <v>141</v>
      </c>
      <c r="B149" s="60" t="s">
        <v>632</v>
      </c>
      <c r="C149" s="60" t="s">
        <v>23</v>
      </c>
      <c r="D149" s="24">
        <v>0</v>
      </c>
      <c r="E149" s="24">
        <v>33</v>
      </c>
      <c r="F149" s="24">
        <v>0</v>
      </c>
      <c r="G149" s="24">
        <v>33</v>
      </c>
      <c r="H149" s="73">
        <v>-100</v>
      </c>
      <c r="I149" s="73">
        <v>-100</v>
      </c>
      <c r="J149" s="73">
        <v>0</v>
      </c>
      <c r="K149" s="73">
        <v>0</v>
      </c>
      <c r="L149" s="73">
        <v>0.31</v>
      </c>
      <c r="M149" s="73">
        <v>0.31</v>
      </c>
      <c r="N149" s="60"/>
    </row>
    <row r="150" spans="1:14">
      <c r="A150" s="60">
        <v>142</v>
      </c>
      <c r="B150" s="60" t="s">
        <v>159</v>
      </c>
      <c r="C150" s="60" t="s">
        <v>23</v>
      </c>
      <c r="D150" s="24">
        <v>0</v>
      </c>
      <c r="E150" s="24">
        <v>21</v>
      </c>
      <c r="F150" s="24">
        <v>0</v>
      </c>
      <c r="G150" s="24">
        <v>21</v>
      </c>
      <c r="H150" s="73">
        <v>-100</v>
      </c>
      <c r="I150" s="73">
        <v>-100</v>
      </c>
      <c r="J150" s="73">
        <v>0</v>
      </c>
      <c r="K150" s="73">
        <v>0</v>
      </c>
      <c r="L150" s="73">
        <v>0.2</v>
      </c>
      <c r="M150" s="73">
        <v>0.2</v>
      </c>
      <c r="N150" s="60"/>
    </row>
    <row r="151" spans="1:14">
      <c r="A151" s="60">
        <v>143</v>
      </c>
      <c r="B151" s="60" t="s">
        <v>466</v>
      </c>
      <c r="C151" s="60" t="s">
        <v>23</v>
      </c>
      <c r="D151" s="24">
        <v>0</v>
      </c>
      <c r="E151" s="24">
        <v>14</v>
      </c>
      <c r="F151" s="24">
        <v>0</v>
      </c>
      <c r="G151" s="24">
        <v>14</v>
      </c>
      <c r="H151" s="73">
        <v>-100</v>
      </c>
      <c r="I151" s="73">
        <v>-100</v>
      </c>
      <c r="J151" s="73">
        <v>0</v>
      </c>
      <c r="K151" s="73">
        <v>0</v>
      </c>
      <c r="L151" s="73">
        <v>0.13</v>
      </c>
      <c r="M151" s="73">
        <v>0.13</v>
      </c>
      <c r="N151" s="60"/>
    </row>
    <row r="152" spans="1:14">
      <c r="A152" s="60">
        <v>144</v>
      </c>
      <c r="B152" s="60" t="s">
        <v>252</v>
      </c>
      <c r="C152" s="60" t="s">
        <v>25</v>
      </c>
      <c r="D152" s="24">
        <v>0</v>
      </c>
      <c r="E152" s="24">
        <v>11</v>
      </c>
      <c r="F152" s="24">
        <v>0</v>
      </c>
      <c r="G152" s="24">
        <v>11</v>
      </c>
      <c r="H152" s="73">
        <v>-100</v>
      </c>
      <c r="I152" s="73">
        <v>-100</v>
      </c>
      <c r="J152" s="73">
        <v>0</v>
      </c>
      <c r="K152" s="73">
        <v>0</v>
      </c>
      <c r="L152" s="73">
        <v>0.1</v>
      </c>
      <c r="M152" s="73">
        <v>0.1</v>
      </c>
      <c r="N152" s="60"/>
    </row>
    <row r="153" spans="1:14">
      <c r="A153" s="60">
        <v>145</v>
      </c>
      <c r="B153" s="60" t="s">
        <v>451</v>
      </c>
      <c r="C153" s="60" t="s">
        <v>23</v>
      </c>
      <c r="D153" s="24">
        <v>0</v>
      </c>
      <c r="E153" s="24">
        <v>11</v>
      </c>
      <c r="F153" s="24">
        <v>0</v>
      </c>
      <c r="G153" s="24">
        <v>11</v>
      </c>
      <c r="H153" s="73">
        <v>-100</v>
      </c>
      <c r="I153" s="73">
        <v>-100</v>
      </c>
      <c r="J153" s="73">
        <v>0</v>
      </c>
      <c r="K153" s="73">
        <v>0</v>
      </c>
      <c r="L153" s="73">
        <v>0.1</v>
      </c>
      <c r="M153" s="73">
        <v>0.1</v>
      </c>
      <c r="N153" s="60"/>
    </row>
    <row r="154" spans="1:14">
      <c r="A154" s="60">
        <v>146</v>
      </c>
      <c r="B154" s="60" t="s">
        <v>377</v>
      </c>
      <c r="C154" s="60" t="s">
        <v>23</v>
      </c>
      <c r="D154" s="24">
        <v>0</v>
      </c>
      <c r="E154" s="24">
        <v>8</v>
      </c>
      <c r="F154" s="24">
        <v>0</v>
      </c>
      <c r="G154" s="24">
        <v>8</v>
      </c>
      <c r="H154" s="73">
        <v>-100</v>
      </c>
      <c r="I154" s="73">
        <v>-100</v>
      </c>
      <c r="J154" s="73">
        <v>0</v>
      </c>
      <c r="K154" s="73">
        <v>0</v>
      </c>
      <c r="L154" s="73">
        <v>0.08</v>
      </c>
      <c r="M154" s="73">
        <v>0.08</v>
      </c>
      <c r="N154" s="60"/>
    </row>
    <row r="155" spans="1:14">
      <c r="A155" s="60">
        <v>147</v>
      </c>
      <c r="B155" s="60" t="s">
        <v>151</v>
      </c>
      <c r="C155" s="60" t="s">
        <v>23</v>
      </c>
      <c r="D155" s="24">
        <v>0</v>
      </c>
      <c r="E155" s="24">
        <v>8</v>
      </c>
      <c r="F155" s="24">
        <v>0</v>
      </c>
      <c r="G155" s="24">
        <v>8</v>
      </c>
      <c r="H155" s="73">
        <v>-100</v>
      </c>
      <c r="I155" s="73">
        <v>-100</v>
      </c>
      <c r="J155" s="73">
        <v>0</v>
      </c>
      <c r="K155" s="73">
        <v>0</v>
      </c>
      <c r="L155" s="73">
        <v>0.08</v>
      </c>
      <c r="M155" s="73">
        <v>0.08</v>
      </c>
      <c r="N155" s="60"/>
    </row>
    <row r="156" spans="1:14">
      <c r="A156" s="60">
        <v>148</v>
      </c>
      <c r="B156" s="60" t="s">
        <v>447</v>
      </c>
      <c r="C156" s="60" t="s">
        <v>23</v>
      </c>
      <c r="D156" s="24">
        <v>0</v>
      </c>
      <c r="E156" s="24">
        <v>7</v>
      </c>
      <c r="F156" s="24">
        <v>0</v>
      </c>
      <c r="G156" s="24">
        <v>7</v>
      </c>
      <c r="H156" s="73">
        <v>-100</v>
      </c>
      <c r="I156" s="73">
        <v>-100</v>
      </c>
      <c r="J156" s="73">
        <v>0</v>
      </c>
      <c r="K156" s="73">
        <v>0</v>
      </c>
      <c r="L156" s="73">
        <v>7.0000000000000007E-2</v>
      </c>
      <c r="M156" s="73">
        <v>7.0000000000000007E-2</v>
      </c>
      <c r="N156" s="60"/>
    </row>
    <row r="157" spans="1:14">
      <c r="A157" s="60">
        <v>149</v>
      </c>
      <c r="B157" s="60" t="s">
        <v>448</v>
      </c>
      <c r="C157" s="60" t="s">
        <v>23</v>
      </c>
      <c r="D157" s="24">
        <v>0</v>
      </c>
      <c r="E157" s="24">
        <v>6</v>
      </c>
      <c r="F157" s="24">
        <v>0</v>
      </c>
      <c r="G157" s="24">
        <v>6</v>
      </c>
      <c r="H157" s="73">
        <v>-100</v>
      </c>
      <c r="I157" s="73">
        <v>-100</v>
      </c>
      <c r="J157" s="73">
        <v>0</v>
      </c>
      <c r="K157" s="73">
        <v>0</v>
      </c>
      <c r="L157" s="73">
        <v>0.06</v>
      </c>
      <c r="M157" s="73">
        <v>0.06</v>
      </c>
      <c r="N157" s="60"/>
    </row>
    <row r="158" spans="1:14">
      <c r="A158" s="60">
        <v>150</v>
      </c>
      <c r="B158" s="60" t="s">
        <v>682</v>
      </c>
      <c r="C158" s="60" t="s">
        <v>24</v>
      </c>
      <c r="D158" s="24">
        <v>0</v>
      </c>
      <c r="E158" s="24">
        <v>6</v>
      </c>
      <c r="F158" s="24">
        <v>0</v>
      </c>
      <c r="G158" s="24">
        <v>6</v>
      </c>
      <c r="H158" s="73">
        <v>-100</v>
      </c>
      <c r="I158" s="73">
        <v>-100</v>
      </c>
      <c r="J158" s="73">
        <v>0</v>
      </c>
      <c r="K158" s="73">
        <v>0</v>
      </c>
      <c r="L158" s="73">
        <v>0.06</v>
      </c>
      <c r="M158" s="73">
        <v>0.06</v>
      </c>
      <c r="N158" s="60"/>
    </row>
    <row r="159" spans="1:14">
      <c r="A159" s="60">
        <v>151</v>
      </c>
      <c r="B159" s="60" t="s">
        <v>249</v>
      </c>
      <c r="C159" s="60" t="s">
        <v>23</v>
      </c>
      <c r="D159" s="24">
        <v>0</v>
      </c>
      <c r="E159" s="24">
        <v>4</v>
      </c>
      <c r="F159" s="24">
        <v>0</v>
      </c>
      <c r="G159" s="24">
        <v>4</v>
      </c>
      <c r="H159" s="73">
        <v>-100</v>
      </c>
      <c r="I159" s="73">
        <v>-100</v>
      </c>
      <c r="J159" s="73">
        <v>0</v>
      </c>
      <c r="K159" s="73">
        <v>0</v>
      </c>
      <c r="L159" s="73">
        <v>0.04</v>
      </c>
      <c r="M159" s="73">
        <v>0.04</v>
      </c>
      <c r="N159" s="60"/>
    </row>
    <row r="160" spans="1:14">
      <c r="A160" s="60">
        <v>152</v>
      </c>
      <c r="B160" s="60" t="s">
        <v>529</v>
      </c>
      <c r="C160" s="60" t="s">
        <v>23</v>
      </c>
      <c r="D160" s="24">
        <v>0</v>
      </c>
      <c r="E160" s="24">
        <v>4</v>
      </c>
      <c r="F160" s="24">
        <v>0</v>
      </c>
      <c r="G160" s="24">
        <v>4</v>
      </c>
      <c r="H160" s="73">
        <v>-100</v>
      </c>
      <c r="I160" s="73">
        <v>-100</v>
      </c>
      <c r="J160" s="73">
        <v>0</v>
      </c>
      <c r="K160" s="73">
        <v>0</v>
      </c>
      <c r="L160" s="73">
        <v>0.04</v>
      </c>
      <c r="M160" s="73">
        <v>0.04</v>
      </c>
      <c r="N160" s="60"/>
    </row>
    <row r="161" spans="1:14">
      <c r="A161" s="60">
        <v>153</v>
      </c>
      <c r="B161" s="60" t="s">
        <v>245</v>
      </c>
      <c r="C161" s="60" t="s">
        <v>23</v>
      </c>
      <c r="D161" s="24">
        <v>0</v>
      </c>
      <c r="E161" s="24">
        <v>4</v>
      </c>
      <c r="F161" s="24">
        <v>0</v>
      </c>
      <c r="G161" s="24">
        <v>4</v>
      </c>
      <c r="H161" s="73">
        <v>-100</v>
      </c>
      <c r="I161" s="73">
        <v>-100</v>
      </c>
      <c r="J161" s="73">
        <v>0</v>
      </c>
      <c r="K161" s="73">
        <v>0</v>
      </c>
      <c r="L161" s="73">
        <v>0.04</v>
      </c>
      <c r="M161" s="73">
        <v>0.04</v>
      </c>
      <c r="N161" s="60"/>
    </row>
    <row r="162" spans="1:14">
      <c r="A162" s="60">
        <v>154</v>
      </c>
      <c r="B162" s="60" t="s">
        <v>244</v>
      </c>
      <c r="C162" s="60" t="s">
        <v>23</v>
      </c>
      <c r="D162" s="24">
        <v>0</v>
      </c>
      <c r="E162" s="24">
        <v>4</v>
      </c>
      <c r="F162" s="24">
        <v>0</v>
      </c>
      <c r="G162" s="24">
        <v>4</v>
      </c>
      <c r="H162" s="73">
        <v>-100</v>
      </c>
      <c r="I162" s="73">
        <v>-100</v>
      </c>
      <c r="J162" s="73">
        <v>0</v>
      </c>
      <c r="K162" s="73">
        <v>0</v>
      </c>
      <c r="L162" s="73">
        <v>0.04</v>
      </c>
      <c r="M162" s="73">
        <v>0.04</v>
      </c>
      <c r="N162" s="60"/>
    </row>
    <row r="163" spans="1:14">
      <c r="A163" s="60">
        <v>155</v>
      </c>
      <c r="B163" s="60" t="s">
        <v>371</v>
      </c>
      <c r="C163" s="60" t="s">
        <v>23</v>
      </c>
      <c r="D163" s="24">
        <v>0</v>
      </c>
      <c r="E163" s="24">
        <v>4</v>
      </c>
      <c r="F163" s="24">
        <v>0</v>
      </c>
      <c r="G163" s="24">
        <v>4</v>
      </c>
      <c r="H163" s="73">
        <v>-100</v>
      </c>
      <c r="I163" s="73">
        <v>-100</v>
      </c>
      <c r="J163" s="73">
        <v>0</v>
      </c>
      <c r="K163" s="73">
        <v>0</v>
      </c>
      <c r="L163" s="73">
        <v>0.04</v>
      </c>
      <c r="M163" s="73">
        <v>0.04</v>
      </c>
      <c r="N163" s="60"/>
    </row>
    <row r="164" spans="1:14">
      <c r="A164" s="60">
        <v>156</v>
      </c>
      <c r="B164" s="60" t="s">
        <v>459</v>
      </c>
      <c r="C164" s="60" t="s">
        <v>24</v>
      </c>
      <c r="D164" s="24">
        <v>0</v>
      </c>
      <c r="E164" s="24">
        <v>3</v>
      </c>
      <c r="F164" s="24">
        <v>0</v>
      </c>
      <c r="G164" s="24">
        <v>3</v>
      </c>
      <c r="H164" s="73">
        <v>-100</v>
      </c>
      <c r="I164" s="73">
        <v>-100</v>
      </c>
      <c r="J164" s="73">
        <v>0</v>
      </c>
      <c r="K164" s="73">
        <v>0</v>
      </c>
      <c r="L164" s="73">
        <v>0.03</v>
      </c>
      <c r="M164" s="73">
        <v>0.03</v>
      </c>
      <c r="N164" s="60"/>
    </row>
    <row r="165" spans="1:14">
      <c r="A165" s="60">
        <v>157</v>
      </c>
      <c r="B165" s="60" t="s">
        <v>410</v>
      </c>
      <c r="C165" s="60" t="s">
        <v>23</v>
      </c>
      <c r="D165" s="24">
        <v>0</v>
      </c>
      <c r="E165" s="24">
        <v>3</v>
      </c>
      <c r="F165" s="24">
        <v>0</v>
      </c>
      <c r="G165" s="24">
        <v>3</v>
      </c>
      <c r="H165" s="73">
        <v>-100</v>
      </c>
      <c r="I165" s="73">
        <v>-100</v>
      </c>
      <c r="J165" s="73">
        <v>0</v>
      </c>
      <c r="K165" s="73">
        <v>0</v>
      </c>
      <c r="L165" s="73">
        <v>0.03</v>
      </c>
      <c r="M165" s="73">
        <v>0.03</v>
      </c>
      <c r="N165" s="60"/>
    </row>
    <row r="166" spans="1:14">
      <c r="A166" s="60">
        <v>158</v>
      </c>
      <c r="B166" s="60" t="s">
        <v>206</v>
      </c>
      <c r="C166" s="60" t="s">
        <v>25</v>
      </c>
      <c r="D166" s="24">
        <v>0</v>
      </c>
      <c r="E166" s="24">
        <v>3</v>
      </c>
      <c r="F166" s="24">
        <v>0</v>
      </c>
      <c r="G166" s="24">
        <v>3</v>
      </c>
      <c r="H166" s="73">
        <v>-100</v>
      </c>
      <c r="I166" s="73">
        <v>-100</v>
      </c>
      <c r="J166" s="73">
        <v>0</v>
      </c>
      <c r="K166" s="73">
        <v>0</v>
      </c>
      <c r="L166" s="73">
        <v>0.03</v>
      </c>
      <c r="M166" s="73">
        <v>0.03</v>
      </c>
      <c r="N166" s="60"/>
    </row>
    <row r="167" spans="1:14">
      <c r="A167" s="60">
        <v>159</v>
      </c>
      <c r="B167" s="60" t="s">
        <v>456</v>
      </c>
      <c r="C167" s="60" t="s">
        <v>23</v>
      </c>
      <c r="D167" s="24">
        <v>0</v>
      </c>
      <c r="E167" s="24">
        <v>3</v>
      </c>
      <c r="F167" s="24">
        <v>0</v>
      </c>
      <c r="G167" s="24">
        <v>3</v>
      </c>
      <c r="H167" s="73">
        <v>-100</v>
      </c>
      <c r="I167" s="73">
        <v>-100</v>
      </c>
      <c r="J167" s="73">
        <v>0</v>
      </c>
      <c r="K167" s="73">
        <v>0</v>
      </c>
      <c r="L167" s="73">
        <v>0.03</v>
      </c>
      <c r="M167" s="73">
        <v>0.03</v>
      </c>
      <c r="N167" s="60"/>
    </row>
    <row r="168" spans="1:14">
      <c r="A168" s="60">
        <v>160</v>
      </c>
      <c r="B168" s="60" t="s">
        <v>595</v>
      </c>
      <c r="C168" s="60" t="s">
        <v>24</v>
      </c>
      <c r="D168" s="24">
        <v>0</v>
      </c>
      <c r="E168" s="24">
        <v>3</v>
      </c>
      <c r="F168" s="24">
        <v>0</v>
      </c>
      <c r="G168" s="24">
        <v>3</v>
      </c>
      <c r="H168" s="73">
        <v>-100</v>
      </c>
      <c r="I168" s="73">
        <v>-100</v>
      </c>
      <c r="J168" s="73">
        <v>0</v>
      </c>
      <c r="K168" s="73">
        <v>0</v>
      </c>
      <c r="L168" s="73">
        <v>0.03</v>
      </c>
      <c r="M168" s="73">
        <v>0.03</v>
      </c>
      <c r="N168" s="60"/>
    </row>
    <row r="169" spans="1:14">
      <c r="A169" s="60">
        <v>161</v>
      </c>
      <c r="B169" s="60" t="s">
        <v>532</v>
      </c>
      <c r="C169" s="60" t="s">
        <v>23</v>
      </c>
      <c r="D169" s="24">
        <v>0</v>
      </c>
      <c r="E169" s="24">
        <v>2</v>
      </c>
      <c r="F169" s="24">
        <v>0</v>
      </c>
      <c r="G169" s="24">
        <v>2</v>
      </c>
      <c r="H169" s="73">
        <v>-100</v>
      </c>
      <c r="I169" s="73">
        <v>-100</v>
      </c>
      <c r="J169" s="73">
        <v>0</v>
      </c>
      <c r="K169" s="73">
        <v>0</v>
      </c>
      <c r="L169" s="73">
        <v>0.02</v>
      </c>
      <c r="M169" s="73">
        <v>0.02</v>
      </c>
      <c r="N169" s="60"/>
    </row>
    <row r="170" spans="1:14">
      <c r="A170" s="60">
        <v>162</v>
      </c>
      <c r="B170" s="60" t="s">
        <v>648</v>
      </c>
      <c r="C170" s="60" t="s">
        <v>24</v>
      </c>
      <c r="D170" s="24">
        <v>0</v>
      </c>
      <c r="E170" s="24">
        <v>2</v>
      </c>
      <c r="F170" s="24">
        <v>0</v>
      </c>
      <c r="G170" s="24">
        <v>2</v>
      </c>
      <c r="H170" s="73">
        <v>-100</v>
      </c>
      <c r="I170" s="73">
        <v>-100</v>
      </c>
      <c r="J170" s="73">
        <v>0</v>
      </c>
      <c r="K170" s="73">
        <v>0</v>
      </c>
      <c r="L170" s="73">
        <v>0.02</v>
      </c>
      <c r="M170" s="73">
        <v>0.02</v>
      </c>
      <c r="N170" s="60"/>
    </row>
    <row r="171" spans="1:14">
      <c r="A171" s="60">
        <v>163</v>
      </c>
      <c r="B171" s="60" t="s">
        <v>609</v>
      </c>
      <c r="C171" s="60" t="s">
        <v>24</v>
      </c>
      <c r="D171" s="24">
        <v>0</v>
      </c>
      <c r="E171" s="24">
        <v>1</v>
      </c>
      <c r="F171" s="24">
        <v>0</v>
      </c>
      <c r="G171" s="24">
        <v>1</v>
      </c>
      <c r="H171" s="73">
        <v>-100</v>
      </c>
      <c r="I171" s="73">
        <v>-100</v>
      </c>
      <c r="J171" s="73">
        <v>0</v>
      </c>
      <c r="K171" s="73">
        <v>0</v>
      </c>
      <c r="L171" s="73">
        <v>0.01</v>
      </c>
      <c r="M171" s="73">
        <v>0.01</v>
      </c>
      <c r="N171" s="60"/>
    </row>
    <row r="172" spans="1:14">
      <c r="A172" s="60">
        <v>164</v>
      </c>
      <c r="B172" s="60" t="s">
        <v>431</v>
      </c>
      <c r="C172" s="60" t="s">
        <v>23</v>
      </c>
      <c r="D172" s="24">
        <v>0</v>
      </c>
      <c r="E172" s="24">
        <v>1</v>
      </c>
      <c r="F172" s="24">
        <v>0</v>
      </c>
      <c r="G172" s="24">
        <v>1</v>
      </c>
      <c r="H172" s="73">
        <v>-100</v>
      </c>
      <c r="I172" s="73">
        <v>-100</v>
      </c>
      <c r="J172" s="73">
        <v>0</v>
      </c>
      <c r="K172" s="73">
        <v>0</v>
      </c>
      <c r="L172" s="73">
        <v>0.01</v>
      </c>
      <c r="M172" s="73">
        <v>0.01</v>
      </c>
      <c r="N172" s="60"/>
    </row>
    <row r="173" spans="1:14">
      <c r="A173" s="60">
        <v>165</v>
      </c>
      <c r="B173" s="60" t="s">
        <v>182</v>
      </c>
      <c r="C173" s="60" t="s">
        <v>23</v>
      </c>
      <c r="D173" s="24">
        <v>0</v>
      </c>
      <c r="E173" s="24">
        <v>1</v>
      </c>
      <c r="F173" s="24">
        <v>0</v>
      </c>
      <c r="G173" s="24">
        <v>1</v>
      </c>
      <c r="H173" s="73">
        <v>-100</v>
      </c>
      <c r="I173" s="73">
        <v>-100</v>
      </c>
      <c r="J173" s="73">
        <v>0</v>
      </c>
      <c r="K173" s="73">
        <v>0</v>
      </c>
      <c r="L173" s="73">
        <v>0.01</v>
      </c>
      <c r="M173" s="73">
        <v>0.01</v>
      </c>
      <c r="N173" s="60"/>
    </row>
    <row r="174" spans="1:14">
      <c r="A174" s="60">
        <v>166</v>
      </c>
      <c r="B174" s="60" t="s">
        <v>587</v>
      </c>
      <c r="C174" s="60" t="s">
        <v>23</v>
      </c>
      <c r="D174" s="24">
        <v>0</v>
      </c>
      <c r="E174" s="24">
        <v>1</v>
      </c>
      <c r="F174" s="24">
        <v>0</v>
      </c>
      <c r="G174" s="24">
        <v>1</v>
      </c>
      <c r="H174" s="73">
        <v>-100</v>
      </c>
      <c r="I174" s="73">
        <v>-100</v>
      </c>
      <c r="J174" s="73">
        <v>0</v>
      </c>
      <c r="K174" s="73">
        <v>0</v>
      </c>
      <c r="L174" s="73">
        <v>0.01</v>
      </c>
      <c r="M174" s="73">
        <v>0.01</v>
      </c>
      <c r="N174" s="60"/>
    </row>
    <row r="175" spans="1:14">
      <c r="A175" s="60">
        <v>167</v>
      </c>
      <c r="B175" s="60" t="s">
        <v>524</v>
      </c>
      <c r="C175" s="60" t="s">
        <v>23</v>
      </c>
      <c r="D175" s="24">
        <v>0</v>
      </c>
      <c r="E175" s="24">
        <v>1</v>
      </c>
      <c r="F175" s="24">
        <v>0</v>
      </c>
      <c r="G175" s="24">
        <v>1</v>
      </c>
      <c r="H175" s="73">
        <v>-100</v>
      </c>
      <c r="I175" s="73">
        <v>-100</v>
      </c>
      <c r="J175" s="73">
        <v>0</v>
      </c>
      <c r="K175" s="73">
        <v>0</v>
      </c>
      <c r="L175" s="73">
        <v>0.01</v>
      </c>
      <c r="M175" s="73">
        <v>0.01</v>
      </c>
      <c r="N175" s="60"/>
    </row>
    <row r="176" spans="1:14">
      <c r="A176" s="60">
        <v>168</v>
      </c>
      <c r="B176" s="60" t="s">
        <v>463</v>
      </c>
      <c r="C176" s="60" t="s">
        <v>23</v>
      </c>
      <c r="D176" s="24">
        <v>0</v>
      </c>
      <c r="E176" s="24">
        <v>1</v>
      </c>
      <c r="F176" s="24">
        <v>0</v>
      </c>
      <c r="G176" s="24">
        <v>1</v>
      </c>
      <c r="H176" s="73">
        <v>-100</v>
      </c>
      <c r="I176" s="73">
        <v>-100</v>
      </c>
      <c r="J176" s="73">
        <v>0</v>
      </c>
      <c r="K176" s="73">
        <v>0</v>
      </c>
      <c r="L176" s="73">
        <v>0.01</v>
      </c>
      <c r="M176" s="73">
        <v>0.01</v>
      </c>
      <c r="N176" s="60"/>
    </row>
    <row r="177" spans="1:14">
      <c r="A177" s="60">
        <v>169</v>
      </c>
      <c r="B177" s="60" t="s">
        <v>467</v>
      </c>
      <c r="C177" s="60" t="s">
        <v>24</v>
      </c>
      <c r="D177" s="24">
        <v>1</v>
      </c>
      <c r="E177" s="24">
        <v>29</v>
      </c>
      <c r="F177" s="24">
        <v>1</v>
      </c>
      <c r="G177" s="24">
        <v>29</v>
      </c>
      <c r="H177" s="73">
        <v>-96.55</v>
      </c>
      <c r="I177" s="73">
        <v>-96.55</v>
      </c>
      <c r="J177" s="73">
        <v>0.01</v>
      </c>
      <c r="K177" s="73">
        <v>0.01</v>
      </c>
      <c r="L177" s="73">
        <v>0.28000000000000003</v>
      </c>
      <c r="M177" s="73">
        <v>0.28000000000000003</v>
      </c>
      <c r="N177" s="60"/>
    </row>
    <row r="178" spans="1:14">
      <c r="A178" s="162"/>
      <c r="B178" s="162" t="s">
        <v>485</v>
      </c>
      <c r="C178" s="162"/>
      <c r="D178" s="169">
        <f>SUBTOTAL(109,getAggKlimatBonusModels[antalPerioden])</f>
        <v>7546</v>
      </c>
      <c r="E178" s="169">
        <f>SUBTOTAL(109,getAggKlimatBonusModels[antalFGPeriod])</f>
        <v>10526</v>
      </c>
      <c r="F178" s="169">
        <f>SUBTOTAL(109,getAggKlimatBonusModels[antalÅret])</f>
        <v>7546</v>
      </c>
      <c r="G178" s="169">
        <f>SUBTOTAL(109,getAggKlimatBonusModels[antalFGAr])</f>
        <v>10526</v>
      </c>
      <c r="H178" s="171">
        <f>IF(getAggKlimatBonusModels[[#Totals],[antalFGPeriod]] &gt; 0,( getAggKlimatBonusModels[[#Totals],[antalPerioden]] - getAggKlimatBonusModels[[#Totals],[antalFGPeriod]] ) / getAggKlimatBonusModels[[#Totals],[antalFGPeriod]] * 100,0)</f>
        <v>-28.310849325479765</v>
      </c>
      <c r="I178" s="171">
        <f>IF(getAggKlimatBonusModels[[#Totals],[antalFGAr]] &gt; 0,( getAggKlimatBonusModels[[#Totals],[antalÅret]] - getAggKlimatBonusModels[[#Totals],[antalFGAr]] ) / getAggKlimatBonusModels[[#Totals],[antalFGAr]] * 100,0)</f>
        <v>-28.310849325479765</v>
      </c>
      <c r="J178" s="172">
        <f>IF(getAggModelsPB[[#Totals],[antalPerioden]] &gt; 0,getAggKlimatBonusModels[[#Totals],[antalPerioden]]  / getAggModelsPB[[#Totals],[antalPerioden]] * 100,0)</f>
        <v>51.681391685500991</v>
      </c>
      <c r="K178" s="172">
        <f>IF(getAggModelsPB[[#Totals],[antalÅret]] &gt; 0,getAggKlimatBonusModels[[#Totals],[antalÅret]]  / getAggModelsPB[[#Totals],[antalÅret]] * 100,0)</f>
        <v>51.681391685500991</v>
      </c>
      <c r="L178" s="172">
        <f>IF(getAggModelsPB[[#Totals],[antalFGPeriod]] &gt; 0,getAggKlimatBonusModels[[#Totals],[antalFGPeriod]]  / getAggModelsPB[[#Totals],[antalFGPeriod]] * 100,0)</f>
        <v>52.913085004775553</v>
      </c>
      <c r="M178" s="172">
        <f>IF(getAggModelsPB[[#Totals],[antalFGAr]] &gt; 0,getAggKlimatBonusModels[[#Totals],[antalFGAr]]  / getAggModelsPB[[#Totals],[antalFGAr]] * 100,0)</f>
        <v>52.913085004775553</v>
      </c>
      <c r="N178" s="60"/>
    </row>
    <row r="179" spans="1:14">
      <c r="A179" s="162"/>
      <c r="B179" s="162"/>
      <c r="C179" s="162"/>
      <c r="D179" s="169"/>
      <c r="E179" s="169"/>
      <c r="F179" s="169"/>
      <c r="G179" s="169"/>
      <c r="H179" s="171"/>
      <c r="I179" s="171"/>
      <c r="J179" s="172"/>
      <c r="K179" s="172"/>
      <c r="L179" s="172"/>
      <c r="M179" s="172"/>
      <c r="N179" s="60"/>
    </row>
    <row r="180" spans="1:14">
      <c r="A180" s="60"/>
      <c r="B180" s="60"/>
      <c r="C180" s="60"/>
      <c r="D180" s="24"/>
      <c r="E180" s="24"/>
      <c r="F180" s="24"/>
      <c r="G180" s="24"/>
      <c r="H180" s="73"/>
      <c r="I180" s="73"/>
      <c r="J180" s="73"/>
      <c r="K180" s="73"/>
      <c r="L180" s="73"/>
      <c r="M180" s="73"/>
      <c r="N180" s="60"/>
    </row>
    <row r="181" spans="1:14">
      <c r="A181" t="s">
        <v>716</v>
      </c>
      <c r="B181" s="162"/>
      <c r="C181" s="162"/>
      <c r="D181" s="169"/>
      <c r="E181" s="169"/>
      <c r="F181" s="169"/>
      <c r="G181" s="169"/>
      <c r="H181" s="171"/>
      <c r="I181" s="171"/>
      <c r="J181" s="171"/>
      <c r="K181" s="171"/>
      <c r="L181" s="171"/>
      <c r="M181" s="171"/>
      <c r="N181" s="60"/>
    </row>
    <row r="182" spans="1:14">
      <c r="A182" s="162"/>
      <c r="B182" s="162"/>
      <c r="C182" s="162"/>
      <c r="D182" s="169"/>
      <c r="E182" s="169"/>
      <c r="F182" s="169"/>
      <c r="G182" s="169"/>
      <c r="H182" s="171"/>
      <c r="I182" s="171"/>
      <c r="J182" s="171"/>
      <c r="K182" s="171"/>
      <c r="L182" s="171"/>
      <c r="M182" s="171"/>
      <c r="N182" s="60"/>
    </row>
    <row r="183" spans="1:14">
      <c r="A183" s="162"/>
      <c r="B183" s="162"/>
      <c r="C183" s="162"/>
      <c r="D183" s="169"/>
      <c r="E183" s="169"/>
      <c r="F183" s="169"/>
      <c r="G183" s="169"/>
      <c r="H183" s="171"/>
      <c r="I183" s="171"/>
      <c r="J183" s="171"/>
      <c r="K183" s="171"/>
      <c r="L183" s="171"/>
      <c r="M183" s="171"/>
      <c r="N183" s="60"/>
    </row>
    <row r="184" spans="1:14">
      <c r="A184" s="162"/>
      <c r="B184" s="162"/>
      <c r="C184" s="162"/>
      <c r="D184" s="169"/>
      <c r="E184" s="169"/>
      <c r="F184" s="169"/>
      <c r="G184" s="169"/>
      <c r="H184" s="171"/>
      <c r="I184" s="171"/>
      <c r="J184" s="171"/>
      <c r="K184" s="171"/>
      <c r="L184" s="171"/>
      <c r="M184" s="171"/>
      <c r="N184" s="60"/>
    </row>
    <row r="185" spans="1:14">
      <c r="A185" s="162"/>
      <c r="B185" s="162"/>
      <c r="C185" s="162"/>
      <c r="D185" s="169"/>
      <c r="E185" s="169"/>
      <c r="F185" s="169"/>
      <c r="G185" s="169"/>
      <c r="H185" s="171"/>
      <c r="I185" s="171"/>
      <c r="J185" s="171"/>
      <c r="K185" s="171"/>
      <c r="L185" s="171"/>
      <c r="M185" s="171"/>
      <c r="N185" s="60"/>
    </row>
    <row r="186" spans="1:14">
      <c r="A186" s="162"/>
      <c r="B186" s="162"/>
      <c r="C186" s="162"/>
      <c r="D186" s="169"/>
      <c r="E186" s="169"/>
      <c r="F186" s="169"/>
      <c r="G186" s="169"/>
      <c r="H186" s="171"/>
      <c r="I186" s="171"/>
      <c r="J186" s="171"/>
      <c r="K186" s="171"/>
      <c r="L186" s="171"/>
      <c r="M186" s="171"/>
      <c r="N186" s="60"/>
    </row>
    <row r="187" spans="1:14">
      <c r="A187" s="162"/>
      <c r="B187" s="162"/>
      <c r="C187" s="162"/>
      <c r="D187" s="169"/>
      <c r="E187" s="169"/>
      <c r="F187" s="169"/>
      <c r="G187" s="169"/>
      <c r="H187" s="171"/>
      <c r="I187" s="171"/>
      <c r="J187" s="171"/>
      <c r="K187" s="171"/>
      <c r="L187" s="171"/>
      <c r="M187" s="171"/>
      <c r="N187" s="60"/>
    </row>
    <row r="188" spans="1:14">
      <c r="A188" s="162"/>
      <c r="B188" s="162"/>
      <c r="C188" s="162"/>
      <c r="D188" s="169"/>
      <c r="E188" s="169"/>
      <c r="F188" s="169"/>
      <c r="G188" s="169"/>
      <c r="H188" s="171"/>
      <c r="I188" s="171"/>
      <c r="J188" s="171"/>
      <c r="K188" s="171"/>
      <c r="L188" s="171"/>
      <c r="M188" s="171"/>
      <c r="N188" s="60"/>
    </row>
    <row r="189" spans="1:14">
      <c r="A189" s="162"/>
      <c r="B189" s="162"/>
      <c r="C189" s="162"/>
      <c r="D189" s="169"/>
      <c r="E189" s="169"/>
      <c r="F189" s="169"/>
      <c r="G189" s="169"/>
      <c r="H189" s="171"/>
      <c r="I189" s="171"/>
      <c r="J189" s="171"/>
      <c r="K189" s="171"/>
      <c r="L189" s="171"/>
      <c r="M189" s="171"/>
      <c r="N189" s="60"/>
    </row>
    <row r="190" spans="1:14">
      <c r="A190" s="162"/>
      <c r="B190" s="162"/>
      <c r="C190" s="162"/>
      <c r="D190" s="169"/>
      <c r="E190" s="169"/>
      <c r="F190" s="169"/>
      <c r="G190" s="169"/>
      <c r="H190" s="171"/>
      <c r="I190" s="171"/>
      <c r="J190" s="171"/>
      <c r="K190" s="171"/>
      <c r="L190" s="171"/>
      <c r="M190" s="171"/>
      <c r="N190" s="60"/>
    </row>
    <row r="191" spans="1:14">
      <c r="A191" s="162"/>
      <c r="B191" s="162"/>
      <c r="C191" s="162"/>
      <c r="D191" s="169"/>
      <c r="E191" s="169"/>
      <c r="F191" s="169"/>
      <c r="G191" s="169"/>
      <c r="H191" s="171"/>
      <c r="I191" s="171"/>
      <c r="J191" s="171"/>
      <c r="K191" s="171"/>
      <c r="L191" s="171"/>
      <c r="M191" s="171"/>
      <c r="N191" s="60"/>
    </row>
    <row r="192" spans="1:14">
      <c r="A192" s="162"/>
      <c r="B192" s="162"/>
      <c r="C192" s="162"/>
      <c r="D192" s="169"/>
      <c r="E192" s="169"/>
      <c r="F192" s="169"/>
      <c r="G192" s="169"/>
      <c r="H192" s="171"/>
      <c r="I192" s="171"/>
      <c r="J192" s="171"/>
      <c r="K192" s="171"/>
      <c r="L192" s="171"/>
      <c r="M192" s="171"/>
      <c r="N192" s="60"/>
    </row>
    <row r="193" spans="1:14">
      <c r="A193" s="162"/>
      <c r="B193" s="162"/>
      <c r="C193" s="162"/>
      <c r="D193" s="169"/>
      <c r="E193" s="169"/>
      <c r="F193" s="169"/>
      <c r="G193" s="169"/>
      <c r="H193" s="171"/>
      <c r="I193" s="171"/>
      <c r="J193" s="171"/>
      <c r="K193" s="171"/>
      <c r="L193" s="171"/>
      <c r="M193" s="171"/>
      <c r="N193" s="60"/>
    </row>
    <row r="194" spans="1:14">
      <c r="A194" s="162"/>
      <c r="B194" s="162"/>
      <c r="C194" s="162"/>
      <c r="D194" s="169"/>
      <c r="E194" s="169"/>
      <c r="F194" s="169"/>
      <c r="G194" s="169"/>
      <c r="H194" s="171"/>
      <c r="I194" s="171"/>
      <c r="J194" s="171"/>
      <c r="K194" s="171"/>
      <c r="L194" s="171"/>
      <c r="M194" s="171"/>
      <c r="N194" s="60"/>
    </row>
    <row r="195" spans="1:14">
      <c r="A195" s="162"/>
      <c r="B195" s="162"/>
      <c r="C195" s="162"/>
      <c r="D195" s="169"/>
      <c r="E195" s="169"/>
      <c r="F195" s="169"/>
      <c r="G195" s="169"/>
      <c r="H195" s="171"/>
      <c r="I195" s="171"/>
      <c r="J195" s="171"/>
      <c r="K195" s="171"/>
      <c r="L195" s="171"/>
      <c r="M195" s="171"/>
      <c r="N195" s="60"/>
    </row>
    <row r="196" spans="1:14">
      <c r="A196" s="162"/>
      <c r="B196" s="162"/>
      <c r="C196" s="162"/>
      <c r="D196" s="169"/>
      <c r="E196" s="169"/>
      <c r="F196" s="169"/>
      <c r="G196" s="169"/>
      <c r="H196" s="171"/>
      <c r="I196" s="171"/>
      <c r="J196" s="171"/>
      <c r="K196" s="171"/>
      <c r="L196" s="171"/>
      <c r="M196" s="171"/>
      <c r="N196" s="60"/>
    </row>
    <row r="197" spans="1:14">
      <c r="A197" s="162"/>
      <c r="B197" s="162"/>
      <c r="C197" s="162"/>
      <c r="D197" s="169"/>
      <c r="E197" s="169"/>
      <c r="F197" s="169"/>
      <c r="G197" s="169"/>
      <c r="H197" s="171"/>
      <c r="I197" s="171"/>
      <c r="J197" s="171"/>
      <c r="K197" s="171"/>
      <c r="L197" s="171"/>
      <c r="M197" s="171"/>
    </row>
    <row r="198" spans="1:14">
      <c r="A198" s="162"/>
      <c r="B198" s="162"/>
      <c r="C198" s="162"/>
      <c r="D198" s="169"/>
      <c r="E198" s="169"/>
      <c r="F198" s="169"/>
      <c r="G198" s="169"/>
      <c r="H198" s="171"/>
      <c r="I198" s="171"/>
      <c r="J198" s="171"/>
      <c r="K198" s="171"/>
      <c r="L198" s="171"/>
      <c r="M198" s="171"/>
    </row>
    <row r="199" spans="1:14">
      <c r="A199" s="162"/>
      <c r="B199" s="162"/>
      <c r="C199" s="162"/>
      <c r="D199" s="169"/>
      <c r="E199" s="169"/>
      <c r="F199" s="169"/>
      <c r="G199" s="169"/>
      <c r="H199" s="171"/>
      <c r="I199" s="171"/>
      <c r="J199" s="171"/>
      <c r="K199" s="171"/>
      <c r="L199" s="171"/>
      <c r="M199" s="171"/>
    </row>
    <row r="200" spans="1:14">
      <c r="A200" s="162"/>
      <c r="B200" s="162"/>
      <c r="C200" s="162"/>
      <c r="D200" s="169"/>
      <c r="E200" s="169"/>
      <c r="F200" s="169"/>
      <c r="G200" s="169"/>
      <c r="H200" s="171"/>
      <c r="I200" s="171"/>
      <c r="J200" s="171"/>
      <c r="K200" s="171"/>
      <c r="L200" s="171"/>
      <c r="M200" s="171"/>
    </row>
    <row r="201" spans="1:14">
      <c r="A201" s="162"/>
      <c r="B201" s="162"/>
      <c r="C201" s="162"/>
      <c r="D201" s="169"/>
      <c r="E201" s="169"/>
      <c r="F201" s="169"/>
      <c r="G201" s="169"/>
      <c r="H201" s="171"/>
      <c r="I201" s="171"/>
      <c r="J201" s="171"/>
      <c r="K201" s="171"/>
      <c r="L201" s="171"/>
      <c r="M201" s="171"/>
    </row>
    <row r="202" spans="1:14">
      <c r="A202" s="162"/>
      <c r="B202" s="162"/>
      <c r="C202" s="162"/>
      <c r="D202" s="169"/>
      <c r="E202" s="169"/>
      <c r="F202" s="169"/>
      <c r="G202" s="169"/>
      <c r="H202" s="171"/>
      <c r="I202" s="171"/>
      <c r="J202" s="171"/>
      <c r="K202" s="171"/>
      <c r="L202" s="171"/>
      <c r="M202" s="171"/>
    </row>
    <row r="203" spans="1:14">
      <c r="A203" s="162"/>
      <c r="B203" s="162"/>
      <c r="C203" s="162"/>
      <c r="D203" s="169"/>
      <c r="E203" s="169"/>
      <c r="F203" s="169"/>
      <c r="G203" s="169"/>
      <c r="H203" s="171"/>
      <c r="I203" s="171"/>
      <c r="J203" s="171"/>
      <c r="K203" s="171"/>
      <c r="L203" s="171"/>
      <c r="M203" s="171"/>
    </row>
    <row r="204" spans="1:14">
      <c r="A204" s="162"/>
      <c r="B204" s="162"/>
      <c r="C204" s="162"/>
      <c r="D204" s="169"/>
      <c r="E204" s="169"/>
      <c r="F204" s="169"/>
      <c r="G204" s="169"/>
      <c r="H204" s="171"/>
      <c r="I204" s="171"/>
      <c r="J204" s="171"/>
      <c r="K204" s="171"/>
      <c r="L204" s="171"/>
      <c r="M204" s="171"/>
    </row>
    <row r="205" spans="1:14">
      <c r="A205" s="162"/>
      <c r="B205" s="162"/>
      <c r="C205" s="162"/>
      <c r="D205" s="169"/>
      <c r="E205" s="169"/>
      <c r="F205" s="169"/>
      <c r="G205" s="169"/>
      <c r="H205" s="171"/>
      <c r="I205" s="171"/>
      <c r="J205" s="171"/>
      <c r="K205" s="171"/>
      <c r="L205" s="171"/>
      <c r="M205" s="171"/>
    </row>
    <row r="206" spans="1:14">
      <c r="A206" s="162"/>
      <c r="B206" s="162"/>
      <c r="C206" s="162"/>
      <c r="D206" s="169"/>
      <c r="E206" s="169"/>
      <c r="F206" s="169"/>
      <c r="G206" s="169"/>
      <c r="H206" s="171"/>
      <c r="I206" s="171"/>
      <c r="J206" s="171"/>
      <c r="K206" s="171"/>
      <c r="L206" s="171"/>
      <c r="M206" s="171"/>
    </row>
    <row r="207" spans="1:14">
      <c r="A207" s="162"/>
      <c r="B207" s="162"/>
      <c r="C207" s="162"/>
      <c r="D207" s="169"/>
      <c r="E207" s="169"/>
      <c r="F207" s="169"/>
      <c r="G207" s="169"/>
      <c r="H207" s="171"/>
      <c r="I207" s="171"/>
      <c r="J207" s="171"/>
      <c r="K207" s="171"/>
      <c r="L207" s="171"/>
      <c r="M207" s="171"/>
    </row>
    <row r="208" spans="1:14">
      <c r="A208" s="162"/>
      <c r="B208" s="162"/>
      <c r="C208" s="162"/>
      <c r="D208" s="169"/>
      <c r="E208" s="169"/>
      <c r="F208" s="169"/>
      <c r="G208" s="169"/>
      <c r="H208" s="171"/>
      <c r="I208" s="171"/>
      <c r="J208" s="171"/>
      <c r="K208" s="171"/>
      <c r="L208" s="171"/>
      <c r="M208" s="171"/>
    </row>
    <row r="209" spans="1:13">
      <c r="A209" s="162"/>
      <c r="B209" s="162"/>
      <c r="C209" s="162"/>
      <c r="D209" s="169"/>
      <c r="E209" s="169"/>
      <c r="F209" s="169"/>
      <c r="G209" s="169"/>
      <c r="H209" s="171"/>
      <c r="I209" s="171"/>
      <c r="J209" s="171"/>
      <c r="K209" s="171"/>
      <c r="L209" s="171"/>
      <c r="M209" s="171"/>
    </row>
    <row r="210" spans="1:13">
      <c r="A210" s="162"/>
      <c r="B210" s="162"/>
      <c r="C210" s="162"/>
      <c r="D210" s="169"/>
      <c r="E210" s="169"/>
      <c r="F210" s="169"/>
      <c r="G210" s="169"/>
      <c r="H210" s="171"/>
      <c r="I210" s="171"/>
      <c r="J210" s="171"/>
      <c r="K210" s="171"/>
      <c r="L210" s="171"/>
      <c r="M210" s="171"/>
    </row>
    <row r="211" spans="1:13">
      <c r="A211" s="162"/>
      <c r="B211" s="162"/>
      <c r="C211" s="162"/>
      <c r="D211" s="169"/>
      <c r="E211" s="169"/>
      <c r="F211" s="169"/>
      <c r="G211" s="169"/>
      <c r="H211" s="171"/>
      <c r="I211" s="171"/>
      <c r="J211" s="171"/>
      <c r="K211" s="171"/>
      <c r="L211" s="171"/>
      <c r="M211" s="171"/>
    </row>
    <row r="212" spans="1:13">
      <c r="A212" s="162"/>
      <c r="B212" s="162"/>
      <c r="C212" s="162"/>
      <c r="D212" s="169"/>
      <c r="E212" s="169"/>
      <c r="F212" s="169"/>
      <c r="G212" s="169"/>
      <c r="H212" s="171"/>
      <c r="I212" s="171"/>
      <c r="J212" s="171"/>
      <c r="K212" s="171"/>
      <c r="L212" s="171"/>
      <c r="M212" s="171"/>
    </row>
    <row r="213" spans="1:13">
      <c r="A213" s="162"/>
      <c r="B213" s="162"/>
      <c r="C213" s="162"/>
      <c r="D213" s="169"/>
      <c r="E213" s="169"/>
      <c r="F213" s="169"/>
      <c r="G213" s="169"/>
      <c r="H213" s="171"/>
      <c r="I213" s="171"/>
      <c r="J213" s="171"/>
      <c r="K213" s="171"/>
      <c r="L213" s="171"/>
      <c r="M213" s="171"/>
    </row>
    <row r="214" spans="1:13">
      <c r="A214" s="162"/>
      <c r="B214" s="162"/>
      <c r="C214" s="162"/>
      <c r="D214" s="169"/>
      <c r="E214" s="169"/>
      <c r="F214" s="169"/>
      <c r="G214" s="169"/>
      <c r="H214" s="171"/>
      <c r="I214" s="171"/>
      <c r="J214" s="171"/>
      <c r="K214" s="171"/>
      <c r="L214" s="171"/>
      <c r="M214" s="171"/>
    </row>
    <row r="215" spans="1:13">
      <c r="A215" s="162"/>
      <c r="B215" s="162"/>
      <c r="C215" s="162"/>
      <c r="D215" s="169"/>
      <c r="E215" s="169"/>
      <c r="F215" s="169"/>
      <c r="G215" s="169"/>
      <c r="H215" s="171"/>
      <c r="I215" s="171"/>
      <c r="J215" s="171"/>
      <c r="K215" s="171"/>
      <c r="L215" s="171"/>
      <c r="M215" s="171"/>
    </row>
    <row r="216" spans="1:13">
      <c r="A216" s="162"/>
      <c r="B216" s="162"/>
      <c r="C216" s="162"/>
      <c r="D216" s="169"/>
      <c r="E216" s="169"/>
      <c r="F216" s="169"/>
      <c r="G216" s="169"/>
      <c r="H216" s="171"/>
      <c r="I216" s="171"/>
      <c r="J216" s="171"/>
      <c r="K216" s="171"/>
      <c r="L216" s="171"/>
      <c r="M216" s="171"/>
    </row>
    <row r="217" spans="1:13">
      <c r="A217" s="162"/>
      <c r="B217" s="162"/>
      <c r="C217" s="162"/>
      <c r="D217" s="169"/>
      <c r="E217" s="169"/>
      <c r="F217" s="169"/>
      <c r="G217" s="169"/>
      <c r="H217" s="171"/>
      <c r="I217" s="171"/>
      <c r="J217" s="171"/>
      <c r="K217" s="171"/>
      <c r="L217" s="171"/>
      <c r="M217" s="171"/>
    </row>
    <row r="218" spans="1:13">
      <c r="A218" s="162"/>
      <c r="B218" s="162"/>
      <c r="C218" s="162"/>
      <c r="D218" s="169"/>
      <c r="E218" s="169"/>
      <c r="F218" s="169"/>
      <c r="G218" s="169"/>
      <c r="H218" s="171"/>
      <c r="I218" s="171"/>
      <c r="J218" s="171"/>
      <c r="K218" s="171"/>
      <c r="L218" s="171"/>
      <c r="M218" s="171"/>
    </row>
    <row r="219" spans="1:13">
      <c r="A219" s="162"/>
      <c r="B219" s="162"/>
      <c r="C219" s="162"/>
      <c r="D219" s="169"/>
      <c r="E219" s="169"/>
      <c r="F219" s="169"/>
      <c r="G219" s="169"/>
      <c r="H219" s="171"/>
      <c r="I219" s="171"/>
      <c r="J219" s="171"/>
      <c r="K219" s="171"/>
      <c r="L219" s="171"/>
      <c r="M219" s="171"/>
    </row>
    <row r="220" spans="1:13">
      <c r="A220" s="162"/>
      <c r="B220" s="162"/>
      <c r="C220" s="162"/>
      <c r="D220" s="169"/>
      <c r="E220" s="169"/>
      <c r="F220" s="169"/>
      <c r="G220" s="169"/>
      <c r="H220" s="171"/>
      <c r="I220" s="171"/>
      <c r="J220" s="171"/>
      <c r="K220" s="171"/>
      <c r="L220" s="171"/>
      <c r="M220" s="171"/>
    </row>
    <row r="221" spans="1:13">
      <c r="A221" s="162"/>
      <c r="B221" s="162"/>
      <c r="C221" s="162"/>
      <c r="D221" s="169"/>
      <c r="E221" s="169"/>
      <c r="F221" s="169"/>
      <c r="G221" s="169"/>
      <c r="H221" s="171"/>
      <c r="I221" s="171"/>
      <c r="J221" s="171"/>
      <c r="K221" s="171"/>
      <c r="L221" s="171"/>
      <c r="M221" s="171"/>
    </row>
    <row r="222" spans="1:13">
      <c r="A222" s="162"/>
      <c r="B222" s="162"/>
      <c r="C222" s="162"/>
      <c r="D222" s="169"/>
      <c r="E222" s="169"/>
      <c r="F222" s="169"/>
      <c r="G222" s="169"/>
      <c r="H222" s="171"/>
      <c r="I222" s="171"/>
      <c r="J222" s="171"/>
      <c r="K222" s="171"/>
      <c r="L222" s="171"/>
      <c r="M222" s="171"/>
    </row>
    <row r="223" spans="1:13">
      <c r="A223" s="162"/>
      <c r="B223" s="162"/>
      <c r="C223" s="162"/>
      <c r="D223" s="169"/>
      <c r="E223" s="169"/>
      <c r="F223" s="169"/>
      <c r="G223" s="169"/>
      <c r="H223" s="171"/>
      <c r="I223" s="171"/>
      <c r="J223" s="171"/>
      <c r="K223" s="171"/>
      <c r="L223" s="171"/>
      <c r="M223" s="171"/>
    </row>
    <row r="224" spans="1:13">
      <c r="A224" s="162"/>
      <c r="B224" s="162"/>
      <c r="C224" s="162"/>
      <c r="D224" s="169"/>
      <c r="E224" s="169"/>
      <c r="F224" s="169"/>
      <c r="G224" s="169"/>
      <c r="H224" s="171"/>
      <c r="I224" s="171"/>
      <c r="J224" s="171"/>
      <c r="K224" s="171"/>
      <c r="L224" s="171"/>
      <c r="M224" s="171"/>
    </row>
    <row r="225" spans="1:13">
      <c r="A225" s="162"/>
      <c r="B225" s="162"/>
      <c r="C225" s="162"/>
      <c r="D225" s="169"/>
      <c r="E225" s="169"/>
      <c r="F225" s="169"/>
      <c r="G225" s="169"/>
      <c r="H225" s="171"/>
      <c r="I225" s="171"/>
      <c r="J225" s="171"/>
      <c r="K225" s="171"/>
      <c r="L225" s="171"/>
      <c r="M225" s="171"/>
    </row>
    <row r="226" spans="1:13">
      <c r="A226" s="162"/>
      <c r="B226" s="162"/>
      <c r="C226" s="162"/>
      <c r="D226" s="169"/>
      <c r="E226" s="169"/>
      <c r="F226" s="169"/>
      <c r="G226" s="169"/>
      <c r="H226" s="171"/>
      <c r="I226" s="171"/>
      <c r="J226" s="171"/>
      <c r="K226" s="171"/>
      <c r="L226" s="171"/>
      <c r="M226" s="171"/>
    </row>
    <row r="227" spans="1:13">
      <c r="A227" s="162"/>
      <c r="B227" s="162"/>
      <c r="C227" s="162"/>
      <c r="D227" s="169"/>
      <c r="E227" s="169"/>
      <c r="F227" s="169"/>
      <c r="G227" s="169"/>
      <c r="H227" s="171"/>
      <c r="I227" s="171"/>
      <c r="J227" s="171"/>
      <c r="K227" s="171"/>
      <c r="L227" s="171"/>
      <c r="M227" s="171"/>
    </row>
    <row r="228" spans="1:13">
      <c r="A228" s="162"/>
      <c r="B228" s="162"/>
      <c r="C228" s="162"/>
      <c r="D228" s="169"/>
      <c r="E228" s="169"/>
      <c r="F228" s="169"/>
      <c r="G228" s="169"/>
      <c r="H228" s="171"/>
      <c r="I228" s="171"/>
      <c r="J228" s="171"/>
      <c r="K228" s="171"/>
      <c r="L228" s="171"/>
      <c r="M228" s="171"/>
    </row>
    <row r="229" spans="1:13">
      <c r="A229" s="162"/>
      <c r="B229" s="162"/>
      <c r="C229" s="162"/>
      <c r="D229" s="169"/>
      <c r="E229" s="169"/>
      <c r="F229" s="169"/>
      <c r="G229" s="169"/>
      <c r="H229" s="171"/>
      <c r="I229" s="171"/>
      <c r="J229" s="171"/>
      <c r="K229" s="171"/>
      <c r="L229" s="171"/>
      <c r="M229" s="171"/>
    </row>
    <row r="230" spans="1:13">
      <c r="A230" s="162"/>
      <c r="B230" s="162"/>
      <c r="C230" s="162"/>
      <c r="D230" s="169"/>
      <c r="E230" s="169"/>
      <c r="F230" s="169"/>
      <c r="G230" s="169"/>
      <c r="H230" s="171"/>
      <c r="I230" s="171"/>
      <c r="J230" s="171"/>
      <c r="K230" s="171"/>
      <c r="L230" s="171"/>
      <c r="M230" s="171"/>
    </row>
    <row r="231" spans="1:13">
      <c r="A231" s="162"/>
      <c r="B231" s="162"/>
      <c r="C231" s="162"/>
      <c r="D231" s="169"/>
      <c r="E231" s="169"/>
      <c r="F231" s="169"/>
      <c r="G231" s="169"/>
      <c r="H231" s="171"/>
      <c r="I231" s="171"/>
      <c r="J231" s="171"/>
      <c r="K231" s="171"/>
      <c r="L231" s="171"/>
      <c r="M231" s="171"/>
    </row>
    <row r="232" spans="1:13">
      <c r="A232" s="162"/>
      <c r="B232" s="162"/>
      <c r="C232" s="162"/>
      <c r="D232" s="169"/>
      <c r="E232" s="169"/>
      <c r="F232" s="169"/>
      <c r="G232" s="169"/>
      <c r="H232" s="171"/>
      <c r="I232" s="171"/>
      <c r="J232" s="171"/>
      <c r="K232" s="171"/>
      <c r="L232" s="171"/>
      <c r="M232" s="171"/>
    </row>
    <row r="233" spans="1:13">
      <c r="A233" s="162"/>
      <c r="B233" s="162"/>
      <c r="C233" s="162"/>
      <c r="D233" s="169"/>
      <c r="E233" s="169"/>
      <c r="F233" s="169"/>
      <c r="G233" s="169"/>
      <c r="H233" s="171"/>
      <c r="I233" s="171"/>
      <c r="J233" s="171"/>
      <c r="K233" s="171"/>
      <c r="L233" s="171"/>
      <c r="M233" s="171"/>
    </row>
    <row r="234" spans="1:13">
      <c r="A234" s="162"/>
      <c r="B234" s="162"/>
      <c r="C234" s="162"/>
      <c r="D234" s="169"/>
      <c r="E234" s="169"/>
      <c r="F234" s="169"/>
      <c r="G234" s="169"/>
      <c r="H234" s="171"/>
      <c r="I234" s="171"/>
      <c r="J234" s="171"/>
      <c r="K234" s="171"/>
      <c r="L234" s="171"/>
      <c r="M234" s="171"/>
    </row>
    <row r="235" spans="1:13">
      <c r="A235" s="162"/>
      <c r="B235" s="162"/>
      <c r="C235" s="162"/>
      <c r="D235" s="169"/>
      <c r="E235" s="169"/>
      <c r="F235" s="169"/>
      <c r="G235" s="169"/>
      <c r="H235" s="171"/>
      <c r="I235" s="171"/>
      <c r="J235" s="171"/>
      <c r="K235" s="171"/>
      <c r="L235" s="171"/>
      <c r="M235" s="171"/>
    </row>
    <row r="236" spans="1:13">
      <c r="A236" s="162"/>
      <c r="B236" s="162"/>
      <c r="C236" s="162"/>
      <c r="D236" s="169"/>
      <c r="E236" s="169"/>
      <c r="F236" s="169"/>
      <c r="G236" s="169"/>
      <c r="H236" s="171"/>
      <c r="I236" s="171"/>
      <c r="J236" s="171"/>
      <c r="K236" s="171"/>
      <c r="L236" s="171"/>
      <c r="M236" s="171"/>
    </row>
    <row r="237" spans="1:13">
      <c r="A237" s="162"/>
      <c r="B237" s="162"/>
      <c r="C237" s="162"/>
      <c r="D237" s="169"/>
      <c r="E237" s="169"/>
      <c r="F237" s="169"/>
      <c r="G237" s="169"/>
      <c r="H237" s="171"/>
      <c r="I237" s="171"/>
      <c r="J237" s="171"/>
      <c r="K237" s="171"/>
      <c r="L237" s="171"/>
      <c r="M237" s="171"/>
    </row>
    <row r="238" spans="1:13">
      <c r="A238" s="162"/>
      <c r="B238" s="162"/>
      <c r="C238" s="162"/>
      <c r="D238" s="169"/>
      <c r="E238" s="169"/>
      <c r="F238" s="169"/>
      <c r="G238" s="169"/>
      <c r="H238" s="171"/>
      <c r="I238" s="171"/>
      <c r="J238" s="171"/>
      <c r="K238" s="171"/>
      <c r="L238" s="171"/>
      <c r="M238" s="171"/>
    </row>
    <row r="239" spans="1:13">
      <c r="A239" s="162"/>
      <c r="B239" s="162"/>
      <c r="C239" s="162"/>
      <c r="D239" s="169"/>
      <c r="E239" s="169"/>
      <c r="F239" s="169"/>
      <c r="G239" s="169"/>
      <c r="H239" s="171"/>
      <c r="I239" s="171"/>
      <c r="J239" s="171"/>
      <c r="K239" s="171"/>
      <c r="L239" s="171"/>
      <c r="M239" s="171"/>
    </row>
    <row r="240" spans="1:13">
      <c r="A240" s="162"/>
      <c r="B240" s="162"/>
      <c r="C240" s="162"/>
      <c r="D240" s="169"/>
      <c r="E240" s="169"/>
      <c r="F240" s="169"/>
      <c r="G240" s="169"/>
      <c r="H240" s="171"/>
      <c r="I240" s="171"/>
      <c r="J240" s="171"/>
      <c r="K240" s="171"/>
      <c r="L240" s="171"/>
      <c r="M240" s="171"/>
    </row>
    <row r="241" spans="1:13">
      <c r="A241" s="162"/>
      <c r="B241" s="162"/>
      <c r="C241" s="162"/>
      <c r="D241" s="169"/>
      <c r="E241" s="169"/>
      <c r="F241" s="169"/>
      <c r="G241" s="169"/>
      <c r="H241" s="171"/>
      <c r="I241" s="171"/>
      <c r="J241" s="171"/>
      <c r="K241" s="171"/>
      <c r="L241" s="171"/>
      <c r="M241" s="171"/>
    </row>
    <row r="242" spans="1:13">
      <c r="A242" s="162"/>
      <c r="B242" s="162"/>
      <c r="C242" s="162"/>
      <c r="D242" s="169"/>
      <c r="E242" s="169"/>
      <c r="F242" s="169"/>
      <c r="G242" s="169"/>
      <c r="H242" s="171"/>
      <c r="I242" s="171"/>
      <c r="J242" s="171"/>
      <c r="K242" s="171"/>
      <c r="L242" s="171"/>
      <c r="M242" s="171"/>
    </row>
    <row r="243" spans="1:13">
      <c r="A243" s="162"/>
      <c r="B243" s="162"/>
      <c r="C243" s="162"/>
      <c r="D243" s="169"/>
      <c r="E243" s="169"/>
      <c r="F243" s="169"/>
      <c r="G243" s="169"/>
      <c r="H243" s="171"/>
      <c r="I243" s="171"/>
      <c r="J243" s="171"/>
      <c r="K243" s="171"/>
      <c r="L243" s="171"/>
      <c r="M243" s="171"/>
    </row>
    <row r="244" spans="1:13">
      <c r="A244" s="162"/>
      <c r="B244" s="162"/>
      <c r="C244" s="162"/>
      <c r="D244" s="169"/>
      <c r="E244" s="169"/>
      <c r="F244" s="169"/>
      <c r="G244" s="169"/>
      <c r="H244" s="171"/>
      <c r="I244" s="171"/>
      <c r="J244" s="171"/>
      <c r="K244" s="171"/>
      <c r="L244" s="171"/>
      <c r="M244" s="171"/>
    </row>
    <row r="245" spans="1:13">
      <c r="A245" s="162"/>
      <c r="B245" s="162"/>
      <c r="C245" s="162"/>
      <c r="D245" s="169"/>
      <c r="E245" s="169"/>
      <c r="F245" s="169"/>
      <c r="G245" s="169"/>
      <c r="H245" s="171"/>
      <c r="I245" s="171"/>
      <c r="J245" s="171"/>
      <c r="K245" s="171"/>
      <c r="L245" s="171"/>
      <c r="M245" s="171"/>
    </row>
    <row r="246" spans="1:13">
      <c r="A246" s="162"/>
      <c r="B246" s="162"/>
      <c r="C246" s="162"/>
      <c r="D246" s="169"/>
      <c r="E246" s="169"/>
      <c r="F246" s="169"/>
      <c r="G246" s="169"/>
      <c r="H246" s="171"/>
      <c r="I246" s="171"/>
      <c r="J246" s="171"/>
      <c r="K246" s="171"/>
      <c r="L246" s="171"/>
      <c r="M246" s="171"/>
    </row>
    <row r="247" spans="1:13">
      <c r="A247" s="162"/>
      <c r="B247" s="162"/>
      <c r="C247" s="162"/>
      <c r="D247" s="169"/>
      <c r="E247" s="169"/>
      <c r="F247" s="169"/>
      <c r="G247" s="169"/>
      <c r="H247" s="171"/>
      <c r="I247" s="171"/>
      <c r="J247" s="171"/>
      <c r="K247" s="171"/>
      <c r="L247" s="171"/>
      <c r="M247" s="171"/>
    </row>
    <row r="248" spans="1:13">
      <c r="A248" s="162"/>
      <c r="B248" s="162"/>
      <c r="C248" s="162"/>
      <c r="D248" s="169"/>
      <c r="E248" s="169"/>
      <c r="F248" s="169"/>
      <c r="G248" s="169"/>
      <c r="H248" s="171"/>
      <c r="I248" s="171"/>
      <c r="J248" s="171"/>
      <c r="K248" s="171"/>
      <c r="L248" s="171"/>
      <c r="M248" s="171"/>
    </row>
    <row r="249" spans="1:13">
      <c r="A249" s="162"/>
      <c r="B249" s="162"/>
      <c r="C249" s="162"/>
      <c r="D249" s="169"/>
      <c r="E249" s="169"/>
      <c r="F249" s="169"/>
      <c r="G249" s="169"/>
      <c r="H249" s="171"/>
      <c r="I249" s="171"/>
      <c r="J249" s="171"/>
      <c r="K249" s="171"/>
      <c r="L249" s="171"/>
      <c r="M249" s="171"/>
    </row>
    <row r="250" spans="1:13">
      <c r="A250" s="162"/>
      <c r="B250" s="162"/>
      <c r="C250" s="162"/>
      <c r="D250" s="169"/>
      <c r="E250" s="169"/>
      <c r="F250" s="169"/>
      <c r="G250" s="169"/>
      <c r="H250" s="171"/>
      <c r="I250" s="171"/>
      <c r="J250" s="171"/>
      <c r="K250" s="171"/>
      <c r="L250" s="171"/>
      <c r="M250" s="171"/>
    </row>
    <row r="251" spans="1:13">
      <c r="A251" s="162"/>
      <c r="B251" s="162"/>
      <c r="C251" s="162"/>
      <c r="D251" s="169"/>
      <c r="E251" s="169"/>
      <c r="F251" s="169"/>
      <c r="G251" s="169"/>
      <c r="H251" s="171"/>
      <c r="I251" s="171"/>
      <c r="J251" s="171"/>
      <c r="K251" s="171"/>
      <c r="L251" s="171"/>
      <c r="M251" s="171"/>
    </row>
    <row r="252" spans="1:13">
      <c r="A252" s="162"/>
      <c r="B252" s="162"/>
      <c r="C252" s="162"/>
      <c r="D252" s="169"/>
      <c r="E252" s="169"/>
      <c r="F252" s="169"/>
      <c r="G252" s="169"/>
      <c r="H252" s="171"/>
      <c r="I252" s="171"/>
      <c r="J252" s="171"/>
      <c r="K252" s="171"/>
      <c r="L252" s="171"/>
      <c r="M252" s="171"/>
    </row>
    <row r="253" spans="1:13">
      <c r="A253" s="162"/>
      <c r="B253" s="162"/>
      <c r="C253" s="162"/>
      <c r="D253" s="169"/>
      <c r="E253" s="169"/>
      <c r="F253" s="169"/>
      <c r="G253" s="169"/>
      <c r="H253" s="171"/>
      <c r="I253" s="171"/>
      <c r="J253" s="171"/>
      <c r="K253" s="171"/>
      <c r="L253" s="171"/>
      <c r="M253" s="171"/>
    </row>
    <row r="254" spans="1:13">
      <c r="A254" s="162"/>
      <c r="B254" s="162"/>
      <c r="C254" s="162"/>
      <c r="D254" s="169"/>
      <c r="E254" s="169"/>
      <c r="F254" s="169"/>
      <c r="G254" s="169"/>
      <c r="H254" s="171"/>
      <c r="I254" s="171"/>
      <c r="J254" s="171"/>
      <c r="K254" s="171"/>
      <c r="L254" s="171"/>
      <c r="M254" s="171"/>
    </row>
    <row r="255" spans="1:13">
      <c r="A255" s="162"/>
      <c r="B255" s="162"/>
      <c r="C255" s="162"/>
      <c r="D255" s="169"/>
      <c r="E255" s="169"/>
      <c r="F255" s="169"/>
      <c r="G255" s="169"/>
      <c r="H255" s="171"/>
      <c r="I255" s="171"/>
      <c r="J255" s="171"/>
      <c r="K255" s="171"/>
      <c r="L255" s="171"/>
      <c r="M255" s="171"/>
    </row>
    <row r="256" spans="1:13">
      <c r="A256" s="162"/>
      <c r="B256" s="162"/>
      <c r="C256" s="162"/>
      <c r="D256" s="169"/>
      <c r="E256" s="169"/>
      <c r="F256" s="169"/>
      <c r="G256" s="169"/>
      <c r="H256" s="171"/>
      <c r="I256" s="171"/>
      <c r="J256" s="171"/>
      <c r="K256" s="171"/>
      <c r="L256" s="171"/>
      <c r="M256" s="171"/>
    </row>
    <row r="257" spans="1:13">
      <c r="A257" s="162"/>
      <c r="B257" s="162"/>
      <c r="C257" s="162"/>
      <c r="D257" s="169"/>
      <c r="E257" s="169"/>
      <c r="F257" s="169"/>
      <c r="G257" s="169"/>
      <c r="H257" s="171"/>
      <c r="I257" s="171"/>
      <c r="J257" s="171"/>
      <c r="K257" s="171"/>
      <c r="L257" s="171"/>
      <c r="M257" s="171"/>
    </row>
    <row r="258" spans="1:13">
      <c r="A258" s="162"/>
      <c r="B258" s="162"/>
      <c r="C258" s="162"/>
      <c r="D258" s="169"/>
      <c r="E258" s="169"/>
      <c r="F258" s="169"/>
      <c r="G258" s="169"/>
      <c r="H258" s="171"/>
      <c r="I258" s="171"/>
      <c r="J258" s="171"/>
      <c r="K258" s="171"/>
      <c r="L258" s="171"/>
      <c r="M258" s="171"/>
    </row>
    <row r="259" spans="1:13">
      <c r="A259" s="162"/>
      <c r="B259" s="162"/>
      <c r="C259" s="162"/>
      <c r="D259" s="169"/>
      <c r="E259" s="169"/>
      <c r="F259" s="169"/>
      <c r="G259" s="169"/>
      <c r="H259" s="171"/>
      <c r="I259" s="171"/>
      <c r="J259" s="171"/>
      <c r="K259" s="171"/>
      <c r="L259" s="171"/>
      <c r="M259" s="171"/>
    </row>
    <row r="260" spans="1:13">
      <c r="A260" s="162"/>
      <c r="B260" s="162"/>
      <c r="C260" s="162"/>
      <c r="D260" s="169"/>
      <c r="E260" s="169"/>
      <c r="F260" s="169"/>
      <c r="G260" s="169"/>
      <c r="H260" s="171"/>
      <c r="I260" s="171"/>
      <c r="J260" s="171"/>
      <c r="K260" s="171"/>
      <c r="L260" s="171"/>
      <c r="M260" s="171"/>
    </row>
    <row r="261" spans="1:13">
      <c r="A261" s="162"/>
      <c r="B261" s="162"/>
      <c r="C261" s="162"/>
      <c r="D261" s="169"/>
      <c r="E261" s="169"/>
      <c r="F261" s="169"/>
      <c r="G261" s="169"/>
      <c r="H261" s="171"/>
      <c r="I261" s="171"/>
      <c r="J261" s="171"/>
      <c r="K261" s="171"/>
      <c r="L261" s="171"/>
      <c r="M261" s="171"/>
    </row>
    <row r="262" spans="1:13">
      <c r="A262" s="162"/>
      <c r="B262" s="162"/>
      <c r="C262" s="162"/>
      <c r="D262" s="169"/>
      <c r="E262" s="169"/>
      <c r="F262" s="169"/>
      <c r="G262" s="169"/>
      <c r="H262" s="171"/>
      <c r="I262" s="171"/>
      <c r="J262" s="171"/>
      <c r="K262" s="171"/>
      <c r="L262" s="171"/>
      <c r="M262" s="171"/>
    </row>
    <row r="263" spans="1:13">
      <c r="A263" s="162"/>
      <c r="B263" s="162"/>
      <c r="C263" s="162"/>
      <c r="D263" s="169"/>
      <c r="E263" s="169"/>
      <c r="F263" s="169"/>
      <c r="G263" s="169"/>
      <c r="H263" s="171"/>
      <c r="I263" s="171"/>
      <c r="J263" s="171"/>
      <c r="K263" s="171"/>
      <c r="L263" s="171"/>
      <c r="M263" s="171"/>
    </row>
    <row r="264" spans="1:13">
      <c r="A264" s="162"/>
      <c r="B264" s="162"/>
      <c r="C264" s="162"/>
      <c r="D264" s="169"/>
      <c r="E264" s="169"/>
      <c r="F264" s="169"/>
      <c r="G264" s="169"/>
      <c r="H264" s="171"/>
      <c r="I264" s="171"/>
      <c r="J264" s="171"/>
      <c r="K264" s="171"/>
      <c r="L264" s="171"/>
      <c r="M264" s="171"/>
    </row>
    <row r="265" spans="1:13">
      <c r="A265" s="162"/>
      <c r="B265" s="162"/>
      <c r="C265" s="162"/>
      <c r="D265" s="169"/>
      <c r="E265" s="169"/>
      <c r="F265" s="169"/>
      <c r="G265" s="169"/>
      <c r="H265" s="171"/>
      <c r="I265" s="171"/>
      <c r="J265" s="171"/>
      <c r="K265" s="171"/>
      <c r="L265" s="171"/>
      <c r="M265" s="171"/>
    </row>
    <row r="266" spans="1:13">
      <c r="A266" s="162"/>
      <c r="B266" s="162"/>
      <c r="C266" s="162"/>
      <c r="D266" s="169"/>
      <c r="E266" s="169"/>
      <c r="F266" s="169"/>
      <c r="G266" s="169"/>
      <c r="H266" s="171"/>
      <c r="I266" s="171"/>
      <c r="J266" s="171"/>
      <c r="K266" s="171"/>
      <c r="L266" s="171"/>
      <c r="M266" s="171"/>
    </row>
    <row r="267" spans="1:13">
      <c r="A267" s="162"/>
      <c r="B267" s="162"/>
      <c r="C267" s="162"/>
      <c r="D267" s="169"/>
      <c r="E267" s="169"/>
      <c r="F267" s="169"/>
      <c r="G267" s="169"/>
      <c r="H267" s="171"/>
      <c r="I267" s="171"/>
      <c r="J267" s="171"/>
      <c r="K267" s="171"/>
      <c r="L267" s="171"/>
      <c r="M267" s="171"/>
    </row>
    <row r="268" spans="1:13">
      <c r="A268" s="162"/>
      <c r="B268" s="162"/>
      <c r="C268" s="162"/>
      <c r="D268" s="169"/>
      <c r="E268" s="169"/>
      <c r="F268" s="169"/>
      <c r="G268" s="169"/>
      <c r="H268" s="171"/>
      <c r="I268" s="171"/>
      <c r="J268" s="171"/>
      <c r="K268" s="171"/>
      <c r="L268" s="171"/>
      <c r="M268" s="171"/>
    </row>
    <row r="269" spans="1:13">
      <c r="A269" s="162"/>
      <c r="B269" s="162"/>
      <c r="C269" s="162"/>
      <c r="D269" s="169"/>
      <c r="E269" s="169"/>
      <c r="F269" s="169"/>
      <c r="G269" s="169"/>
      <c r="H269" s="171"/>
      <c r="I269" s="171"/>
      <c r="J269" s="171"/>
      <c r="K269" s="171"/>
      <c r="L269" s="171"/>
      <c r="M269" s="171"/>
    </row>
    <row r="270" spans="1:13">
      <c r="A270" s="162"/>
      <c r="B270" s="162"/>
      <c r="C270" s="162"/>
      <c r="D270" s="169"/>
      <c r="E270" s="169"/>
      <c r="F270" s="169"/>
      <c r="G270" s="169"/>
      <c r="H270" s="171"/>
      <c r="I270" s="171"/>
      <c r="J270" s="171"/>
      <c r="K270" s="171"/>
      <c r="L270" s="171"/>
      <c r="M270" s="171"/>
    </row>
    <row r="271" spans="1:13">
      <c r="A271" s="162"/>
      <c r="B271" s="162"/>
      <c r="C271" s="162"/>
      <c r="D271" s="169"/>
      <c r="E271" s="169"/>
      <c r="F271" s="169"/>
      <c r="G271" s="169"/>
      <c r="H271" s="171"/>
      <c r="I271" s="171"/>
      <c r="J271" s="171"/>
      <c r="K271" s="171"/>
      <c r="L271" s="171"/>
      <c r="M271" s="171"/>
    </row>
    <row r="272" spans="1:13">
      <c r="A272" s="162"/>
      <c r="B272" s="162"/>
      <c r="C272" s="162"/>
      <c r="D272" s="169"/>
      <c r="E272" s="169"/>
      <c r="F272" s="169"/>
      <c r="G272" s="169"/>
      <c r="H272" s="171"/>
      <c r="I272" s="171"/>
      <c r="J272" s="171"/>
      <c r="K272" s="171"/>
      <c r="L272" s="171"/>
      <c r="M272" s="171"/>
    </row>
    <row r="273" spans="1:13">
      <c r="A273" s="162"/>
      <c r="B273" s="162"/>
      <c r="C273" s="162"/>
      <c r="D273" s="169"/>
      <c r="E273" s="169"/>
      <c r="F273" s="169"/>
      <c r="G273" s="169"/>
      <c r="H273" s="171"/>
      <c r="I273" s="171"/>
      <c r="J273" s="171"/>
      <c r="K273" s="171"/>
      <c r="L273" s="171"/>
      <c r="M273" s="171"/>
    </row>
    <row r="274" spans="1:13">
      <c r="A274" s="162"/>
      <c r="B274" s="162"/>
      <c r="C274" s="162"/>
      <c r="D274" s="169"/>
      <c r="E274" s="169"/>
      <c r="F274" s="169"/>
      <c r="G274" s="169"/>
      <c r="H274" s="171"/>
      <c r="I274" s="171"/>
      <c r="J274" s="171"/>
      <c r="K274" s="171"/>
      <c r="L274" s="171"/>
      <c r="M274" s="171"/>
    </row>
    <row r="275" spans="1:13">
      <c r="A275" s="162"/>
      <c r="B275" s="162"/>
      <c r="C275" s="162"/>
      <c r="D275" s="169"/>
      <c r="E275" s="169"/>
      <c r="F275" s="169"/>
      <c r="G275" s="169"/>
      <c r="H275" s="171"/>
      <c r="I275" s="171"/>
      <c r="J275" s="171"/>
      <c r="K275" s="171"/>
      <c r="L275" s="171"/>
      <c r="M275" s="171"/>
    </row>
    <row r="276" spans="1:13">
      <c r="A276" s="162"/>
      <c r="B276" s="162"/>
      <c r="C276" s="162"/>
      <c r="D276" s="169"/>
      <c r="E276" s="169"/>
      <c r="F276" s="169"/>
      <c r="G276" s="169"/>
      <c r="H276" s="171"/>
      <c r="I276" s="171"/>
      <c r="J276" s="171"/>
      <c r="K276" s="171"/>
      <c r="L276" s="171"/>
      <c r="M276" s="171"/>
    </row>
    <row r="277" spans="1:13">
      <c r="A277" s="162"/>
      <c r="B277" s="162"/>
      <c r="C277" s="162"/>
      <c r="D277" s="169"/>
      <c r="E277" s="169"/>
      <c r="F277" s="169"/>
      <c r="G277" s="169"/>
      <c r="H277" s="171"/>
      <c r="I277" s="171"/>
      <c r="J277" s="171"/>
      <c r="K277" s="171"/>
      <c r="L277" s="171"/>
      <c r="M277" s="171"/>
    </row>
    <row r="278" spans="1:13">
      <c r="A278" s="162"/>
      <c r="B278" s="162"/>
      <c r="C278" s="162"/>
      <c r="D278" s="169"/>
      <c r="E278" s="169"/>
      <c r="F278" s="169"/>
      <c r="G278" s="169"/>
      <c r="H278" s="171"/>
      <c r="I278" s="171"/>
      <c r="J278" s="171"/>
      <c r="K278" s="171"/>
      <c r="L278" s="171"/>
      <c r="M278" s="171"/>
    </row>
    <row r="279" spans="1:13">
      <c r="A279" s="162"/>
      <c r="B279" s="162"/>
      <c r="C279" s="162"/>
      <c r="D279" s="169"/>
      <c r="E279" s="169"/>
      <c r="F279" s="169"/>
      <c r="G279" s="169"/>
      <c r="H279" s="171"/>
      <c r="I279" s="171"/>
      <c r="J279" s="171"/>
      <c r="K279" s="171"/>
      <c r="L279" s="171"/>
      <c r="M279" s="171"/>
    </row>
    <row r="280" spans="1:13">
      <c r="A280" s="162"/>
      <c r="B280" s="162"/>
      <c r="C280" s="162"/>
      <c r="D280" s="169"/>
      <c r="E280" s="169"/>
      <c r="F280" s="169"/>
      <c r="G280" s="169"/>
      <c r="H280" s="171"/>
      <c r="I280" s="171"/>
      <c r="J280" s="171"/>
      <c r="K280" s="171"/>
      <c r="L280" s="171"/>
      <c r="M280" s="171"/>
    </row>
    <row r="281" spans="1:13">
      <c r="A281" s="162"/>
      <c r="B281" s="162"/>
      <c r="C281" s="162"/>
      <c r="D281" s="169"/>
      <c r="E281" s="169"/>
      <c r="F281" s="169"/>
      <c r="G281" s="169"/>
      <c r="H281" s="171"/>
      <c r="I281" s="171"/>
      <c r="J281" s="171"/>
      <c r="K281" s="171"/>
      <c r="L281" s="171"/>
      <c r="M281" s="171"/>
    </row>
    <row r="282" spans="1:13">
      <c r="A282" s="162"/>
      <c r="B282" s="162"/>
      <c r="C282" s="162"/>
      <c r="D282" s="169"/>
      <c r="E282" s="169"/>
      <c r="F282" s="169"/>
      <c r="G282" s="169"/>
      <c r="H282" s="171"/>
      <c r="I282" s="171"/>
      <c r="J282" s="171"/>
      <c r="K282" s="171"/>
      <c r="L282" s="171"/>
      <c r="M282" s="171"/>
    </row>
    <row r="283" spans="1:13">
      <c r="A283" s="162"/>
      <c r="B283" s="162"/>
      <c r="C283" s="162"/>
      <c r="D283" s="169"/>
      <c r="E283" s="169"/>
      <c r="F283" s="169"/>
      <c r="G283" s="169"/>
      <c r="H283" s="171"/>
      <c r="I283" s="171"/>
      <c r="J283" s="171"/>
      <c r="K283" s="171"/>
      <c r="L283" s="171"/>
      <c r="M283" s="171"/>
    </row>
    <row r="284" spans="1:13">
      <c r="A284" s="162"/>
      <c r="B284" s="162"/>
      <c r="C284" s="162"/>
      <c r="D284" s="169"/>
      <c r="E284" s="169"/>
      <c r="F284" s="169"/>
      <c r="G284" s="169"/>
      <c r="H284" s="171"/>
      <c r="I284" s="171"/>
      <c r="J284" s="171"/>
      <c r="K284" s="171"/>
      <c r="L284" s="171"/>
      <c r="M284" s="171"/>
    </row>
    <row r="285" spans="1:13">
      <c r="A285" s="162"/>
      <c r="B285" s="162"/>
      <c r="C285" s="162"/>
      <c r="D285" s="169"/>
      <c r="E285" s="169"/>
      <c r="F285" s="169"/>
      <c r="G285" s="169"/>
      <c r="H285" s="171"/>
      <c r="I285" s="171"/>
      <c r="J285" s="171"/>
      <c r="K285" s="171"/>
      <c r="L285" s="171"/>
      <c r="M285" s="171"/>
    </row>
    <row r="286" spans="1:13">
      <c r="A286" s="162"/>
      <c r="B286" s="162"/>
      <c r="C286" s="162"/>
      <c r="D286" s="169"/>
      <c r="E286" s="169"/>
      <c r="F286" s="169"/>
      <c r="G286" s="169"/>
      <c r="H286" s="171"/>
      <c r="I286" s="171"/>
      <c r="J286" s="171"/>
      <c r="K286" s="171"/>
      <c r="L286" s="171"/>
      <c r="M286" s="171"/>
    </row>
    <row r="287" spans="1:13">
      <c r="A287" s="162"/>
      <c r="B287" s="162"/>
      <c r="C287" s="162"/>
      <c r="D287" s="169"/>
      <c r="E287" s="169"/>
      <c r="F287" s="169"/>
      <c r="G287" s="169"/>
      <c r="H287" s="171"/>
      <c r="I287" s="171"/>
      <c r="J287" s="171"/>
      <c r="K287" s="171"/>
      <c r="L287" s="171"/>
      <c r="M287" s="171"/>
    </row>
    <row r="288" spans="1:13">
      <c r="A288" s="162"/>
      <c r="B288" s="162"/>
      <c r="C288" s="162"/>
      <c r="D288" s="169"/>
      <c r="E288" s="169"/>
      <c r="F288" s="169"/>
      <c r="G288" s="169"/>
      <c r="H288" s="171"/>
      <c r="I288" s="171"/>
      <c r="J288" s="171"/>
      <c r="K288" s="171"/>
      <c r="L288" s="171"/>
      <c r="M288" s="171"/>
    </row>
    <row r="289" spans="1:13">
      <c r="A289" s="162"/>
      <c r="B289" s="162"/>
      <c r="C289" s="162"/>
      <c r="D289" s="169"/>
      <c r="E289" s="169"/>
      <c r="F289" s="169"/>
      <c r="G289" s="169"/>
      <c r="H289" s="171"/>
      <c r="I289" s="171"/>
      <c r="J289" s="171"/>
      <c r="K289" s="171"/>
      <c r="L289" s="171"/>
      <c r="M289" s="171"/>
    </row>
    <row r="290" spans="1:13">
      <c r="A290" s="162"/>
      <c r="B290" s="162"/>
      <c r="C290" s="162"/>
      <c r="D290" s="169"/>
      <c r="E290" s="169"/>
      <c r="F290" s="169"/>
      <c r="G290" s="169"/>
      <c r="H290" s="171"/>
      <c r="I290" s="171"/>
      <c r="J290" s="171"/>
      <c r="K290" s="171"/>
      <c r="L290" s="171"/>
      <c r="M290" s="171"/>
    </row>
    <row r="291" spans="1:13">
      <c r="A291" s="162"/>
      <c r="B291" s="162"/>
      <c r="C291" s="162"/>
      <c r="D291" s="169"/>
      <c r="E291" s="169"/>
      <c r="F291" s="169"/>
      <c r="G291" s="169"/>
      <c r="H291" s="171"/>
      <c r="I291" s="171"/>
      <c r="J291" s="171"/>
      <c r="K291" s="171"/>
      <c r="L291" s="171"/>
      <c r="M291" s="171"/>
    </row>
    <row r="292" spans="1:13">
      <c r="A292" s="162"/>
      <c r="B292" s="162"/>
      <c r="C292" s="162"/>
      <c r="D292" s="169"/>
      <c r="E292" s="169"/>
      <c r="F292" s="169"/>
      <c r="G292" s="169"/>
      <c r="H292" s="171"/>
      <c r="I292" s="171"/>
      <c r="J292" s="171"/>
      <c r="K292" s="171"/>
      <c r="L292" s="171"/>
      <c r="M292" s="171"/>
    </row>
    <row r="293" spans="1:13">
      <c r="A293" s="162"/>
      <c r="B293" s="162"/>
      <c r="C293" s="162"/>
      <c r="D293" s="169"/>
      <c r="E293" s="169"/>
      <c r="F293" s="169"/>
      <c r="G293" s="169"/>
      <c r="H293" s="171"/>
      <c r="I293" s="171"/>
      <c r="J293" s="171"/>
      <c r="K293" s="171"/>
      <c r="L293" s="171"/>
      <c r="M293" s="171"/>
    </row>
    <row r="294" spans="1:13">
      <c r="A294" s="162"/>
      <c r="B294" s="162"/>
      <c r="C294" s="162"/>
      <c r="D294" s="169"/>
      <c r="E294" s="169"/>
      <c r="F294" s="169"/>
      <c r="G294" s="169"/>
      <c r="H294" s="171"/>
      <c r="I294" s="171"/>
      <c r="J294" s="171"/>
      <c r="K294" s="171"/>
      <c r="L294" s="171"/>
      <c r="M294" s="171"/>
    </row>
    <row r="295" spans="1:13">
      <c r="A295" s="162"/>
      <c r="B295" s="162"/>
      <c r="C295" s="162"/>
      <c r="D295" s="169"/>
      <c r="E295" s="169"/>
      <c r="F295" s="169"/>
      <c r="G295" s="169"/>
      <c r="H295" s="171"/>
      <c r="I295" s="171"/>
      <c r="J295" s="171"/>
      <c r="K295" s="171"/>
      <c r="L295" s="171"/>
      <c r="M295" s="171"/>
    </row>
    <row r="296" spans="1:13">
      <c r="A296" s="162"/>
      <c r="B296" s="162"/>
      <c r="C296" s="162"/>
      <c r="D296" s="169"/>
      <c r="E296" s="169"/>
      <c r="F296" s="169"/>
      <c r="G296" s="169"/>
      <c r="H296" s="171"/>
      <c r="I296" s="171"/>
      <c r="J296" s="171"/>
      <c r="K296" s="171"/>
      <c r="L296" s="171"/>
      <c r="M296" s="171"/>
    </row>
    <row r="297" spans="1:13">
      <c r="A297" s="162"/>
      <c r="B297" s="162"/>
      <c r="C297" s="162"/>
      <c r="D297" s="169"/>
      <c r="E297" s="169"/>
      <c r="F297" s="169"/>
      <c r="G297" s="169"/>
      <c r="H297" s="171"/>
      <c r="I297" s="171"/>
      <c r="J297" s="171"/>
      <c r="K297" s="171"/>
      <c r="L297" s="171"/>
      <c r="M297" s="171"/>
    </row>
    <row r="298" spans="1:13">
      <c r="A298" s="162"/>
      <c r="B298" s="162"/>
      <c r="C298" s="162"/>
      <c r="D298" s="169"/>
      <c r="E298" s="169"/>
      <c r="F298" s="169"/>
      <c r="G298" s="169"/>
      <c r="H298" s="171"/>
      <c r="I298" s="171"/>
      <c r="J298" s="171"/>
      <c r="K298" s="171"/>
      <c r="L298" s="171"/>
      <c r="M298" s="171"/>
    </row>
    <row r="299" spans="1:13">
      <c r="A299" s="162"/>
      <c r="B299" s="162"/>
      <c r="C299" s="162"/>
      <c r="D299" s="169"/>
      <c r="E299" s="169"/>
      <c r="F299" s="169"/>
      <c r="G299" s="169"/>
      <c r="H299" s="171"/>
      <c r="I299" s="171"/>
      <c r="J299" s="171"/>
      <c r="K299" s="171"/>
      <c r="L299" s="171"/>
      <c r="M299" s="171"/>
    </row>
    <row r="300" spans="1:13">
      <c r="A300" s="162"/>
      <c r="B300" s="162"/>
      <c r="C300" s="162"/>
      <c r="D300" s="169"/>
      <c r="E300" s="169"/>
      <c r="F300" s="169"/>
      <c r="G300" s="169"/>
      <c r="H300" s="171"/>
      <c r="I300" s="171"/>
      <c r="J300" s="171"/>
      <c r="K300" s="171"/>
      <c r="L300" s="171"/>
      <c r="M300" s="171"/>
    </row>
    <row r="301" spans="1:13">
      <c r="A301" s="162"/>
      <c r="B301" s="162"/>
      <c r="C301" s="162"/>
      <c r="D301" s="169"/>
      <c r="E301" s="169"/>
      <c r="F301" s="169"/>
      <c r="G301" s="169"/>
      <c r="H301" s="171"/>
      <c r="I301" s="171"/>
      <c r="J301" s="171"/>
      <c r="K301" s="171"/>
      <c r="L301" s="171"/>
      <c r="M301" s="171"/>
    </row>
    <row r="302" spans="1:13">
      <c r="A302" s="162"/>
      <c r="B302" s="162"/>
      <c r="C302" s="162"/>
      <c r="D302" s="169"/>
      <c r="E302" s="169"/>
      <c r="F302" s="169"/>
      <c r="G302" s="169"/>
      <c r="H302" s="171"/>
      <c r="I302" s="171"/>
      <c r="J302" s="171"/>
      <c r="K302" s="171"/>
      <c r="L302" s="171"/>
      <c r="M302" s="171"/>
    </row>
    <row r="303" spans="1:13">
      <c r="A303" s="162"/>
      <c r="B303" s="162"/>
      <c r="C303" s="162"/>
      <c r="D303" s="169"/>
      <c r="E303" s="169"/>
      <c r="F303" s="169"/>
      <c r="G303" s="169"/>
      <c r="H303" s="171"/>
      <c r="I303" s="171"/>
      <c r="J303" s="171"/>
      <c r="K303" s="171"/>
      <c r="L303" s="171"/>
      <c r="M303" s="171"/>
    </row>
    <row r="304" spans="1:13">
      <c r="A304" s="162"/>
      <c r="B304" s="162"/>
      <c r="C304" s="162"/>
      <c r="D304" s="169"/>
      <c r="E304" s="169"/>
      <c r="F304" s="169"/>
      <c r="G304" s="169"/>
      <c r="H304" s="171"/>
      <c r="I304" s="171"/>
      <c r="J304" s="171"/>
      <c r="K304" s="171"/>
      <c r="L304" s="171"/>
      <c r="M304" s="171"/>
    </row>
    <row r="305" spans="1:13">
      <c r="A305" s="162"/>
      <c r="B305" s="162"/>
      <c r="C305" s="162"/>
      <c r="D305" s="169"/>
      <c r="E305" s="169"/>
      <c r="F305" s="169"/>
      <c r="G305" s="169"/>
      <c r="H305" s="171"/>
      <c r="I305" s="171"/>
      <c r="J305" s="171"/>
      <c r="K305" s="171"/>
      <c r="L305" s="171"/>
      <c r="M305" s="171"/>
    </row>
    <row r="306" spans="1:13">
      <c r="A306" s="162"/>
      <c r="B306" s="162"/>
      <c r="C306" s="162"/>
      <c r="D306" s="169"/>
      <c r="E306" s="169"/>
      <c r="F306" s="169"/>
      <c r="G306" s="169"/>
      <c r="H306" s="171"/>
      <c r="I306" s="171"/>
      <c r="J306" s="171"/>
      <c r="K306" s="171"/>
      <c r="L306" s="171"/>
      <c r="M306" s="171"/>
    </row>
    <row r="307" spans="1:13">
      <c r="A307" s="162"/>
      <c r="B307" s="162"/>
      <c r="C307" s="162"/>
      <c r="D307" s="169"/>
      <c r="E307" s="169"/>
      <c r="F307" s="169"/>
      <c r="G307" s="169"/>
      <c r="H307" s="171"/>
      <c r="I307" s="171"/>
      <c r="J307" s="171"/>
      <c r="K307" s="171"/>
      <c r="L307" s="171"/>
      <c r="M307" s="171"/>
    </row>
    <row r="308" spans="1:13">
      <c r="A308" s="162"/>
      <c r="B308" s="162"/>
      <c r="C308" s="162"/>
      <c r="D308" s="169"/>
      <c r="E308" s="169"/>
      <c r="F308" s="169"/>
      <c r="G308" s="169"/>
      <c r="H308" s="171"/>
      <c r="I308" s="171"/>
      <c r="J308" s="171"/>
      <c r="K308" s="171"/>
      <c r="L308" s="171"/>
      <c r="M308" s="171"/>
    </row>
    <row r="309" spans="1:13">
      <c r="A309" s="162"/>
      <c r="B309" s="162"/>
      <c r="C309" s="162"/>
      <c r="D309" s="169"/>
      <c r="E309" s="169"/>
      <c r="F309" s="169"/>
      <c r="G309" s="169"/>
      <c r="H309" s="171"/>
      <c r="I309" s="171"/>
      <c r="J309" s="171"/>
      <c r="K309" s="171"/>
      <c r="L309" s="171"/>
      <c r="M309" s="171"/>
    </row>
    <row r="310" spans="1:13">
      <c r="A310" s="162"/>
      <c r="B310" s="162"/>
      <c r="C310" s="162"/>
      <c r="D310" s="169"/>
      <c r="E310" s="169"/>
      <c r="F310" s="169"/>
      <c r="G310" s="169"/>
      <c r="H310" s="171"/>
      <c r="I310" s="171"/>
      <c r="J310" s="171"/>
      <c r="K310" s="171"/>
      <c r="L310" s="171"/>
      <c r="M310" s="171"/>
    </row>
    <row r="311" spans="1:13">
      <c r="A311" s="162"/>
      <c r="B311" s="162"/>
      <c r="C311" s="162"/>
      <c r="D311" s="169"/>
      <c r="E311" s="169"/>
      <c r="F311" s="169"/>
      <c r="G311" s="169"/>
      <c r="H311" s="171"/>
      <c r="I311" s="171"/>
      <c r="J311" s="171"/>
      <c r="K311" s="171"/>
      <c r="L311" s="171"/>
      <c r="M311" s="171"/>
    </row>
    <row r="312" spans="1:13">
      <c r="A312" s="162"/>
      <c r="B312" s="162"/>
      <c r="C312" s="162"/>
      <c r="D312" s="169"/>
      <c r="E312" s="169"/>
      <c r="F312" s="169"/>
      <c r="G312" s="169"/>
      <c r="H312" s="171"/>
      <c r="I312" s="171"/>
      <c r="J312" s="171"/>
      <c r="K312" s="171"/>
      <c r="L312" s="171"/>
      <c r="M312" s="171"/>
    </row>
    <row r="313" spans="1:13">
      <c r="A313" s="162"/>
      <c r="B313" s="162"/>
      <c r="C313" s="162"/>
      <c r="D313" s="169"/>
      <c r="E313" s="169"/>
      <c r="F313" s="169"/>
      <c r="G313" s="169"/>
      <c r="H313" s="171"/>
      <c r="I313" s="171"/>
      <c r="J313" s="171"/>
      <c r="K313" s="171"/>
      <c r="L313" s="171"/>
      <c r="M313" s="171"/>
    </row>
    <row r="314" spans="1:13">
      <c r="A314" s="162"/>
      <c r="B314" s="162"/>
      <c r="C314" s="162"/>
      <c r="D314" s="169"/>
      <c r="E314" s="169"/>
      <c r="F314" s="169"/>
      <c r="G314" s="169"/>
      <c r="H314" s="171"/>
      <c r="I314" s="171"/>
      <c r="J314" s="171"/>
      <c r="K314" s="171"/>
      <c r="L314" s="171"/>
      <c r="M314" s="171"/>
    </row>
    <row r="315" spans="1:13">
      <c r="A315" s="162"/>
      <c r="B315" s="162"/>
      <c r="C315" s="162"/>
      <c r="D315" s="169"/>
      <c r="E315" s="169"/>
      <c r="F315" s="169"/>
      <c r="G315" s="169"/>
      <c r="H315" s="171"/>
      <c r="I315" s="171"/>
      <c r="J315" s="171"/>
      <c r="K315" s="171"/>
      <c r="L315" s="171"/>
      <c r="M315" s="171"/>
    </row>
    <row r="316" spans="1:13">
      <c r="A316" s="162"/>
      <c r="B316" s="162"/>
      <c r="C316" s="162"/>
      <c r="D316" s="169"/>
      <c r="E316" s="169"/>
      <c r="F316" s="169"/>
      <c r="G316" s="169"/>
      <c r="H316" s="171"/>
      <c r="I316" s="171"/>
      <c r="J316" s="171"/>
      <c r="K316" s="171"/>
      <c r="L316" s="171"/>
      <c r="M316" s="171"/>
    </row>
    <row r="317" spans="1:13">
      <c r="A317" s="162"/>
      <c r="B317" s="162"/>
      <c r="C317" s="162"/>
      <c r="D317" s="169"/>
      <c r="E317" s="169"/>
      <c r="F317" s="169"/>
      <c r="G317" s="169"/>
      <c r="H317" s="171"/>
      <c r="I317" s="171"/>
      <c r="J317" s="171"/>
      <c r="K317" s="171"/>
      <c r="L317" s="171"/>
      <c r="M317" s="171"/>
    </row>
    <row r="318" spans="1:13">
      <c r="A318" s="162"/>
      <c r="B318" s="162"/>
      <c r="C318" s="162"/>
      <c r="D318" s="169"/>
      <c r="E318" s="169"/>
      <c r="F318" s="169"/>
      <c r="G318" s="169"/>
      <c r="H318" s="171"/>
      <c r="I318" s="171"/>
      <c r="J318" s="171"/>
      <c r="K318" s="171"/>
      <c r="L318" s="171"/>
      <c r="M318" s="171"/>
    </row>
    <row r="319" spans="1:13">
      <c r="A319" s="162"/>
      <c r="B319" s="162"/>
      <c r="C319" s="162"/>
      <c r="D319" s="169"/>
      <c r="E319" s="169"/>
      <c r="F319" s="169"/>
      <c r="G319" s="169"/>
      <c r="H319" s="171"/>
      <c r="I319" s="171"/>
      <c r="J319" s="171"/>
      <c r="K319" s="171"/>
      <c r="L319" s="171"/>
      <c r="M319" s="171"/>
    </row>
    <row r="320" spans="1:13">
      <c r="D320" s="5"/>
      <c r="E320" s="5"/>
      <c r="F320" s="5"/>
      <c r="G320" s="5"/>
    </row>
    <row r="321" spans="4:7">
      <c r="D321" s="5"/>
      <c r="E321" s="5"/>
      <c r="F321" s="5"/>
      <c r="G321" s="5"/>
    </row>
    <row r="322" spans="4:7">
      <c r="D322" s="5"/>
      <c r="E322" s="5"/>
      <c r="F322" s="5"/>
      <c r="G322" s="5"/>
    </row>
    <row r="323" spans="4:7">
      <c r="D323" s="5"/>
      <c r="E323" s="5"/>
      <c r="F323" s="5"/>
      <c r="G323" s="5"/>
    </row>
    <row r="324" spans="4:7">
      <c r="D324" s="5"/>
      <c r="E324" s="5"/>
      <c r="F324" s="5"/>
      <c r="G324" s="5"/>
    </row>
    <row r="325" spans="4:7">
      <c r="D325" s="5"/>
      <c r="E325" s="5"/>
      <c r="F325" s="5"/>
      <c r="G325" s="5"/>
    </row>
    <row r="326" spans="4:7">
      <c r="D326" s="5"/>
      <c r="E326" s="5"/>
      <c r="F326" s="5"/>
      <c r="G326" s="5"/>
    </row>
    <row r="327" spans="4:7">
      <c r="D327" s="5"/>
      <c r="E327" s="5"/>
      <c r="F327" s="5"/>
      <c r="G327" s="5"/>
    </row>
    <row r="328" spans="4:7">
      <c r="D328" s="5"/>
      <c r="E328" s="5"/>
      <c r="F328" s="5"/>
      <c r="G328" s="5"/>
    </row>
    <row r="329" spans="4:7">
      <c r="D329" s="5"/>
      <c r="E329" s="5"/>
      <c r="F329" s="5"/>
      <c r="G329" s="5"/>
    </row>
    <row r="330" spans="4:7">
      <c r="D330" s="5"/>
      <c r="E330" s="5"/>
      <c r="F330" s="5"/>
      <c r="G330" s="5"/>
    </row>
    <row r="331" spans="4:7">
      <c r="D331" s="5"/>
      <c r="E331" s="5"/>
      <c r="F331" s="5"/>
      <c r="G331" s="5"/>
    </row>
    <row r="332" spans="4:7">
      <c r="D332" s="5"/>
      <c r="E332" s="5"/>
      <c r="F332" s="5"/>
      <c r="G332" s="5"/>
    </row>
    <row r="333" spans="4:7">
      <c r="D333" s="5"/>
      <c r="E333" s="5"/>
      <c r="F333" s="5"/>
      <c r="G333" s="5"/>
    </row>
    <row r="334" spans="4:7">
      <c r="D334" s="5"/>
      <c r="E334" s="5"/>
      <c r="F334" s="5"/>
      <c r="G334" s="5"/>
    </row>
    <row r="335" spans="4:7">
      <c r="D335" s="5"/>
      <c r="E335" s="5"/>
      <c r="F335" s="5"/>
      <c r="G335" s="5"/>
    </row>
    <row r="336" spans="4:7">
      <c r="D336" s="5"/>
      <c r="E336" s="5"/>
      <c r="F336" s="5"/>
      <c r="G336" s="5"/>
    </row>
    <row r="337" spans="4:13">
      <c r="D337" s="5"/>
      <c r="E337" s="5"/>
      <c r="F337" s="5"/>
      <c r="G337" s="5"/>
    </row>
    <row r="338" spans="4:13">
      <c r="D338" s="5"/>
      <c r="E338" s="5"/>
      <c r="F338" s="5"/>
      <c r="G338" s="5"/>
    </row>
    <row r="339" spans="4:13">
      <c r="D339" s="5"/>
      <c r="E339" s="5"/>
      <c r="F339" s="5"/>
      <c r="G339" s="5"/>
    </row>
    <row r="340" spans="4:13">
      <c r="D340" s="5"/>
      <c r="E340" s="5"/>
      <c r="F340" s="5"/>
      <c r="G340" s="5"/>
    </row>
    <row r="341" spans="4:13">
      <c r="D341" s="5"/>
      <c r="E341" s="5"/>
      <c r="F341" s="5"/>
      <c r="G341" s="5"/>
      <c r="J341" s="33"/>
      <c r="K341" s="33"/>
      <c r="L341" s="33"/>
      <c r="M341" s="33"/>
    </row>
    <row r="342" spans="4:13">
      <c r="D342" s="5"/>
      <c r="E342" s="5"/>
      <c r="F342" s="5"/>
      <c r="G342" s="5"/>
    </row>
  </sheetData>
  <mergeCells count="6">
    <mergeCell ref="I4:M4"/>
    <mergeCell ref="D5:E5"/>
    <mergeCell ref="F5:G5"/>
    <mergeCell ref="H5:I5"/>
    <mergeCell ref="J5:K5"/>
    <mergeCell ref="L5:M5"/>
  </mergeCells>
  <dataValidations count="3">
    <dataValidation allowBlank="1" showInputMessage="1" showErrorMessage="1" prompt="förändring i marknads-andelen ackumulerat från årets början t.o.m den aktuella månaden." sqref="K6 B6" xr:uid="{00000000-0002-0000-0900-000000000000}"/>
    <dataValidation allowBlank="1" showInputMessage="1" showErrorMessage="1" prompt="visar antalet registreringar för den aktuella månaden i år." sqref="D6:G6" xr:uid="{00000000-0002-0000-0900-000001000000}"/>
    <dataValidation allowBlank="1" showInputMessage="1" showErrorMessage="1" prompt="förändring i antalet registreringar ackumulerat från årets början t.o.m den aktuella månaden." sqref="I6" xr:uid="{00000000-0002-0000-0900-000002000000}"/>
  </dataValidations>
  <pageMargins left="0.70866141732283472" right="0.70866141732283472" top="0.74803149606299213" bottom="0.74803149606299213" header="0.31496062992125984" footer="0.31496062992125984"/>
  <pageSetup paperSize="9" scale="6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R156"/>
  <sheetViews>
    <sheetView workbookViewId="0">
      <selection activeCell="M2" sqref="M2"/>
    </sheetView>
  </sheetViews>
  <sheetFormatPr baseColWidth="10" defaultColWidth="8.83203125" defaultRowHeight="15"/>
  <cols>
    <col min="1" max="1" width="12.5" style="5" customWidth="1"/>
    <col min="2" max="2" width="9.83203125" customWidth="1"/>
    <col min="3" max="3" width="16.33203125" style="5" customWidth="1"/>
    <col min="4" max="4" width="10.33203125" style="5" customWidth="1"/>
    <col min="5" max="5" width="12.5" style="13" customWidth="1"/>
    <col min="6" max="6" width="10.6640625" style="13" customWidth="1"/>
    <col min="7" max="8" width="10.6640625" style="5" customWidth="1"/>
    <col min="9" max="11" width="10.6640625" style="9"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9.25" customHeight="1" thickBot="1">
      <c r="A2" s="160"/>
      <c r="B2" s="160"/>
      <c r="C2" s="61" t="s">
        <v>353</v>
      </c>
      <c r="D2" s="61"/>
      <c r="E2" s="61"/>
      <c r="F2" s="61"/>
      <c r="G2" s="61"/>
      <c r="H2" s="61"/>
      <c r="I2" s="61"/>
      <c r="J2" s="160"/>
      <c r="O2" s="2"/>
    </row>
    <row r="3" spans="1:15" ht="15.75" customHeight="1"/>
    <row r="4" spans="1:15" ht="15.75" customHeight="1">
      <c r="G4" s="286" t="s">
        <v>483</v>
      </c>
      <c r="H4" s="286"/>
      <c r="I4" s="286"/>
      <c r="J4" s="286"/>
      <c r="K4" s="286"/>
    </row>
    <row r="5" spans="1:15">
      <c r="A5" s="145"/>
      <c r="B5" s="294" t="s">
        <v>571</v>
      </c>
      <c r="C5" s="295"/>
      <c r="D5" s="296" t="s">
        <v>573</v>
      </c>
      <c r="E5" s="297"/>
      <c r="F5" s="146" t="s">
        <v>571</v>
      </c>
      <c r="G5" s="147"/>
      <c r="H5" s="298" t="s">
        <v>573</v>
      </c>
      <c r="I5" s="299"/>
      <c r="J5" s="298" t="s">
        <v>572</v>
      </c>
      <c r="K5" s="299"/>
      <c r="L5" s="27"/>
    </row>
    <row r="6" spans="1:15">
      <c r="A6" s="124"/>
      <c r="B6" s="148" t="str">
        <f>Innehåll!D79</f>
        <v xml:space="preserve"> 2023-01</v>
      </c>
      <c r="C6" s="148" t="str">
        <f>Innehåll!D80</f>
        <v xml:space="preserve"> 2022-01</v>
      </c>
      <c r="D6" s="149" t="str">
        <f>B6</f>
        <v xml:space="preserve"> 2023-01</v>
      </c>
      <c r="E6" s="150" t="str">
        <f>C6</f>
        <v xml:space="preserve"> 2022-01</v>
      </c>
      <c r="F6" s="148" t="str">
        <f>Innehåll!D81</f>
        <v>YTD  2023</v>
      </c>
      <c r="G6" s="148" t="str">
        <f>Innehåll!D82</f>
        <v>YTD  2022</v>
      </c>
      <c r="H6" s="151" t="str">
        <f>F6</f>
        <v>YTD  2023</v>
      </c>
      <c r="I6" s="152" t="str">
        <f>G6</f>
        <v>YTD  2022</v>
      </c>
      <c r="J6" s="153" t="str">
        <f>B6</f>
        <v xml:space="preserve"> 2023-01</v>
      </c>
      <c r="K6" s="151" t="str">
        <f>F6</f>
        <v>YTD  2023</v>
      </c>
      <c r="L6" s="27"/>
    </row>
    <row r="7" spans="1:15" ht="15" hidden="1" customHeight="1">
      <c r="A7" s="67" t="s">
        <v>359</v>
      </c>
      <c r="B7" s="67" t="s">
        <v>35</v>
      </c>
      <c r="C7" s="67" t="s">
        <v>313</v>
      </c>
      <c r="D7" s="88" t="s">
        <v>349</v>
      </c>
      <c r="E7" s="88" t="s">
        <v>348</v>
      </c>
      <c r="F7" s="67" t="s">
        <v>314</v>
      </c>
      <c r="G7" s="67" t="s">
        <v>315</v>
      </c>
      <c r="H7" s="64" t="s">
        <v>350</v>
      </c>
      <c r="I7" s="64" t="s">
        <v>351</v>
      </c>
      <c r="J7" s="64" t="s">
        <v>352</v>
      </c>
      <c r="K7" s="64" t="s">
        <v>360</v>
      </c>
      <c r="L7" s="27"/>
    </row>
    <row r="8" spans="1:15">
      <c r="A8" s="5" t="s">
        <v>1019</v>
      </c>
      <c r="B8" s="67">
        <v>5930</v>
      </c>
      <c r="C8" s="67">
        <v>9586</v>
      </c>
      <c r="D8" s="88">
        <f>(getAggPBCO2Emissions[[#This Row],[antalPerioden]]/$B$15)*100</f>
        <v>40.649849191115983</v>
      </c>
      <c r="E8" s="88">
        <f>(getAggPBCO2Emissions[[#This Row],[antalPeriodenFG]]/$C$15)*100</f>
        <v>48.187804755441611</v>
      </c>
      <c r="F8" s="67">
        <v>5930</v>
      </c>
      <c r="G8" s="67">
        <v>9586</v>
      </c>
      <c r="H8" s="64">
        <f>(getAggPBCO2Emissions[[#This Row],[antalAret]]/$F$15)*100</f>
        <v>40.649849191115983</v>
      </c>
      <c r="I8" s="64">
        <f>(getAggPBCO2Emissions[[#This Row],[antalAretFG]]/$G$15)*100</f>
        <v>48.187804755441611</v>
      </c>
      <c r="J8" s="64">
        <f>((( getAggPBCO2Emissions[[#This Row],[antalPerioden]]  / getAggPBCO2Emissions[[#This Row],[antalPeriodenFG]]) - 1) * 100)</f>
        <v>-38.138952639265597</v>
      </c>
      <c r="K8" s="64">
        <f>((( getAggPBCO2Emissions[[#This Row],[antalAret]]  / getAggPBCO2Emissions[[#This Row],[antalAretFG]]) - 1) * 100)</f>
        <v>-38.138952639265597</v>
      </c>
      <c r="L8" s="27"/>
    </row>
    <row r="9" spans="1:15">
      <c r="A9" s="89" t="s">
        <v>1030</v>
      </c>
      <c r="B9" s="67">
        <v>39</v>
      </c>
      <c r="C9" s="67">
        <v>87</v>
      </c>
      <c r="D9" s="88">
        <f>(getAggPBCO2Emissions[[#This Row],[antalPerioden]]/$B$15)*100</f>
        <v>0.2673430216616397</v>
      </c>
      <c r="E9" s="88">
        <f>(getAggPBCO2Emissions[[#This Row],[antalPeriodenFG]]/$C$15)*100</f>
        <v>0.43733976775750266</v>
      </c>
      <c r="F9" s="67">
        <v>39</v>
      </c>
      <c r="G9" s="67">
        <v>87</v>
      </c>
      <c r="H9" s="64">
        <f>(getAggPBCO2Emissions[[#This Row],[antalAret]]/$F$15)*100</f>
        <v>0.2673430216616397</v>
      </c>
      <c r="I9" s="64">
        <f>(getAggPBCO2Emissions[[#This Row],[antalAretFG]]/$G$15)*100</f>
        <v>0.43733976775750266</v>
      </c>
      <c r="J9" s="64">
        <f>((( getAggPBCO2Emissions[[#This Row],[antalPerioden]]  / getAggPBCO2Emissions[[#This Row],[antalPeriodenFG]]) - 1) * 100)</f>
        <v>-55.172413793103445</v>
      </c>
      <c r="K9" s="64">
        <f>((( getAggPBCO2Emissions[[#This Row],[antalAret]]  / getAggPBCO2Emissions[[#This Row],[antalAretFG]]) - 1) * 100)</f>
        <v>-55.172413793103445</v>
      </c>
      <c r="L9" s="27"/>
    </row>
    <row r="10" spans="1:15">
      <c r="A10" s="90" t="s">
        <v>354</v>
      </c>
      <c r="B10" s="67">
        <v>246</v>
      </c>
      <c r="C10" s="67">
        <v>790</v>
      </c>
      <c r="D10" s="88">
        <f>(getAggPBCO2Emissions[[#This Row],[antalPerioden]]/$B$15)*100</f>
        <v>1.686317521250343</v>
      </c>
      <c r="E10" s="88">
        <f>(getAggPBCO2Emissions[[#This Row],[antalPeriodenFG]]/$C$15)*100</f>
        <v>3.9712461669934149</v>
      </c>
      <c r="F10" s="67">
        <v>246</v>
      </c>
      <c r="G10" s="67">
        <v>790</v>
      </c>
      <c r="H10" s="64">
        <f>(getAggPBCO2Emissions[[#This Row],[antalAret]]/$F$15)*100</f>
        <v>1.686317521250343</v>
      </c>
      <c r="I10" s="64">
        <f>(getAggPBCO2Emissions[[#This Row],[antalAretFG]]/$G$15)*100</f>
        <v>3.9712461669934149</v>
      </c>
      <c r="J10" s="64">
        <f>((( getAggPBCO2Emissions[[#This Row],[antalPerioden]]  / getAggPBCO2Emissions[[#This Row],[antalPeriodenFG]]) - 1) * 100)</f>
        <v>-68.860759493670884</v>
      </c>
      <c r="K10" s="64">
        <f>((( getAggPBCO2Emissions[[#This Row],[antalAret]]  / getAggPBCO2Emissions[[#This Row],[antalAretFG]]) - 1) * 100)</f>
        <v>-68.860759493670884</v>
      </c>
      <c r="L10" s="27"/>
    </row>
    <row r="11" spans="1:15">
      <c r="A11" s="89" t="s">
        <v>355</v>
      </c>
      <c r="B11" s="67">
        <v>1985</v>
      </c>
      <c r="C11" s="67">
        <v>2885</v>
      </c>
      <c r="D11" s="88">
        <f>(getAggPBCO2Emissions[[#This Row],[antalPerioden]]/$B$15)*100</f>
        <v>13.607074307650125</v>
      </c>
      <c r="E11" s="88">
        <f>(getAggPBCO2Emissions[[#This Row],[antalPeriodenFG]]/$C$15)*100</f>
        <v>14.502588850349369</v>
      </c>
      <c r="F11" s="67">
        <v>1985</v>
      </c>
      <c r="G11" s="67">
        <v>2885</v>
      </c>
      <c r="H11" s="64">
        <f>(getAggPBCO2Emissions[[#This Row],[antalAret]]/$F$15)*100</f>
        <v>13.607074307650125</v>
      </c>
      <c r="I11" s="64">
        <f>(getAggPBCO2Emissions[[#This Row],[antalAretFG]]/$G$15)*100</f>
        <v>14.502588850349369</v>
      </c>
      <c r="J11" s="64">
        <f>((( getAggPBCO2Emissions[[#This Row],[antalPerioden]]  / getAggPBCO2Emissions[[#This Row],[antalPeriodenFG]]) - 1) * 100)</f>
        <v>-31.195840554592724</v>
      </c>
      <c r="K11" s="64">
        <f>((( getAggPBCO2Emissions[[#This Row],[antalAret]]  / getAggPBCO2Emissions[[#This Row],[antalAretFG]]) - 1) * 100)</f>
        <v>-31.195840554592724</v>
      </c>
      <c r="L11" s="27"/>
    </row>
    <row r="12" spans="1:15">
      <c r="A12" s="90" t="s">
        <v>356</v>
      </c>
      <c r="B12" s="67">
        <v>889</v>
      </c>
      <c r="C12" s="67">
        <v>1419</v>
      </c>
      <c r="D12" s="88">
        <f>(getAggPBCO2Emissions[[#This Row],[antalPerioden]]/$B$15)*100</f>
        <v>6.0940499040307099</v>
      </c>
      <c r="E12" s="88">
        <f>(getAggPBCO2Emissions[[#This Row],[antalPeriodenFG]]/$C$15)*100</f>
        <v>7.1331624189413354</v>
      </c>
      <c r="F12" s="67">
        <v>889</v>
      </c>
      <c r="G12" s="67">
        <v>1419</v>
      </c>
      <c r="H12" s="64">
        <f>(getAggPBCO2Emissions[[#This Row],[antalAret]]/$F$15)*100</f>
        <v>6.0940499040307099</v>
      </c>
      <c r="I12" s="64">
        <f>(getAggPBCO2Emissions[[#This Row],[antalAretFG]]/$G$15)*100</f>
        <v>7.1331624189413354</v>
      </c>
      <c r="J12" s="64">
        <f>((( getAggPBCO2Emissions[[#This Row],[antalPerioden]]  / getAggPBCO2Emissions[[#This Row],[antalPeriodenFG]]) - 1) * 100)</f>
        <v>-37.350246652572238</v>
      </c>
      <c r="K12" s="64">
        <f>((( getAggPBCO2Emissions[[#This Row],[antalAret]]  / getAggPBCO2Emissions[[#This Row],[antalAretFG]]) - 1) * 100)</f>
        <v>-37.350246652572238</v>
      </c>
      <c r="L12" s="27"/>
    </row>
    <row r="13" spans="1:15">
      <c r="A13" s="89" t="s">
        <v>357</v>
      </c>
      <c r="B13" s="67">
        <v>449</v>
      </c>
      <c r="C13" s="67">
        <v>1084</v>
      </c>
      <c r="D13" s="88">
        <f>(getAggPBCO2Emissions[[#This Row],[antalPerioden]]/$B$15)*100</f>
        <v>3.077872223745544</v>
      </c>
      <c r="E13" s="88">
        <f>(getAggPBCO2Emissions[[#This Row],[antalPeriodenFG]]/$C$15)*100</f>
        <v>5.4491529683808375</v>
      </c>
      <c r="F13" s="67">
        <v>449</v>
      </c>
      <c r="G13" s="67">
        <v>1084</v>
      </c>
      <c r="H13" s="64">
        <f>(getAggPBCO2Emissions[[#This Row],[antalAret]]/$F$15)*100</f>
        <v>3.077872223745544</v>
      </c>
      <c r="I13" s="64">
        <f>(getAggPBCO2Emissions[[#This Row],[antalAretFG]]/$G$15)*100</f>
        <v>5.4491529683808375</v>
      </c>
      <c r="J13" s="64">
        <f>((( getAggPBCO2Emissions[[#This Row],[antalPerioden]]  / getAggPBCO2Emissions[[#This Row],[antalPeriodenFG]]) - 1) * 100)</f>
        <v>-58.579335793357934</v>
      </c>
      <c r="K13" s="64">
        <f>((( getAggPBCO2Emissions[[#This Row],[antalAret]]  / getAggPBCO2Emissions[[#This Row],[antalAretFG]]) - 1) * 100)</f>
        <v>-58.579335793357934</v>
      </c>
      <c r="L13" s="27"/>
    </row>
    <row r="14" spans="1:15">
      <c r="A14" s="90" t="s">
        <v>32</v>
      </c>
      <c r="B14" s="174">
        <v>5050</v>
      </c>
      <c r="C14" s="174">
        <v>4042</v>
      </c>
      <c r="D14" s="183">
        <f>(getAggPBCO2Emissions[[#This Row],[antalPerioden]]/$B$15)*100</f>
        <v>34.617493830545655</v>
      </c>
      <c r="E14" s="183">
        <f>(getAggPBCO2Emissions[[#This Row],[antalPeriodenFG]]/$C$15)*100</f>
        <v>20.318705072135927</v>
      </c>
      <c r="F14" s="174">
        <v>5050</v>
      </c>
      <c r="G14" s="174">
        <v>4042</v>
      </c>
      <c r="H14" s="175">
        <f>(getAggPBCO2Emissions[[#This Row],[antalAret]]/$F$15)*100</f>
        <v>34.617493830545655</v>
      </c>
      <c r="I14" s="175">
        <f>(getAggPBCO2Emissions[[#This Row],[antalAretFG]]/$G$15)*100</f>
        <v>20.318705072135927</v>
      </c>
      <c r="J14" s="175">
        <f>((( getAggPBCO2Emissions[[#This Row],[antalPerioden]]  / getAggPBCO2Emissions[[#This Row],[antalPeriodenFG]]) - 1) * 100)</f>
        <v>24.938149430974764</v>
      </c>
      <c r="K14" s="175">
        <f>((( getAggPBCO2Emissions[[#This Row],[antalAret]]  / getAggPBCO2Emissions[[#This Row],[antalAretFG]]) - 1) * 100)</f>
        <v>24.938149430974764</v>
      </c>
      <c r="L14" s="27"/>
    </row>
    <row r="15" spans="1:15" s="6" customFormat="1">
      <c r="A15" s="91" t="s">
        <v>485</v>
      </c>
      <c r="B15" s="91">
        <f t="shared" ref="B15:I15" si="0">SUM(B8:B14)</f>
        <v>14588</v>
      </c>
      <c r="C15" s="91">
        <f t="shared" si="0"/>
        <v>19893</v>
      </c>
      <c r="D15" s="92">
        <f t="shared" si="0"/>
        <v>100</v>
      </c>
      <c r="E15" s="92">
        <f t="shared" si="0"/>
        <v>100.00000000000001</v>
      </c>
      <c r="F15" s="91">
        <f t="shared" si="0"/>
        <v>14588</v>
      </c>
      <c r="G15" s="91">
        <f t="shared" si="0"/>
        <v>19893</v>
      </c>
      <c r="H15" s="92">
        <f t="shared" si="0"/>
        <v>100</v>
      </c>
      <c r="I15" s="92">
        <f t="shared" si="0"/>
        <v>100.00000000000001</v>
      </c>
      <c r="J15" s="93">
        <f>((( B15  / C15) - 1) * 100)</f>
        <v>-26.667672045443126</v>
      </c>
      <c r="K15" s="93">
        <f>((( F15  / G15) - 1) * 100)</f>
        <v>-26.667672045443126</v>
      </c>
      <c r="L15" s="43"/>
    </row>
    <row r="16" spans="1:15">
      <c r="A16" s="67"/>
      <c r="B16" s="27"/>
      <c r="C16" s="67"/>
      <c r="D16" s="67"/>
      <c r="E16" s="88"/>
      <c r="F16" s="88"/>
      <c r="G16" s="67"/>
      <c r="H16" s="67"/>
      <c r="I16" s="64"/>
      <c r="J16" s="81"/>
      <c r="K16" s="64"/>
      <c r="L16" s="27"/>
    </row>
    <row r="17" spans="1:15">
      <c r="A17" s="67"/>
      <c r="B17" s="27"/>
      <c r="C17" s="67"/>
      <c r="D17" s="67"/>
      <c r="E17" s="88"/>
      <c r="F17" s="88"/>
      <c r="G17" s="67"/>
      <c r="H17" s="67"/>
      <c r="I17" s="64"/>
      <c r="J17" s="64"/>
      <c r="K17" s="64"/>
      <c r="L17" s="27"/>
    </row>
    <row r="18" spans="1:15">
      <c r="A18" s="60" t="s">
        <v>723</v>
      </c>
      <c r="B18" s="27"/>
      <c r="C18" s="67"/>
      <c r="D18" s="67"/>
      <c r="E18" s="88"/>
      <c r="F18" s="88"/>
      <c r="G18" s="67"/>
      <c r="H18" s="67"/>
      <c r="I18" s="64"/>
      <c r="J18" s="64"/>
      <c r="K18" s="64"/>
      <c r="L18" s="27"/>
    </row>
    <row r="19" spans="1:15">
      <c r="A19" s="60" t="s">
        <v>358</v>
      </c>
      <c r="B19" s="27"/>
      <c r="C19" s="67"/>
      <c r="D19" s="67"/>
      <c r="E19" s="88"/>
      <c r="F19" s="88"/>
      <c r="G19" s="67"/>
      <c r="H19" s="67"/>
      <c r="I19" s="64"/>
      <c r="J19" s="64"/>
      <c r="K19" s="64"/>
      <c r="L19" s="27"/>
    </row>
    <row r="22" spans="1:15" ht="19.25" customHeight="1" thickBot="1">
      <c r="A22" s="61" t="s">
        <v>378</v>
      </c>
      <c r="B22" s="61"/>
      <c r="C22" s="61"/>
      <c r="D22" s="61"/>
      <c r="E22" s="61"/>
      <c r="F22" s="61"/>
      <c r="G22"/>
    </row>
    <row r="24" spans="1:15">
      <c r="A24" s="67"/>
      <c r="B24" s="27"/>
      <c r="C24" s="67"/>
      <c r="D24" s="67"/>
      <c r="E24" s="88"/>
      <c r="F24" s="94"/>
      <c r="G24" s="286" t="s">
        <v>483</v>
      </c>
      <c r="H24" s="286"/>
      <c r="I24" s="286"/>
      <c r="J24" s="286"/>
      <c r="K24" s="286"/>
      <c r="L24" s="27"/>
    </row>
    <row r="25" spans="1:15">
      <c r="A25" s="112"/>
      <c r="B25" s="294" t="s">
        <v>571</v>
      </c>
      <c r="C25" s="295"/>
      <c r="D25" s="296" t="s">
        <v>573</v>
      </c>
      <c r="E25" s="297"/>
      <c r="F25" s="146" t="s">
        <v>571</v>
      </c>
      <c r="G25" s="147"/>
      <c r="H25" s="298" t="s">
        <v>573</v>
      </c>
      <c r="I25" s="299"/>
      <c r="J25" s="298" t="s">
        <v>572</v>
      </c>
      <c r="K25" s="299"/>
      <c r="L25" s="27"/>
    </row>
    <row r="26" spans="1:15">
      <c r="A26" s="112"/>
      <c r="B26" s="148" t="str">
        <f>Innehåll!D79</f>
        <v xml:space="preserve"> 2023-01</v>
      </c>
      <c r="C26" s="148" t="str">
        <f>Innehåll!D80</f>
        <v xml:space="preserve"> 2022-01</v>
      </c>
      <c r="D26" s="149" t="str">
        <f>B26</f>
        <v xml:space="preserve"> 2023-01</v>
      </c>
      <c r="E26" s="150" t="str">
        <f>C26</f>
        <v xml:space="preserve"> 2022-01</v>
      </c>
      <c r="F26" s="148" t="str">
        <f>Innehåll!D81</f>
        <v>YTD  2023</v>
      </c>
      <c r="G26" s="148" t="str">
        <f>Innehåll!D82</f>
        <v>YTD  2022</v>
      </c>
      <c r="H26" s="151" t="str">
        <f>F26</f>
        <v>YTD  2023</v>
      </c>
      <c r="I26" s="152" t="str">
        <f>G26</f>
        <v>YTD  2022</v>
      </c>
      <c r="J26" s="153" t="str">
        <f>B26</f>
        <v xml:space="preserve"> 2023-01</v>
      </c>
      <c r="K26" s="151" t="str">
        <f>F26</f>
        <v>YTD  2023</v>
      </c>
      <c r="L26" s="27"/>
    </row>
    <row r="27" spans="1:15" ht="15" hidden="1" customHeight="1">
      <c r="A27" s="67" t="s">
        <v>347</v>
      </c>
      <c r="B27" s="67" t="s">
        <v>35</v>
      </c>
      <c r="C27" s="67" t="s">
        <v>313</v>
      </c>
      <c r="D27" s="67" t="s">
        <v>348</v>
      </c>
      <c r="E27" s="67" t="s">
        <v>349</v>
      </c>
      <c r="F27" s="67" t="s">
        <v>314</v>
      </c>
      <c r="G27" s="67" t="s">
        <v>315</v>
      </c>
      <c r="H27" s="67" t="s">
        <v>350</v>
      </c>
      <c r="I27" s="67" t="s">
        <v>351</v>
      </c>
      <c r="J27" s="67" t="s">
        <v>352</v>
      </c>
      <c r="K27" s="67" t="s">
        <v>360</v>
      </c>
      <c r="L27" s="67"/>
      <c r="M27" s="9"/>
      <c r="N27" s="9"/>
      <c r="O27" s="9"/>
    </row>
    <row r="28" spans="1:15">
      <c r="A28" s="67" t="s">
        <v>1019</v>
      </c>
      <c r="B28" s="67">
        <v>7535</v>
      </c>
      <c r="C28" s="67">
        <v>10250</v>
      </c>
      <c r="D28" s="88">
        <f t="shared" ref="D28:D35" si="1">(B28/$B$36)*100</f>
        <v>51.606054379836998</v>
      </c>
      <c r="E28" s="88">
        <f t="shared" ref="E28:E35" si="2">(C28/$C$36)*100</f>
        <v>51.525662293268994</v>
      </c>
      <c r="F28" s="67">
        <v>7535</v>
      </c>
      <c r="G28" s="67">
        <v>10250</v>
      </c>
      <c r="H28" s="88">
        <f t="shared" ref="H28:H35" si="3">(F28/$F$36)*100</f>
        <v>51.606054379836998</v>
      </c>
      <c r="I28" s="88">
        <f t="shared" ref="I28:I35" si="4">(G28/$G$36)*100</f>
        <v>51.525662293268994</v>
      </c>
      <c r="J28" s="64">
        <f t="shared" ref="J28:J35" si="5">((( B28  / C28) - 1) * 100)</f>
        <v>-26.487804878048781</v>
      </c>
      <c r="K28" s="64">
        <f t="shared" ref="K28:K35" si="6">((( F28  / G28) - 1) * 100)</f>
        <v>-26.487804878048781</v>
      </c>
      <c r="L28" s="67"/>
      <c r="M28" s="9"/>
      <c r="N28" s="9"/>
      <c r="O28" s="9"/>
    </row>
    <row r="29" spans="1:15">
      <c r="A29" s="67" t="s">
        <v>1020</v>
      </c>
      <c r="B29" s="67">
        <v>56</v>
      </c>
      <c r="C29" s="67">
        <v>212</v>
      </c>
      <c r="D29" s="88">
        <f t="shared" si="1"/>
        <v>0.38353537428943218</v>
      </c>
      <c r="E29" s="64">
        <f t="shared" si="2"/>
        <v>1.0657015030412709</v>
      </c>
      <c r="F29" s="67">
        <v>56</v>
      </c>
      <c r="G29" s="67">
        <v>212</v>
      </c>
      <c r="H29" s="64">
        <f t="shared" si="3"/>
        <v>0.38353537428943218</v>
      </c>
      <c r="I29" s="64">
        <f t="shared" si="4"/>
        <v>1.0657015030412709</v>
      </c>
      <c r="J29" s="64">
        <f t="shared" si="5"/>
        <v>-73.584905660377359</v>
      </c>
      <c r="K29" s="64">
        <f t="shared" si="6"/>
        <v>-73.584905660377359</v>
      </c>
      <c r="L29" s="67"/>
      <c r="M29" s="9"/>
      <c r="N29" s="9"/>
      <c r="O29" s="9"/>
    </row>
    <row r="30" spans="1:15">
      <c r="A30" s="67" t="s">
        <v>624</v>
      </c>
      <c r="B30" s="67">
        <v>12</v>
      </c>
      <c r="C30" s="67">
        <v>29</v>
      </c>
      <c r="D30" s="88">
        <f t="shared" si="1"/>
        <v>8.2186151633449764E-2</v>
      </c>
      <c r="E30" s="64">
        <f t="shared" si="2"/>
        <v>0.14577992258583422</v>
      </c>
      <c r="F30" s="67">
        <v>12</v>
      </c>
      <c r="G30" s="67">
        <v>29</v>
      </c>
      <c r="H30" s="64">
        <f t="shared" si="3"/>
        <v>8.2186151633449764E-2</v>
      </c>
      <c r="I30" s="64">
        <f t="shared" si="4"/>
        <v>0.14577992258583422</v>
      </c>
      <c r="J30" s="64">
        <f t="shared" si="5"/>
        <v>-58.62068965517242</v>
      </c>
      <c r="K30" s="64">
        <f t="shared" si="6"/>
        <v>-58.62068965517242</v>
      </c>
      <c r="L30" s="67"/>
      <c r="M30" s="9"/>
      <c r="N30" s="9"/>
      <c r="O30" s="9"/>
    </row>
    <row r="31" spans="1:15">
      <c r="A31" s="67" t="s">
        <v>625</v>
      </c>
      <c r="B31" s="67">
        <v>171</v>
      </c>
      <c r="C31" s="67">
        <v>186</v>
      </c>
      <c r="D31" s="88">
        <f t="shared" si="1"/>
        <v>1.1711526607766591</v>
      </c>
      <c r="E31" s="64">
        <f t="shared" si="2"/>
        <v>0.93500226210224713</v>
      </c>
      <c r="F31" s="67">
        <v>171</v>
      </c>
      <c r="G31" s="67">
        <v>186</v>
      </c>
      <c r="H31" s="64">
        <f t="shared" si="3"/>
        <v>1.1711526607766591</v>
      </c>
      <c r="I31" s="64">
        <f t="shared" si="4"/>
        <v>0.93500226210224713</v>
      </c>
      <c r="J31" s="64">
        <f t="shared" si="5"/>
        <v>-8.0645161290322616</v>
      </c>
      <c r="K31" s="64">
        <f t="shared" si="6"/>
        <v>-8.0645161290322616</v>
      </c>
      <c r="L31" s="67"/>
      <c r="M31" s="9"/>
      <c r="N31" s="9"/>
      <c r="O31" s="9"/>
    </row>
    <row r="32" spans="1:15">
      <c r="A32" s="67" t="s">
        <v>626</v>
      </c>
      <c r="B32" s="67">
        <v>1427</v>
      </c>
      <c r="C32" s="67">
        <v>1653</v>
      </c>
      <c r="D32" s="88">
        <f t="shared" si="1"/>
        <v>9.7733031984110674</v>
      </c>
      <c r="E32" s="64">
        <f t="shared" si="2"/>
        <v>8.3094555873925504</v>
      </c>
      <c r="F32" s="67">
        <v>1427</v>
      </c>
      <c r="G32" s="67">
        <v>1653</v>
      </c>
      <c r="H32" s="64">
        <f t="shared" si="3"/>
        <v>9.7733031984110674</v>
      </c>
      <c r="I32" s="64">
        <f t="shared" si="4"/>
        <v>8.3094555873925504</v>
      </c>
      <c r="J32" s="64">
        <f t="shared" si="5"/>
        <v>-13.672111312764667</v>
      </c>
      <c r="K32" s="64">
        <f t="shared" si="6"/>
        <v>-13.672111312764667</v>
      </c>
      <c r="L32" s="67"/>
      <c r="M32" s="9"/>
      <c r="N32" s="9"/>
      <c r="O32" s="9"/>
    </row>
    <row r="33" spans="1:18">
      <c r="A33" s="67" t="s">
        <v>356</v>
      </c>
      <c r="B33" s="67">
        <v>1210</v>
      </c>
      <c r="C33" s="67">
        <v>1429</v>
      </c>
      <c r="D33" s="88">
        <f t="shared" si="1"/>
        <v>8.2871036230395188</v>
      </c>
      <c r="E33" s="64">
        <f t="shared" si="2"/>
        <v>7.1834313577640376</v>
      </c>
      <c r="F33" s="67">
        <v>1210</v>
      </c>
      <c r="G33" s="67">
        <v>1429</v>
      </c>
      <c r="H33" s="64">
        <f t="shared" si="3"/>
        <v>8.2871036230395188</v>
      </c>
      <c r="I33" s="64">
        <f t="shared" si="4"/>
        <v>7.1834313577640376</v>
      </c>
      <c r="J33" s="64">
        <f t="shared" si="5"/>
        <v>-15.325402379286214</v>
      </c>
      <c r="K33" s="64">
        <f t="shared" si="6"/>
        <v>-15.325402379286214</v>
      </c>
      <c r="L33" s="67"/>
      <c r="M33" s="9"/>
      <c r="N33" s="9"/>
      <c r="O33" s="9"/>
    </row>
    <row r="34" spans="1:18">
      <c r="A34" s="67" t="s">
        <v>357</v>
      </c>
      <c r="B34" s="67">
        <v>1503</v>
      </c>
      <c r="C34" s="67">
        <v>1375</v>
      </c>
      <c r="D34" s="88">
        <f t="shared" si="1"/>
        <v>10.293815492089584</v>
      </c>
      <c r="E34" s="64">
        <f t="shared" si="2"/>
        <v>6.9119790881214493</v>
      </c>
      <c r="F34" s="67">
        <v>1503</v>
      </c>
      <c r="G34" s="67">
        <v>1375</v>
      </c>
      <c r="H34" s="64">
        <f t="shared" si="3"/>
        <v>10.293815492089584</v>
      </c>
      <c r="I34" s="64">
        <f t="shared" si="4"/>
        <v>6.9119790881214493</v>
      </c>
      <c r="J34" s="64">
        <f t="shared" si="5"/>
        <v>9.3090909090909122</v>
      </c>
      <c r="K34" s="64">
        <f t="shared" si="6"/>
        <v>9.3090909090909122</v>
      </c>
      <c r="L34" s="67"/>
      <c r="M34" s="9"/>
      <c r="N34" s="9"/>
      <c r="O34" s="9"/>
    </row>
    <row r="35" spans="1:18">
      <c r="A35" s="174" t="s">
        <v>32</v>
      </c>
      <c r="B35" s="174">
        <v>2687</v>
      </c>
      <c r="C35" s="174">
        <v>4759</v>
      </c>
      <c r="D35" s="183">
        <f t="shared" si="1"/>
        <v>18.402849119923292</v>
      </c>
      <c r="E35" s="175">
        <f t="shared" si="2"/>
        <v>23.922987985723619</v>
      </c>
      <c r="F35" s="174">
        <v>2687</v>
      </c>
      <c r="G35" s="174">
        <v>4759</v>
      </c>
      <c r="H35" s="175">
        <f t="shared" si="3"/>
        <v>18.402849119923292</v>
      </c>
      <c r="I35" s="175">
        <f t="shared" si="4"/>
        <v>23.922987985723619</v>
      </c>
      <c r="J35" s="175">
        <f t="shared" si="5"/>
        <v>-43.53855852069762</v>
      </c>
      <c r="K35" s="175">
        <f t="shared" si="6"/>
        <v>-43.53855852069762</v>
      </c>
      <c r="L35" s="67"/>
      <c r="M35" s="9"/>
      <c r="N35" s="9"/>
      <c r="O35" s="9"/>
    </row>
    <row r="36" spans="1:18">
      <c r="A36" s="95" t="s">
        <v>485</v>
      </c>
      <c r="B36" s="95">
        <f>SUM(B28:B35)</f>
        <v>14601</v>
      </c>
      <c r="C36" s="238">
        <f>SUM(C28:C35)</f>
        <v>19893</v>
      </c>
      <c r="D36" s="96">
        <f t="shared" ref="D36" si="7">(B36/$B$36)*100</f>
        <v>100</v>
      </c>
      <c r="E36" s="96">
        <f t="shared" ref="E36" si="8">(C36/$C$36)*100</f>
        <v>100</v>
      </c>
      <c r="F36" s="238">
        <f>SUM(F28:F35)</f>
        <v>14601</v>
      </c>
      <c r="G36" s="238">
        <f>SUM(G28:G35)</f>
        <v>19893</v>
      </c>
      <c r="H36" s="96">
        <f t="shared" ref="H36" si="9">(F36/$F$36)*100</f>
        <v>100</v>
      </c>
      <c r="I36" s="96">
        <f t="shared" ref="I36" si="10">(G36/$G$36)*100</f>
        <v>100</v>
      </c>
      <c r="J36" s="97">
        <f>((( B36  / C36) - 1) * 100)</f>
        <v>-26.602322424973611</v>
      </c>
      <c r="K36" s="97">
        <f>((( F36  / G36) - 1) * 100)</f>
        <v>-26.602322424973611</v>
      </c>
      <c r="L36" s="88"/>
      <c r="M36" s="5"/>
      <c r="N36" s="5"/>
      <c r="O36" s="9"/>
      <c r="P36" s="9"/>
      <c r="Q36" s="9"/>
    </row>
    <row r="37" spans="1:18">
      <c r="Q37" s="16"/>
    </row>
    <row r="39" spans="1:18">
      <c r="Q39" s="16"/>
    </row>
    <row r="44" spans="1:18" ht="19.25" customHeight="1" thickBot="1">
      <c r="N44" s="74" t="s">
        <v>372</v>
      </c>
      <c r="O44" s="62"/>
      <c r="P44" s="62"/>
      <c r="Q44" s="62"/>
      <c r="R44" s="129"/>
    </row>
    <row r="45" spans="1:18">
      <c r="N45" s="27"/>
      <c r="O45" s="27"/>
      <c r="P45" s="27"/>
      <c r="Q45" s="27"/>
      <c r="R45" s="27"/>
    </row>
    <row r="46" spans="1:18">
      <c r="N46" s="27"/>
      <c r="O46" s="27"/>
      <c r="P46" s="27"/>
      <c r="Q46" s="27"/>
      <c r="R46" s="27"/>
    </row>
    <row r="47" spans="1:18" ht="16" thickBot="1">
      <c r="N47" s="82" t="str">
        <f>Innehåll!D85</f>
        <v>Jan - jan 2023</v>
      </c>
      <c r="O47" s="83" t="s">
        <v>574</v>
      </c>
      <c r="P47" s="27"/>
      <c r="Q47" s="27"/>
      <c r="R47" s="27"/>
    </row>
    <row r="48" spans="1:18">
      <c r="N48" s="27"/>
      <c r="O48" s="27"/>
      <c r="P48" s="27"/>
      <c r="Q48" s="27"/>
      <c r="R48" s="27"/>
    </row>
    <row r="49" spans="1:18">
      <c r="N49" s="27" t="s">
        <v>1019</v>
      </c>
      <c r="O49" s="47">
        <f t="shared" ref="O49:O55" si="11">H8/100</f>
        <v>0.40649849191115983</v>
      </c>
      <c r="P49" s="27"/>
      <c r="Q49" s="27"/>
      <c r="R49" s="27"/>
    </row>
    <row r="50" spans="1:18">
      <c r="N50" s="27" t="s">
        <v>1021</v>
      </c>
      <c r="O50" s="47">
        <f t="shared" si="11"/>
        <v>2.6734302166163972E-3</v>
      </c>
      <c r="P50" s="27"/>
      <c r="Q50" s="27"/>
      <c r="R50" s="27"/>
    </row>
    <row r="51" spans="1:18">
      <c r="N51" s="27" t="s">
        <v>17</v>
      </c>
      <c r="O51" s="47">
        <f t="shared" si="11"/>
        <v>1.6863175212503429E-2</v>
      </c>
      <c r="P51" s="27"/>
      <c r="Q51" s="27"/>
      <c r="R51" s="27"/>
    </row>
    <row r="52" spans="1:18">
      <c r="N52" s="8" t="s">
        <v>18</v>
      </c>
      <c r="O52" s="47">
        <f t="shared" si="11"/>
        <v>0.13607074307650124</v>
      </c>
      <c r="P52" s="27"/>
      <c r="Q52" s="27"/>
      <c r="R52" s="27"/>
    </row>
    <row r="53" spans="1:18">
      <c r="N53" s="8" t="s">
        <v>361</v>
      </c>
      <c r="O53" s="47">
        <f t="shared" si="11"/>
        <v>6.09404990403071E-2</v>
      </c>
      <c r="P53" s="27"/>
      <c r="Q53" s="27"/>
      <c r="R53" s="27"/>
    </row>
    <row r="54" spans="1:18">
      <c r="N54" s="8" t="s">
        <v>362</v>
      </c>
      <c r="O54" s="47">
        <f t="shared" si="11"/>
        <v>3.0778722237455439E-2</v>
      </c>
      <c r="P54" s="27"/>
      <c r="Q54" s="27"/>
      <c r="R54" s="27"/>
    </row>
    <row r="55" spans="1:18">
      <c r="N55" s="8" t="s">
        <v>19</v>
      </c>
      <c r="O55" s="47">
        <f t="shared" si="11"/>
        <v>0.34617493830545654</v>
      </c>
      <c r="P55" s="27"/>
      <c r="Q55" s="27"/>
      <c r="R55" s="27"/>
    </row>
    <row r="57" spans="1:18">
      <c r="O57" s="239"/>
    </row>
    <row r="60" spans="1:18" ht="20" thickBot="1">
      <c r="A60" s="61"/>
    </row>
    <row r="70" spans="14:18">
      <c r="N70" s="27"/>
      <c r="O70" s="27"/>
      <c r="P70" s="27"/>
      <c r="Q70" s="27"/>
    </row>
    <row r="71" spans="14:18" ht="19.25" customHeight="1" thickBot="1">
      <c r="N71" s="74" t="s">
        <v>27</v>
      </c>
      <c r="O71" s="98"/>
      <c r="P71" s="98"/>
      <c r="Q71" s="98"/>
      <c r="R71" s="161"/>
    </row>
    <row r="72" spans="14:18">
      <c r="N72" s="17"/>
      <c r="O72" s="17"/>
      <c r="P72" s="17"/>
      <c r="Q72" s="17"/>
    </row>
    <row r="73" spans="14:18" ht="16" thickBot="1">
      <c r="N73" s="20" t="s">
        <v>505</v>
      </c>
      <c r="O73" s="99"/>
      <c r="P73" s="21" t="s">
        <v>1092</v>
      </c>
      <c r="Q73" s="21" t="str">
        <f>Innehåll!D85</f>
        <v>Jan - jan 2023</v>
      </c>
    </row>
    <row r="74" spans="14:18">
      <c r="N74" t="s">
        <v>1019</v>
      </c>
      <c r="P74" s="35">
        <f t="shared" ref="P74:P80" si="12">G8</f>
        <v>9586</v>
      </c>
      <c r="Q74" s="35">
        <f t="shared" ref="Q74:Q80" si="13">F8</f>
        <v>5930</v>
      </c>
    </row>
    <row r="75" spans="14:18">
      <c r="N75" s="17" t="s">
        <v>1022</v>
      </c>
      <c r="O75" s="27"/>
      <c r="P75" s="35">
        <f t="shared" si="12"/>
        <v>87</v>
      </c>
      <c r="Q75" s="35">
        <f t="shared" si="13"/>
        <v>39</v>
      </c>
    </row>
    <row r="76" spans="14:18">
      <c r="N76" s="17" t="s">
        <v>28</v>
      </c>
      <c r="O76" s="27"/>
      <c r="P76" s="35">
        <f t="shared" si="12"/>
        <v>790</v>
      </c>
      <c r="Q76" s="35">
        <f t="shared" si="13"/>
        <v>246</v>
      </c>
    </row>
    <row r="77" spans="14:18">
      <c r="N77" s="17" t="s">
        <v>29</v>
      </c>
      <c r="O77" s="27"/>
      <c r="P77" s="35">
        <f t="shared" si="12"/>
        <v>2885</v>
      </c>
      <c r="Q77" s="35">
        <f t="shared" si="13"/>
        <v>1985</v>
      </c>
    </row>
    <row r="78" spans="14:18">
      <c r="N78" s="17" t="s">
        <v>30</v>
      </c>
      <c r="O78" s="27"/>
      <c r="P78" s="35">
        <f t="shared" si="12"/>
        <v>1419</v>
      </c>
      <c r="Q78" s="35">
        <f t="shared" si="13"/>
        <v>889</v>
      </c>
    </row>
    <row r="79" spans="14:18">
      <c r="N79" s="17" t="s">
        <v>31</v>
      </c>
      <c r="O79" s="27"/>
      <c r="P79" s="35">
        <f t="shared" si="12"/>
        <v>1084</v>
      </c>
      <c r="Q79" s="35">
        <f t="shared" si="13"/>
        <v>449</v>
      </c>
    </row>
    <row r="80" spans="14:18">
      <c r="N80" s="17" t="s">
        <v>32</v>
      </c>
      <c r="O80" s="27"/>
      <c r="P80" s="35">
        <f t="shared" si="12"/>
        <v>4042</v>
      </c>
      <c r="Q80" s="35">
        <f t="shared" si="13"/>
        <v>5050</v>
      </c>
    </row>
    <row r="81" spans="13:17">
      <c r="N81" s="31" t="s">
        <v>570</v>
      </c>
      <c r="O81" s="100"/>
      <c r="P81" s="32">
        <f>SUM(P74:P80)</f>
        <v>19893</v>
      </c>
      <c r="Q81" s="32">
        <f>SUM(Q74:Q80)</f>
        <v>14588</v>
      </c>
    </row>
    <row r="86" spans="13:17">
      <c r="M86" s="17"/>
    </row>
    <row r="103" spans="14:18">
      <c r="N103" s="27"/>
      <c r="O103" s="27"/>
      <c r="P103" s="27"/>
      <c r="Q103" s="27"/>
      <c r="R103" s="27"/>
    </row>
    <row r="104" spans="14:18">
      <c r="N104" s="27"/>
      <c r="O104" s="27"/>
      <c r="P104" s="27"/>
      <c r="Q104" s="27"/>
      <c r="R104" s="27"/>
    </row>
    <row r="105" spans="14:18" ht="19.25" customHeight="1" thickBot="1">
      <c r="N105" s="71" t="s">
        <v>393</v>
      </c>
      <c r="O105" s="62"/>
      <c r="P105" s="62"/>
      <c r="Q105" s="62"/>
      <c r="R105" s="27"/>
    </row>
    <row r="106" spans="14:18" ht="16" thickTop="1">
      <c r="N106" s="7"/>
      <c r="O106" s="7"/>
      <c r="P106" s="17"/>
      <c r="R106" s="27"/>
    </row>
    <row r="107" spans="14:18" ht="15" hidden="1" customHeight="1">
      <c r="N107" s="17"/>
      <c r="O107" s="17"/>
      <c r="P107" s="17"/>
      <c r="Q107" s="17">
        <v>39.299999999999997</v>
      </c>
      <c r="R107" s="27"/>
    </row>
    <row r="108" spans="14:18" ht="16" thickBot="1">
      <c r="N108" s="20" t="s">
        <v>486</v>
      </c>
      <c r="O108" s="20">
        <v>2021</v>
      </c>
      <c r="P108" s="20">
        <v>2022</v>
      </c>
      <c r="Q108" s="20">
        <v>2023</v>
      </c>
      <c r="R108" s="27"/>
    </row>
    <row r="109" spans="14:18">
      <c r="N109" s="17" t="s">
        <v>2</v>
      </c>
      <c r="O109" s="84">
        <v>91.9</v>
      </c>
      <c r="P109" s="84">
        <v>70.7</v>
      </c>
      <c r="Q109" s="84">
        <v>27.7</v>
      </c>
      <c r="R109" s="27"/>
    </row>
    <row r="110" spans="14:18">
      <c r="N110" s="17" t="s">
        <v>3</v>
      </c>
      <c r="O110" s="84">
        <v>90</v>
      </c>
      <c r="P110" s="84">
        <v>51.1</v>
      </c>
      <c r="Q110" s="84"/>
      <c r="R110" s="27"/>
    </row>
    <row r="111" spans="14:18">
      <c r="N111" s="17" t="s">
        <v>4</v>
      </c>
      <c r="O111" s="84">
        <v>88.4</v>
      </c>
      <c r="P111" s="84">
        <v>44.8</v>
      </c>
      <c r="Q111" s="84"/>
      <c r="R111" s="27"/>
    </row>
    <row r="112" spans="14:18">
      <c r="N112" s="17" t="s">
        <v>5</v>
      </c>
      <c r="O112" s="84">
        <v>72.8</v>
      </c>
      <c r="P112" s="84">
        <v>46.5</v>
      </c>
      <c r="Q112" s="84"/>
      <c r="R112" s="27"/>
    </row>
    <row r="113" spans="1:18">
      <c r="N113" s="17" t="s">
        <v>6</v>
      </c>
      <c r="O113" s="84">
        <v>78.900000000000006</v>
      </c>
      <c r="P113" s="84">
        <v>47.7</v>
      </c>
      <c r="Q113" s="84"/>
      <c r="R113" s="27"/>
    </row>
    <row r="114" spans="1:18" hidden="1">
      <c r="A114" s="6"/>
      <c r="B114" s="6"/>
      <c r="C114" s="6"/>
      <c r="D114" s="6"/>
      <c r="E114" s="6"/>
      <c r="F114" s="6"/>
      <c r="G114" s="6"/>
      <c r="H114" s="6"/>
      <c r="I114" s="6"/>
      <c r="J114" s="6"/>
      <c r="K114" s="6"/>
      <c r="N114" s="17" t="s">
        <v>7</v>
      </c>
      <c r="O114" s="84">
        <v>67</v>
      </c>
      <c r="P114" s="84">
        <v>45.2</v>
      </c>
      <c r="Q114" s="84"/>
      <c r="R114" s="27"/>
    </row>
    <row r="115" spans="1:18" s="6" customFormat="1">
      <c r="A115" s="5"/>
      <c r="B115"/>
      <c r="C115" s="5"/>
      <c r="D115" s="5"/>
      <c r="E115" s="13"/>
      <c r="F115" s="13"/>
      <c r="G115" s="5"/>
      <c r="H115" s="5"/>
      <c r="I115" s="9"/>
      <c r="J115" s="9"/>
      <c r="K115" s="9"/>
      <c r="N115" s="17" t="s">
        <v>7</v>
      </c>
      <c r="O115" s="84">
        <v>67</v>
      </c>
      <c r="P115" s="84">
        <v>45.3</v>
      </c>
      <c r="Q115" s="84"/>
      <c r="R115" s="43"/>
    </row>
    <row r="116" spans="1:18">
      <c r="N116" s="17" t="s">
        <v>8</v>
      </c>
      <c r="O116" s="84">
        <v>73.900000000000006</v>
      </c>
      <c r="P116" s="17">
        <v>42.9</v>
      </c>
      <c r="Q116" s="17"/>
      <c r="R116" s="27"/>
    </row>
    <row r="117" spans="1:18">
      <c r="N117" s="17" t="s">
        <v>9</v>
      </c>
      <c r="O117" s="84">
        <v>62.2</v>
      </c>
      <c r="P117" s="84">
        <v>32.5</v>
      </c>
      <c r="Q117" s="84"/>
      <c r="R117" s="27"/>
    </row>
    <row r="118" spans="1:18">
      <c r="N118" s="17" t="s">
        <v>10</v>
      </c>
      <c r="O118" s="84">
        <v>53</v>
      </c>
      <c r="P118" s="84">
        <v>30.3</v>
      </c>
      <c r="Q118" s="84"/>
      <c r="R118" s="27"/>
    </row>
    <row r="119" spans="1:18">
      <c r="N119" s="17" t="s">
        <v>11</v>
      </c>
      <c r="O119" s="84">
        <v>58.6</v>
      </c>
      <c r="P119" s="84">
        <v>30.3</v>
      </c>
      <c r="Q119" s="84"/>
      <c r="R119" s="27"/>
    </row>
    <row r="120" spans="1:18">
      <c r="N120" s="17" t="s">
        <v>12</v>
      </c>
      <c r="O120" s="84">
        <v>53.5</v>
      </c>
      <c r="P120" s="84"/>
      <c r="Q120" s="84"/>
      <c r="R120" s="27"/>
    </row>
    <row r="121" spans="1:18">
      <c r="N121" s="28" t="s">
        <v>13</v>
      </c>
      <c r="O121" s="85">
        <v>45.1</v>
      </c>
      <c r="P121" s="85"/>
      <c r="Q121" s="85"/>
      <c r="R121" s="27"/>
    </row>
    <row r="122" spans="1:18">
      <c r="N122" s="30" t="s">
        <v>569</v>
      </c>
      <c r="O122" s="30">
        <v>94</v>
      </c>
      <c r="P122" s="30">
        <v>43.3</v>
      </c>
      <c r="Q122" s="30">
        <v>27.7</v>
      </c>
      <c r="R122" s="27"/>
    </row>
    <row r="123" spans="1:18">
      <c r="N123" s="27"/>
      <c r="O123" s="27"/>
      <c r="P123" s="27"/>
      <c r="Q123" s="27"/>
      <c r="R123" s="27"/>
    </row>
    <row r="124" spans="1:18">
      <c r="N124" s="27"/>
      <c r="O124" s="27"/>
      <c r="P124" s="27"/>
      <c r="Q124" s="27"/>
      <c r="R124" s="27"/>
    </row>
    <row r="125" spans="1:18">
      <c r="N125" s="27"/>
      <c r="O125" s="27"/>
      <c r="P125" s="27"/>
      <c r="Q125" s="27"/>
      <c r="R125" s="27"/>
    </row>
    <row r="126" spans="1:18" ht="15" hidden="1" customHeight="1"/>
    <row r="135" spans="1:1">
      <c r="A135" s="5" t="s">
        <v>716</v>
      </c>
    </row>
    <row r="142" spans="1:1">
      <c r="A142" s="5" t="s">
        <v>716</v>
      </c>
    </row>
    <row r="151" spans="1:2" hidden="1"/>
    <row r="152" spans="1:2" ht="15" hidden="1" customHeight="1">
      <c r="A152" s="5" t="s">
        <v>405</v>
      </c>
      <c r="B152" t="s">
        <v>406</v>
      </c>
    </row>
    <row r="153" spans="1:2" ht="15" hidden="1" customHeight="1">
      <c r="A153" s="5">
        <v>14601</v>
      </c>
      <c r="B153" s="9">
        <v>27.7</v>
      </c>
    </row>
    <row r="154" spans="1:2" ht="15" hidden="1" customHeight="1">
      <c r="A154" s="5">
        <v>14601</v>
      </c>
      <c r="B154" s="9">
        <v>27.7</v>
      </c>
    </row>
    <row r="155" spans="1:2" hidden="1"/>
    <row r="156" spans="1:2" hidden="1"/>
  </sheetData>
  <mergeCells count="10">
    <mergeCell ref="G4:K4"/>
    <mergeCell ref="B25:C25"/>
    <mergeCell ref="D25:E25"/>
    <mergeCell ref="J5:K5"/>
    <mergeCell ref="B5:C5"/>
    <mergeCell ref="D5:E5"/>
    <mergeCell ref="H5:I5"/>
    <mergeCell ref="H25:I25"/>
    <mergeCell ref="J25:K25"/>
    <mergeCell ref="G24:K24"/>
  </mergeCells>
  <dataValidations count="4">
    <dataValidation allowBlank="1" showInputMessage="1" showErrorMessage="1" prompt="antalet registreringar ackumulerat från föregående års början t.o.m den aktuella månaden i föregående år." sqref="I6 I26" xr:uid="{00000000-0002-0000-0A00-000000000000}"/>
    <dataValidation allowBlank="1" showInputMessage="1" showErrorMessage="1" prompt="visar antalet registreringar för den aktuella månaden föregående år." sqref="E6 E26" xr:uid="{00000000-0002-0000-0A00-000001000000}"/>
    <dataValidation allowBlank="1" showInputMessage="1" showErrorMessage="1" prompt="visar antalet registreringar för den aktuella månaden i år." sqref="B6:D6 J6 F6:G6 B26:D26 J26 F26:G26" xr:uid="{00000000-0002-0000-0A00-000002000000}"/>
    <dataValidation allowBlank="1" showInputMessage="1" showErrorMessage="1" prompt="förändring i marknads-andelen ackumulerat från årets början t.o.m den aktuella månaden." sqref="H6 K6 H26 K26" xr:uid="{00000000-0002-0000-0A00-000003000000}"/>
  </dataValidations>
  <pageMargins left="0.70866141732283472" right="0.70866141732283472" top="0.74803149606299213" bottom="0.74803149606299213" header="0.31496062992125984" footer="0.31496062992125984"/>
  <pageSetup paperSize="9" orientation="landscape" r:id="rId1"/>
  <rowBreaks count="3" manualBreakCount="3">
    <brk id="38" max="16383" man="1"/>
    <brk id="70" max="16383" man="1"/>
    <brk id="101" max="16383" man="1"/>
  </rowBreaks>
  <drawing r:id="rId2"/>
  <tableParts count="3">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76"/>
  <sheetViews>
    <sheetView workbookViewId="0">
      <pane ySplit="8" topLeftCell="A9" activePane="bottomLeft" state="frozen"/>
      <selection pane="bottomLeft" activeCell="O2" sqref="O2"/>
    </sheetView>
  </sheetViews>
  <sheetFormatPr baseColWidth="10" defaultColWidth="8.83203125" defaultRowHeight="15"/>
  <cols>
    <col min="1" max="1" width="17" customWidth="1"/>
    <col min="2" max="5" width="11.6640625" customWidth="1"/>
    <col min="6" max="7" width="8.6640625" customWidth="1"/>
    <col min="8" max="9" width="11.6640625" style="6" customWidth="1"/>
    <col min="10" max="13" width="11.6640625" customWidth="1"/>
    <col min="14" max="15" width="8.6640625" customWidth="1"/>
    <col min="16" max="17" width="11.6640625" style="6" customWidth="1"/>
  </cols>
  <sheetData>
    <row r="1" spans="1:17">
      <c r="H1"/>
      <c r="I1"/>
      <c r="P1"/>
      <c r="Q1"/>
    </row>
    <row r="2" spans="1:17" ht="19.25" customHeight="1" thickBot="1">
      <c r="C2" s="10"/>
      <c r="D2" s="61" t="s">
        <v>254</v>
      </c>
      <c r="E2" s="61"/>
      <c r="F2" s="61"/>
      <c r="G2" s="61"/>
      <c r="H2" s="61"/>
      <c r="I2" s="61"/>
      <c r="J2" s="61"/>
      <c r="P2"/>
      <c r="Q2"/>
    </row>
    <row r="4" spans="1:17" ht="15.75" customHeight="1">
      <c r="A4" s="102" t="s">
        <v>488</v>
      </c>
      <c r="B4" s="27"/>
      <c r="C4" s="27"/>
      <c r="D4" s="27"/>
      <c r="E4" s="27"/>
      <c r="F4" s="27"/>
      <c r="G4" s="27"/>
      <c r="H4" s="43"/>
      <c r="I4" s="43"/>
      <c r="J4" s="27"/>
      <c r="K4" s="27"/>
      <c r="L4" s="27"/>
      <c r="M4" s="27"/>
      <c r="N4" s="27"/>
      <c r="O4" s="27"/>
      <c r="P4" s="43"/>
      <c r="Q4" s="43"/>
    </row>
    <row r="5" spans="1:17">
      <c r="A5" s="154"/>
      <c r="B5" s="300" t="str">
        <f>Innehåll!D75</f>
        <v>Januari</v>
      </c>
      <c r="C5" s="302"/>
      <c r="D5" s="302"/>
      <c r="E5" s="302"/>
      <c r="F5" s="302"/>
      <c r="G5" s="302"/>
      <c r="H5" s="302"/>
      <c r="I5" s="302"/>
      <c r="J5" s="300" t="str">
        <f>Innehåll!D76</f>
        <v>Januari - januari</v>
      </c>
      <c r="K5" s="302"/>
      <c r="L5" s="302"/>
      <c r="M5" s="302"/>
      <c r="N5" s="302"/>
      <c r="O5" s="302"/>
      <c r="P5" s="302"/>
      <c r="Q5" s="302"/>
    </row>
    <row r="6" spans="1:17">
      <c r="A6" s="154"/>
      <c r="B6" s="300" t="s">
        <v>576</v>
      </c>
      <c r="C6" s="301"/>
      <c r="D6" s="300" t="s">
        <v>577</v>
      </c>
      <c r="E6" s="301"/>
      <c r="F6" s="300" t="s">
        <v>578</v>
      </c>
      <c r="G6" s="301"/>
      <c r="H6" s="300" t="s">
        <v>485</v>
      </c>
      <c r="I6" s="301"/>
      <c r="J6" s="300" t="s">
        <v>576</v>
      </c>
      <c r="K6" s="301"/>
      <c r="L6" s="300" t="s">
        <v>577</v>
      </c>
      <c r="M6" s="301"/>
      <c r="N6" s="300" t="s">
        <v>578</v>
      </c>
      <c r="O6" s="301"/>
      <c r="P6" s="300" t="s">
        <v>485</v>
      </c>
      <c r="Q6" s="302"/>
    </row>
    <row r="7" spans="1:17">
      <c r="A7" s="154" t="s">
        <v>494</v>
      </c>
      <c r="B7" s="154" t="str">
        <f>Innehåll!D77</f>
        <v xml:space="preserve"> 2023</v>
      </c>
      <c r="C7" s="154" t="str">
        <f>Innehåll!D78</f>
        <v xml:space="preserve"> 2022</v>
      </c>
      <c r="D7" s="154" t="str">
        <f>B7</f>
        <v xml:space="preserve"> 2023</v>
      </c>
      <c r="E7" s="154" t="str">
        <f>C7</f>
        <v xml:space="preserve"> 2022</v>
      </c>
      <c r="F7" s="154" t="str">
        <f>B7</f>
        <v xml:space="preserve"> 2023</v>
      </c>
      <c r="G7" s="154" t="str">
        <f>C7</f>
        <v xml:space="preserve"> 2022</v>
      </c>
      <c r="H7" s="154" t="str">
        <f>B7</f>
        <v xml:space="preserve"> 2023</v>
      </c>
      <c r="I7" s="154" t="str">
        <f>C7</f>
        <v xml:space="preserve"> 2022</v>
      </c>
      <c r="J7" s="154" t="str">
        <f>B7</f>
        <v xml:space="preserve"> 2023</v>
      </c>
      <c r="K7" s="154" t="str">
        <f>C7</f>
        <v xml:space="preserve"> 2022</v>
      </c>
      <c r="L7" s="154" t="str">
        <f>B7</f>
        <v xml:space="preserve"> 2023</v>
      </c>
      <c r="M7" s="154" t="str">
        <f>C7</f>
        <v xml:space="preserve"> 2022</v>
      </c>
      <c r="N7" s="154" t="str">
        <f>B7</f>
        <v xml:space="preserve"> 2023</v>
      </c>
      <c r="O7" s="154" t="str">
        <f>C7</f>
        <v xml:space="preserve"> 2022</v>
      </c>
      <c r="P7" s="154" t="str">
        <f>B7</f>
        <v xml:space="preserve"> 2023</v>
      </c>
      <c r="Q7" s="154" t="str">
        <f>C7</f>
        <v xml:space="preserve"> 2022</v>
      </c>
    </row>
    <row r="8" spans="1:17" ht="15" hidden="1" customHeight="1">
      <c r="A8" s="27" t="s">
        <v>255</v>
      </c>
      <c r="B8" s="27" t="s">
        <v>256</v>
      </c>
      <c r="C8" s="27" t="s">
        <v>257</v>
      </c>
      <c r="D8" s="27" t="s">
        <v>258</v>
      </c>
      <c r="E8" s="27" t="s">
        <v>259</v>
      </c>
      <c r="F8" s="27" t="s">
        <v>260</v>
      </c>
      <c r="G8" s="27" t="s">
        <v>261</v>
      </c>
      <c r="H8" s="43" t="s">
        <v>262</v>
      </c>
      <c r="I8" s="43" t="s">
        <v>263</v>
      </c>
      <c r="J8" s="27" t="s">
        <v>264</v>
      </c>
      <c r="K8" s="27" t="s">
        <v>265</v>
      </c>
      <c r="L8" s="27" t="s">
        <v>266</v>
      </c>
      <c r="M8" s="27" t="s">
        <v>267</v>
      </c>
      <c r="N8" s="27" t="s">
        <v>268</v>
      </c>
      <c r="O8" s="27" t="s">
        <v>269</v>
      </c>
      <c r="P8" s="43" t="s">
        <v>270</v>
      </c>
      <c r="Q8" s="43" t="s">
        <v>271</v>
      </c>
    </row>
    <row r="9" spans="1:17">
      <c r="A9" s="27" t="s">
        <v>272</v>
      </c>
      <c r="B9" s="67">
        <v>0</v>
      </c>
      <c r="C9" s="67">
        <v>0</v>
      </c>
      <c r="D9" s="67">
        <v>4</v>
      </c>
      <c r="E9" s="67">
        <v>2</v>
      </c>
      <c r="F9" s="27">
        <v>100</v>
      </c>
      <c r="G9" s="27">
        <v>100</v>
      </c>
      <c r="H9" s="101">
        <v>4</v>
      </c>
      <c r="I9" s="101">
        <v>2</v>
      </c>
      <c r="J9" s="67">
        <v>0</v>
      </c>
      <c r="K9" s="67">
        <v>0</v>
      </c>
      <c r="L9" s="67">
        <v>4</v>
      </c>
      <c r="M9" s="67">
        <v>2</v>
      </c>
      <c r="N9" s="27">
        <v>100</v>
      </c>
      <c r="O9" s="27">
        <v>100</v>
      </c>
      <c r="P9" s="101">
        <v>4</v>
      </c>
      <c r="Q9" s="101">
        <v>2</v>
      </c>
    </row>
    <row r="10" spans="1:17">
      <c r="A10" s="27" t="s">
        <v>588</v>
      </c>
      <c r="B10" s="67">
        <v>0</v>
      </c>
      <c r="C10" s="67">
        <v>1</v>
      </c>
      <c r="D10" s="67">
        <v>0</v>
      </c>
      <c r="E10" s="67">
        <v>0</v>
      </c>
      <c r="F10" s="27">
        <v>0</v>
      </c>
      <c r="G10" s="27">
        <v>0</v>
      </c>
      <c r="H10" s="101">
        <v>0</v>
      </c>
      <c r="I10" s="101">
        <v>1</v>
      </c>
      <c r="J10" s="67">
        <v>0</v>
      </c>
      <c r="K10" s="67">
        <v>1</v>
      </c>
      <c r="L10" s="67">
        <v>0</v>
      </c>
      <c r="M10" s="67">
        <v>0</v>
      </c>
      <c r="N10" s="27">
        <v>0</v>
      </c>
      <c r="O10" s="27">
        <v>0</v>
      </c>
      <c r="P10" s="101">
        <v>0</v>
      </c>
      <c r="Q10" s="101">
        <v>1</v>
      </c>
    </row>
    <row r="11" spans="1:17">
      <c r="A11" s="27" t="s">
        <v>273</v>
      </c>
      <c r="B11" s="67">
        <v>338</v>
      </c>
      <c r="C11" s="67">
        <v>368</v>
      </c>
      <c r="D11" s="67">
        <v>562</v>
      </c>
      <c r="E11" s="67">
        <v>473</v>
      </c>
      <c r="F11" s="27">
        <v>62.4</v>
      </c>
      <c r="G11" s="27">
        <v>56.2</v>
      </c>
      <c r="H11" s="101">
        <v>900</v>
      </c>
      <c r="I11" s="101">
        <v>841</v>
      </c>
      <c r="J11" s="67">
        <v>338</v>
      </c>
      <c r="K11" s="67">
        <v>368</v>
      </c>
      <c r="L11" s="67">
        <v>562</v>
      </c>
      <c r="M11" s="67">
        <v>473</v>
      </c>
      <c r="N11" s="27">
        <v>62.4</v>
      </c>
      <c r="O11" s="27">
        <v>56.2</v>
      </c>
      <c r="P11" s="101">
        <v>900</v>
      </c>
      <c r="Q11" s="101">
        <v>841</v>
      </c>
    </row>
    <row r="12" spans="1:17">
      <c r="A12" s="27" t="s">
        <v>274</v>
      </c>
      <c r="B12" s="67">
        <v>1</v>
      </c>
      <c r="C12" s="67">
        <v>1</v>
      </c>
      <c r="D12" s="67">
        <v>1</v>
      </c>
      <c r="E12" s="67">
        <v>2</v>
      </c>
      <c r="F12" s="27">
        <v>50</v>
      </c>
      <c r="G12" s="27">
        <v>66.7</v>
      </c>
      <c r="H12" s="101">
        <v>2</v>
      </c>
      <c r="I12" s="101">
        <v>3</v>
      </c>
      <c r="J12" s="67">
        <v>1</v>
      </c>
      <c r="K12" s="67">
        <v>1</v>
      </c>
      <c r="L12" s="67">
        <v>1</v>
      </c>
      <c r="M12" s="67">
        <v>2</v>
      </c>
      <c r="N12" s="27">
        <v>50</v>
      </c>
      <c r="O12" s="27">
        <v>66.7</v>
      </c>
      <c r="P12" s="101">
        <v>2</v>
      </c>
      <c r="Q12" s="101">
        <v>3</v>
      </c>
    </row>
    <row r="13" spans="1:17">
      <c r="A13" s="27" t="s">
        <v>275</v>
      </c>
      <c r="B13" s="67">
        <v>185</v>
      </c>
      <c r="C13" s="67">
        <v>519</v>
      </c>
      <c r="D13" s="67">
        <v>839</v>
      </c>
      <c r="E13" s="67">
        <v>628</v>
      </c>
      <c r="F13" s="27">
        <v>81.900000000000006</v>
      </c>
      <c r="G13" s="27">
        <v>54.8</v>
      </c>
      <c r="H13" s="101">
        <v>1024</v>
      </c>
      <c r="I13" s="101">
        <v>1147</v>
      </c>
      <c r="J13" s="67">
        <v>185</v>
      </c>
      <c r="K13" s="67">
        <v>519</v>
      </c>
      <c r="L13" s="67">
        <v>839</v>
      </c>
      <c r="M13" s="67">
        <v>628</v>
      </c>
      <c r="N13" s="27">
        <v>81.900000000000006</v>
      </c>
      <c r="O13" s="27">
        <v>54.8</v>
      </c>
      <c r="P13" s="101">
        <v>1024</v>
      </c>
      <c r="Q13" s="101">
        <v>1147</v>
      </c>
    </row>
    <row r="14" spans="1:17">
      <c r="A14" s="27" t="s">
        <v>712</v>
      </c>
      <c r="B14" s="67">
        <v>5</v>
      </c>
      <c r="C14" s="67">
        <v>0</v>
      </c>
      <c r="D14" s="67">
        <v>13</v>
      </c>
      <c r="E14" s="67">
        <v>0</v>
      </c>
      <c r="F14" s="27">
        <v>72.2</v>
      </c>
      <c r="G14" s="27">
        <v>0</v>
      </c>
      <c r="H14" s="101">
        <v>18</v>
      </c>
      <c r="I14" s="101">
        <v>0</v>
      </c>
      <c r="J14" s="67">
        <v>5</v>
      </c>
      <c r="K14" s="67">
        <v>0</v>
      </c>
      <c r="L14" s="67">
        <v>13</v>
      </c>
      <c r="M14" s="67">
        <v>0</v>
      </c>
      <c r="N14" s="27">
        <v>72.2</v>
      </c>
      <c r="O14" s="27">
        <v>0</v>
      </c>
      <c r="P14" s="101">
        <v>18</v>
      </c>
      <c r="Q14" s="101">
        <v>0</v>
      </c>
    </row>
    <row r="15" spans="1:17">
      <c r="A15" s="27" t="s">
        <v>709</v>
      </c>
      <c r="B15" s="67">
        <v>0</v>
      </c>
      <c r="C15" s="67">
        <v>0</v>
      </c>
      <c r="D15" s="67">
        <v>2</v>
      </c>
      <c r="E15" s="67">
        <v>0</v>
      </c>
      <c r="F15" s="27">
        <v>100</v>
      </c>
      <c r="G15" s="27">
        <v>0</v>
      </c>
      <c r="H15" s="101">
        <v>2</v>
      </c>
      <c r="I15" s="101">
        <v>0</v>
      </c>
      <c r="J15" s="67">
        <v>0</v>
      </c>
      <c r="K15" s="67">
        <v>0</v>
      </c>
      <c r="L15" s="67">
        <v>2</v>
      </c>
      <c r="M15" s="67">
        <v>0</v>
      </c>
      <c r="N15" s="27">
        <v>100</v>
      </c>
      <c r="O15" s="27">
        <v>0</v>
      </c>
      <c r="P15" s="101">
        <v>2</v>
      </c>
      <c r="Q15" s="101">
        <v>0</v>
      </c>
    </row>
    <row r="16" spans="1:17">
      <c r="A16" s="27" t="s">
        <v>276</v>
      </c>
      <c r="B16" s="67">
        <v>4</v>
      </c>
      <c r="C16" s="67">
        <v>0</v>
      </c>
      <c r="D16" s="67">
        <v>1</v>
      </c>
      <c r="E16" s="67">
        <v>0</v>
      </c>
      <c r="F16" s="27">
        <v>20</v>
      </c>
      <c r="G16" s="27">
        <v>0</v>
      </c>
      <c r="H16" s="101">
        <v>5</v>
      </c>
      <c r="I16" s="101">
        <v>0</v>
      </c>
      <c r="J16" s="67">
        <v>4</v>
      </c>
      <c r="K16" s="67">
        <v>0</v>
      </c>
      <c r="L16" s="67">
        <v>1</v>
      </c>
      <c r="M16" s="67">
        <v>0</v>
      </c>
      <c r="N16" s="27">
        <v>20</v>
      </c>
      <c r="O16" s="27">
        <v>0</v>
      </c>
      <c r="P16" s="101">
        <v>5</v>
      </c>
      <c r="Q16" s="101">
        <v>0</v>
      </c>
    </row>
    <row r="17" spans="1:17">
      <c r="A17" s="27" t="s">
        <v>277</v>
      </c>
      <c r="B17" s="67">
        <v>9</v>
      </c>
      <c r="C17" s="67">
        <v>110</v>
      </c>
      <c r="D17" s="67">
        <v>113</v>
      </c>
      <c r="E17" s="67">
        <v>103</v>
      </c>
      <c r="F17" s="27">
        <v>92.6</v>
      </c>
      <c r="G17" s="27">
        <v>48.4</v>
      </c>
      <c r="H17" s="101">
        <v>122</v>
      </c>
      <c r="I17" s="101">
        <v>213</v>
      </c>
      <c r="J17" s="67">
        <v>9</v>
      </c>
      <c r="K17" s="67">
        <v>110</v>
      </c>
      <c r="L17" s="67">
        <v>113</v>
      </c>
      <c r="M17" s="67">
        <v>103</v>
      </c>
      <c r="N17" s="27">
        <v>92.6</v>
      </c>
      <c r="O17" s="27">
        <v>48.4</v>
      </c>
      <c r="P17" s="101">
        <v>122</v>
      </c>
      <c r="Q17" s="101">
        <v>213</v>
      </c>
    </row>
    <row r="18" spans="1:17">
      <c r="A18" s="27" t="s">
        <v>1117</v>
      </c>
      <c r="B18" s="67">
        <v>19</v>
      </c>
      <c r="C18" s="67">
        <v>0</v>
      </c>
      <c r="D18" s="67">
        <v>22</v>
      </c>
      <c r="E18" s="67">
        <v>0</v>
      </c>
      <c r="F18" s="27">
        <v>53.7</v>
      </c>
      <c r="G18" s="27">
        <v>0</v>
      </c>
      <c r="H18" s="101">
        <v>41</v>
      </c>
      <c r="I18" s="101">
        <v>0</v>
      </c>
      <c r="J18" s="67">
        <v>19</v>
      </c>
      <c r="K18" s="67">
        <v>0</v>
      </c>
      <c r="L18" s="67">
        <v>22</v>
      </c>
      <c r="M18" s="67">
        <v>0</v>
      </c>
      <c r="N18" s="27">
        <v>53.7</v>
      </c>
      <c r="O18" s="27">
        <v>0</v>
      </c>
      <c r="P18" s="101">
        <v>41</v>
      </c>
      <c r="Q18" s="101">
        <v>0</v>
      </c>
    </row>
    <row r="19" spans="1:17">
      <c r="A19" s="27" t="s">
        <v>278</v>
      </c>
      <c r="B19" s="67">
        <v>149</v>
      </c>
      <c r="C19" s="67">
        <v>168</v>
      </c>
      <c r="D19" s="67">
        <v>239</v>
      </c>
      <c r="E19" s="67">
        <v>110</v>
      </c>
      <c r="F19" s="27">
        <v>61.6</v>
      </c>
      <c r="G19" s="27">
        <v>39.6</v>
      </c>
      <c r="H19" s="101">
        <v>388</v>
      </c>
      <c r="I19" s="101">
        <v>278</v>
      </c>
      <c r="J19" s="67">
        <v>149</v>
      </c>
      <c r="K19" s="67">
        <v>168</v>
      </c>
      <c r="L19" s="67">
        <v>239</v>
      </c>
      <c r="M19" s="67">
        <v>110</v>
      </c>
      <c r="N19" s="27">
        <v>61.6</v>
      </c>
      <c r="O19" s="27">
        <v>39.6</v>
      </c>
      <c r="P19" s="101">
        <v>388</v>
      </c>
      <c r="Q19" s="101">
        <v>278</v>
      </c>
    </row>
    <row r="20" spans="1:17">
      <c r="A20" s="27" t="s">
        <v>310</v>
      </c>
      <c r="B20" s="67">
        <v>13</v>
      </c>
      <c r="C20" s="67">
        <v>22</v>
      </c>
      <c r="D20" s="67">
        <v>13</v>
      </c>
      <c r="E20" s="67">
        <v>16</v>
      </c>
      <c r="F20" s="27">
        <v>50</v>
      </c>
      <c r="G20" s="27">
        <v>42.1</v>
      </c>
      <c r="H20" s="101">
        <v>26</v>
      </c>
      <c r="I20" s="101">
        <v>38</v>
      </c>
      <c r="J20" s="67">
        <v>13</v>
      </c>
      <c r="K20" s="67">
        <v>22</v>
      </c>
      <c r="L20" s="67">
        <v>13</v>
      </c>
      <c r="M20" s="67">
        <v>16</v>
      </c>
      <c r="N20" s="27">
        <v>50</v>
      </c>
      <c r="O20" s="27">
        <v>42.1</v>
      </c>
      <c r="P20" s="101">
        <v>26</v>
      </c>
      <c r="Q20" s="101">
        <v>38</v>
      </c>
    </row>
    <row r="21" spans="1:17">
      <c r="A21" s="27" t="s">
        <v>710</v>
      </c>
      <c r="B21" s="67">
        <v>2</v>
      </c>
      <c r="C21" s="67">
        <v>0</v>
      </c>
      <c r="D21" s="67">
        <v>1</v>
      </c>
      <c r="E21" s="67">
        <v>0</v>
      </c>
      <c r="F21" s="27">
        <v>33.299999999999997</v>
      </c>
      <c r="G21" s="27">
        <v>0</v>
      </c>
      <c r="H21" s="101">
        <v>3</v>
      </c>
      <c r="I21" s="101">
        <v>0</v>
      </c>
      <c r="J21" s="67">
        <v>2</v>
      </c>
      <c r="K21" s="67">
        <v>0</v>
      </c>
      <c r="L21" s="67">
        <v>1</v>
      </c>
      <c r="M21" s="67">
        <v>0</v>
      </c>
      <c r="N21" s="27">
        <v>33.299999999999997</v>
      </c>
      <c r="O21" s="27">
        <v>0</v>
      </c>
      <c r="P21" s="101">
        <v>3</v>
      </c>
      <c r="Q21" s="101">
        <v>0</v>
      </c>
    </row>
    <row r="22" spans="1:17">
      <c r="A22" s="27" t="s">
        <v>279</v>
      </c>
      <c r="B22" s="67">
        <v>21</v>
      </c>
      <c r="C22" s="67">
        <v>48</v>
      </c>
      <c r="D22" s="67">
        <v>15</v>
      </c>
      <c r="E22" s="67">
        <v>11</v>
      </c>
      <c r="F22" s="27">
        <v>41.7</v>
      </c>
      <c r="G22" s="27">
        <v>18.600000000000001</v>
      </c>
      <c r="H22" s="101">
        <v>36</v>
      </c>
      <c r="I22" s="101">
        <v>59</v>
      </c>
      <c r="J22" s="67">
        <v>21</v>
      </c>
      <c r="K22" s="67">
        <v>48</v>
      </c>
      <c r="L22" s="67">
        <v>15</v>
      </c>
      <c r="M22" s="67">
        <v>11</v>
      </c>
      <c r="N22" s="27">
        <v>41.7</v>
      </c>
      <c r="O22" s="27">
        <v>18.600000000000001</v>
      </c>
      <c r="P22" s="101">
        <v>36</v>
      </c>
      <c r="Q22" s="101">
        <v>59</v>
      </c>
    </row>
    <row r="23" spans="1:17">
      <c r="A23" s="27" t="s">
        <v>280</v>
      </c>
      <c r="B23" s="67">
        <v>27</v>
      </c>
      <c r="C23" s="67">
        <v>362</v>
      </c>
      <c r="D23" s="67">
        <v>129</v>
      </c>
      <c r="E23" s="67">
        <v>645</v>
      </c>
      <c r="F23" s="27">
        <v>82.7</v>
      </c>
      <c r="G23" s="27">
        <v>64.099999999999994</v>
      </c>
      <c r="H23" s="101">
        <v>156</v>
      </c>
      <c r="I23" s="101">
        <v>1007</v>
      </c>
      <c r="J23" s="67">
        <v>27</v>
      </c>
      <c r="K23" s="67">
        <v>362</v>
      </c>
      <c r="L23" s="67">
        <v>129</v>
      </c>
      <c r="M23" s="67">
        <v>645</v>
      </c>
      <c r="N23" s="27">
        <v>82.7</v>
      </c>
      <c r="O23" s="27">
        <v>64.099999999999994</v>
      </c>
      <c r="P23" s="101">
        <v>156</v>
      </c>
      <c r="Q23" s="101">
        <v>1007</v>
      </c>
    </row>
    <row r="24" spans="1:17">
      <c r="A24" s="27" t="s">
        <v>281</v>
      </c>
      <c r="B24" s="67">
        <v>6</v>
      </c>
      <c r="C24" s="67">
        <v>19</v>
      </c>
      <c r="D24" s="67">
        <v>19</v>
      </c>
      <c r="E24" s="67">
        <v>48</v>
      </c>
      <c r="F24" s="27">
        <v>76</v>
      </c>
      <c r="G24" s="27">
        <v>71.599999999999994</v>
      </c>
      <c r="H24" s="101">
        <v>25</v>
      </c>
      <c r="I24" s="101">
        <v>67</v>
      </c>
      <c r="J24" s="67">
        <v>6</v>
      </c>
      <c r="K24" s="67">
        <v>19</v>
      </c>
      <c r="L24" s="67">
        <v>19</v>
      </c>
      <c r="M24" s="67">
        <v>48</v>
      </c>
      <c r="N24" s="27">
        <v>76</v>
      </c>
      <c r="O24" s="27">
        <v>71.599999999999994</v>
      </c>
      <c r="P24" s="101">
        <v>25</v>
      </c>
      <c r="Q24" s="101">
        <v>67</v>
      </c>
    </row>
    <row r="25" spans="1:17">
      <c r="A25" s="27" t="s">
        <v>282</v>
      </c>
      <c r="B25" s="67">
        <v>117</v>
      </c>
      <c r="C25" s="67">
        <v>276</v>
      </c>
      <c r="D25" s="67">
        <v>132</v>
      </c>
      <c r="E25" s="67">
        <v>197</v>
      </c>
      <c r="F25" s="27">
        <v>53</v>
      </c>
      <c r="G25" s="27">
        <v>41.6</v>
      </c>
      <c r="H25" s="101">
        <v>249</v>
      </c>
      <c r="I25" s="101">
        <v>473</v>
      </c>
      <c r="J25" s="67">
        <v>117</v>
      </c>
      <c r="K25" s="67">
        <v>276</v>
      </c>
      <c r="L25" s="67">
        <v>132</v>
      </c>
      <c r="M25" s="67">
        <v>197</v>
      </c>
      <c r="N25" s="27">
        <v>53</v>
      </c>
      <c r="O25" s="27">
        <v>41.6</v>
      </c>
      <c r="P25" s="101">
        <v>249</v>
      </c>
      <c r="Q25" s="101">
        <v>473</v>
      </c>
    </row>
    <row r="26" spans="1:17">
      <c r="A26" s="27" t="s">
        <v>283</v>
      </c>
      <c r="B26" s="67">
        <v>1</v>
      </c>
      <c r="C26" s="67">
        <v>2</v>
      </c>
      <c r="D26" s="67">
        <v>0</v>
      </c>
      <c r="E26" s="67">
        <v>0</v>
      </c>
      <c r="F26" s="27">
        <v>0</v>
      </c>
      <c r="G26" s="27">
        <v>0</v>
      </c>
      <c r="H26" s="101">
        <v>1</v>
      </c>
      <c r="I26" s="101">
        <v>2</v>
      </c>
      <c r="J26" s="67">
        <v>1</v>
      </c>
      <c r="K26" s="67">
        <v>2</v>
      </c>
      <c r="L26" s="67">
        <v>0</v>
      </c>
      <c r="M26" s="67">
        <v>0</v>
      </c>
      <c r="N26" s="27">
        <v>0</v>
      </c>
      <c r="O26" s="27">
        <v>0</v>
      </c>
      <c r="P26" s="101">
        <v>1</v>
      </c>
      <c r="Q26" s="101">
        <v>2</v>
      </c>
    </row>
    <row r="27" spans="1:17">
      <c r="A27" s="27" t="s">
        <v>284</v>
      </c>
      <c r="B27" s="67">
        <v>0</v>
      </c>
      <c r="C27" s="67">
        <v>0</v>
      </c>
      <c r="D27" s="67">
        <v>4</v>
      </c>
      <c r="E27" s="67">
        <v>1</v>
      </c>
      <c r="F27" s="27">
        <v>100</v>
      </c>
      <c r="G27" s="27">
        <v>100</v>
      </c>
      <c r="H27" s="101">
        <v>4</v>
      </c>
      <c r="I27" s="101">
        <v>1</v>
      </c>
      <c r="J27" s="67">
        <v>0</v>
      </c>
      <c r="K27" s="67">
        <v>0</v>
      </c>
      <c r="L27" s="67">
        <v>4</v>
      </c>
      <c r="M27" s="67">
        <v>1</v>
      </c>
      <c r="N27" s="27">
        <v>100</v>
      </c>
      <c r="O27" s="27">
        <v>100</v>
      </c>
      <c r="P27" s="101">
        <v>4</v>
      </c>
      <c r="Q27" s="101">
        <v>1</v>
      </c>
    </row>
    <row r="28" spans="1:17">
      <c r="A28" s="27" t="s">
        <v>285</v>
      </c>
      <c r="B28" s="67">
        <v>0</v>
      </c>
      <c r="C28" s="67">
        <v>7</v>
      </c>
      <c r="D28" s="67">
        <v>0</v>
      </c>
      <c r="E28" s="67">
        <v>4</v>
      </c>
      <c r="F28" s="27">
        <v>0</v>
      </c>
      <c r="G28" s="27">
        <v>36.4</v>
      </c>
      <c r="H28" s="101">
        <v>0</v>
      </c>
      <c r="I28" s="101">
        <v>11</v>
      </c>
      <c r="J28" s="67">
        <v>0</v>
      </c>
      <c r="K28" s="67">
        <v>7</v>
      </c>
      <c r="L28" s="67">
        <v>0</v>
      </c>
      <c r="M28" s="67">
        <v>4</v>
      </c>
      <c r="N28" s="27">
        <v>0</v>
      </c>
      <c r="O28" s="27">
        <v>36.4</v>
      </c>
      <c r="P28" s="101">
        <v>0</v>
      </c>
      <c r="Q28" s="101">
        <v>11</v>
      </c>
    </row>
    <row r="29" spans="1:17">
      <c r="A29" s="27" t="s">
        <v>286</v>
      </c>
      <c r="B29" s="67">
        <v>654</v>
      </c>
      <c r="C29" s="67">
        <v>2122</v>
      </c>
      <c r="D29" s="67">
        <v>825</v>
      </c>
      <c r="E29" s="67">
        <v>705</v>
      </c>
      <c r="F29" s="27">
        <v>55.8</v>
      </c>
      <c r="G29" s="27">
        <v>24.9</v>
      </c>
      <c r="H29" s="101">
        <v>1479</v>
      </c>
      <c r="I29" s="101">
        <v>2827</v>
      </c>
      <c r="J29" s="67">
        <v>654</v>
      </c>
      <c r="K29" s="67">
        <v>2122</v>
      </c>
      <c r="L29" s="67">
        <v>825</v>
      </c>
      <c r="M29" s="67">
        <v>705</v>
      </c>
      <c r="N29" s="27">
        <v>55.8</v>
      </c>
      <c r="O29" s="27">
        <v>24.9</v>
      </c>
      <c r="P29" s="101">
        <v>1479</v>
      </c>
      <c r="Q29" s="101">
        <v>2827</v>
      </c>
    </row>
    <row r="30" spans="1:17">
      <c r="A30" s="27" t="s">
        <v>287</v>
      </c>
      <c r="B30" s="67">
        <v>1</v>
      </c>
      <c r="C30" s="67">
        <v>3</v>
      </c>
      <c r="D30" s="67">
        <v>0</v>
      </c>
      <c r="E30" s="67">
        <v>1</v>
      </c>
      <c r="F30" s="27">
        <v>0</v>
      </c>
      <c r="G30" s="27">
        <v>25</v>
      </c>
      <c r="H30" s="101">
        <v>1</v>
      </c>
      <c r="I30" s="101">
        <v>4</v>
      </c>
      <c r="J30" s="67">
        <v>1</v>
      </c>
      <c r="K30" s="67">
        <v>3</v>
      </c>
      <c r="L30" s="67">
        <v>0</v>
      </c>
      <c r="M30" s="67">
        <v>1</v>
      </c>
      <c r="N30" s="27">
        <v>0</v>
      </c>
      <c r="O30" s="27">
        <v>25</v>
      </c>
      <c r="P30" s="101">
        <v>1</v>
      </c>
      <c r="Q30" s="101">
        <v>4</v>
      </c>
    </row>
    <row r="31" spans="1:17">
      <c r="A31" s="27" t="s">
        <v>288</v>
      </c>
      <c r="B31" s="67">
        <v>1</v>
      </c>
      <c r="C31" s="67">
        <v>10</v>
      </c>
      <c r="D31" s="67">
        <v>24</v>
      </c>
      <c r="E31" s="67">
        <v>26</v>
      </c>
      <c r="F31" s="27">
        <v>96</v>
      </c>
      <c r="G31" s="27">
        <v>72.2</v>
      </c>
      <c r="H31" s="101">
        <v>25</v>
      </c>
      <c r="I31" s="101">
        <v>36</v>
      </c>
      <c r="J31" s="67">
        <v>1</v>
      </c>
      <c r="K31" s="67">
        <v>10</v>
      </c>
      <c r="L31" s="67">
        <v>24</v>
      </c>
      <c r="M31" s="67">
        <v>26</v>
      </c>
      <c r="N31" s="27">
        <v>96</v>
      </c>
      <c r="O31" s="27">
        <v>72.2</v>
      </c>
      <c r="P31" s="101">
        <v>25</v>
      </c>
      <c r="Q31" s="101">
        <v>36</v>
      </c>
    </row>
    <row r="32" spans="1:17">
      <c r="A32" s="27" t="s">
        <v>289</v>
      </c>
      <c r="B32" s="67">
        <v>46</v>
      </c>
      <c r="C32" s="67">
        <v>24</v>
      </c>
      <c r="D32" s="67">
        <v>97</v>
      </c>
      <c r="E32" s="67">
        <v>48</v>
      </c>
      <c r="F32" s="27">
        <v>67.8</v>
      </c>
      <c r="G32" s="27">
        <v>66.7</v>
      </c>
      <c r="H32" s="101">
        <v>143</v>
      </c>
      <c r="I32" s="101">
        <v>72</v>
      </c>
      <c r="J32" s="67">
        <v>46</v>
      </c>
      <c r="K32" s="67">
        <v>24</v>
      </c>
      <c r="L32" s="67">
        <v>97</v>
      </c>
      <c r="M32" s="67">
        <v>48</v>
      </c>
      <c r="N32" s="27">
        <v>67.8</v>
      </c>
      <c r="O32" s="27">
        <v>66.7</v>
      </c>
      <c r="P32" s="101">
        <v>143</v>
      </c>
      <c r="Q32" s="101">
        <v>72</v>
      </c>
    </row>
    <row r="33" spans="1:17">
      <c r="A33" s="27" t="s">
        <v>610</v>
      </c>
      <c r="B33" s="67">
        <v>0</v>
      </c>
      <c r="C33" s="67">
        <v>2</v>
      </c>
      <c r="D33" s="67">
        <v>126</v>
      </c>
      <c r="E33" s="67">
        <v>153</v>
      </c>
      <c r="F33" s="27">
        <v>100</v>
      </c>
      <c r="G33" s="27">
        <v>98.7</v>
      </c>
      <c r="H33" s="101">
        <v>126</v>
      </c>
      <c r="I33" s="101">
        <v>155</v>
      </c>
      <c r="J33" s="67">
        <v>0</v>
      </c>
      <c r="K33" s="67">
        <v>2</v>
      </c>
      <c r="L33" s="67">
        <v>126</v>
      </c>
      <c r="M33" s="67">
        <v>153</v>
      </c>
      <c r="N33" s="27">
        <v>100</v>
      </c>
      <c r="O33" s="27">
        <v>98.7</v>
      </c>
      <c r="P33" s="101">
        <v>126</v>
      </c>
      <c r="Q33" s="101">
        <v>155</v>
      </c>
    </row>
    <row r="34" spans="1:17">
      <c r="A34" s="27" t="s">
        <v>589</v>
      </c>
      <c r="B34" s="67">
        <v>0</v>
      </c>
      <c r="C34" s="67">
        <v>1</v>
      </c>
      <c r="D34" s="67">
        <v>0</v>
      </c>
      <c r="E34" s="67">
        <v>0</v>
      </c>
      <c r="F34" s="27">
        <v>0</v>
      </c>
      <c r="G34" s="27">
        <v>0</v>
      </c>
      <c r="H34" s="101">
        <v>0</v>
      </c>
      <c r="I34" s="101">
        <v>1</v>
      </c>
      <c r="J34" s="67">
        <v>0</v>
      </c>
      <c r="K34" s="67">
        <v>1</v>
      </c>
      <c r="L34" s="67">
        <v>0</v>
      </c>
      <c r="M34" s="67">
        <v>0</v>
      </c>
      <c r="N34" s="27">
        <v>0</v>
      </c>
      <c r="O34" s="27">
        <v>0</v>
      </c>
      <c r="P34" s="101">
        <v>0</v>
      </c>
      <c r="Q34" s="101">
        <v>1</v>
      </c>
    </row>
    <row r="35" spans="1:17">
      <c r="A35" s="27" t="s">
        <v>444</v>
      </c>
      <c r="B35" s="67">
        <v>4</v>
      </c>
      <c r="C35" s="67">
        <v>1</v>
      </c>
      <c r="D35" s="67">
        <v>2</v>
      </c>
      <c r="E35" s="67">
        <v>3</v>
      </c>
      <c r="F35" s="27">
        <v>33.299999999999997</v>
      </c>
      <c r="G35" s="27">
        <v>75</v>
      </c>
      <c r="H35" s="101">
        <v>6</v>
      </c>
      <c r="I35" s="101">
        <v>4</v>
      </c>
      <c r="J35" s="67">
        <v>4</v>
      </c>
      <c r="K35" s="67">
        <v>1</v>
      </c>
      <c r="L35" s="67">
        <v>2</v>
      </c>
      <c r="M35" s="67">
        <v>3</v>
      </c>
      <c r="N35" s="27">
        <v>33.299999999999997</v>
      </c>
      <c r="O35" s="27">
        <v>75</v>
      </c>
      <c r="P35" s="101">
        <v>6</v>
      </c>
      <c r="Q35" s="101">
        <v>4</v>
      </c>
    </row>
    <row r="36" spans="1:17">
      <c r="A36" s="27" t="s">
        <v>291</v>
      </c>
      <c r="B36" s="67">
        <v>251</v>
      </c>
      <c r="C36" s="67">
        <v>49</v>
      </c>
      <c r="D36" s="67">
        <v>92</v>
      </c>
      <c r="E36" s="67">
        <v>13</v>
      </c>
      <c r="F36" s="27">
        <v>26.8</v>
      </c>
      <c r="G36" s="27">
        <v>21</v>
      </c>
      <c r="H36" s="101">
        <v>343</v>
      </c>
      <c r="I36" s="101">
        <v>62</v>
      </c>
      <c r="J36" s="67">
        <v>251</v>
      </c>
      <c r="K36" s="67">
        <v>49</v>
      </c>
      <c r="L36" s="67">
        <v>92</v>
      </c>
      <c r="M36" s="67">
        <v>13</v>
      </c>
      <c r="N36" s="27">
        <v>26.8</v>
      </c>
      <c r="O36" s="27">
        <v>21</v>
      </c>
      <c r="P36" s="101">
        <v>343</v>
      </c>
      <c r="Q36" s="101">
        <v>62</v>
      </c>
    </row>
    <row r="37" spans="1:17">
      <c r="A37" s="27" t="s">
        <v>535</v>
      </c>
      <c r="B37" s="67">
        <v>1</v>
      </c>
      <c r="C37" s="67">
        <v>2</v>
      </c>
      <c r="D37" s="67">
        <v>1</v>
      </c>
      <c r="E37" s="67">
        <v>0</v>
      </c>
      <c r="F37" s="27">
        <v>50</v>
      </c>
      <c r="G37" s="27">
        <v>0</v>
      </c>
      <c r="H37" s="101">
        <v>2</v>
      </c>
      <c r="I37" s="101">
        <v>2</v>
      </c>
      <c r="J37" s="67">
        <v>1</v>
      </c>
      <c r="K37" s="67">
        <v>2</v>
      </c>
      <c r="L37" s="67">
        <v>1</v>
      </c>
      <c r="M37" s="67">
        <v>0</v>
      </c>
      <c r="N37" s="27">
        <v>50</v>
      </c>
      <c r="O37" s="27">
        <v>0</v>
      </c>
      <c r="P37" s="101">
        <v>2</v>
      </c>
      <c r="Q37" s="101">
        <v>2</v>
      </c>
    </row>
    <row r="38" spans="1:17">
      <c r="A38" s="27" t="s">
        <v>404</v>
      </c>
      <c r="B38" s="67">
        <v>199</v>
      </c>
      <c r="C38" s="67">
        <v>253</v>
      </c>
      <c r="D38" s="67">
        <v>418</v>
      </c>
      <c r="E38" s="67">
        <v>539</v>
      </c>
      <c r="F38" s="27">
        <v>67.7</v>
      </c>
      <c r="G38" s="27">
        <v>68.099999999999994</v>
      </c>
      <c r="H38" s="101">
        <v>617</v>
      </c>
      <c r="I38" s="101">
        <v>792</v>
      </c>
      <c r="J38" s="67">
        <v>199</v>
      </c>
      <c r="K38" s="67">
        <v>253</v>
      </c>
      <c r="L38" s="67">
        <v>418</v>
      </c>
      <c r="M38" s="67">
        <v>539</v>
      </c>
      <c r="N38" s="27">
        <v>67.7</v>
      </c>
      <c r="O38" s="27">
        <v>68.099999999999994</v>
      </c>
      <c r="P38" s="101">
        <v>617</v>
      </c>
      <c r="Q38" s="101">
        <v>792</v>
      </c>
    </row>
    <row r="39" spans="1:17">
      <c r="A39" s="27" t="s">
        <v>292</v>
      </c>
      <c r="B39" s="67">
        <v>3</v>
      </c>
      <c r="C39" s="67">
        <v>0</v>
      </c>
      <c r="D39" s="67">
        <v>2</v>
      </c>
      <c r="E39" s="67">
        <v>0</v>
      </c>
      <c r="F39" s="27">
        <v>40</v>
      </c>
      <c r="G39" s="27">
        <v>0</v>
      </c>
      <c r="H39" s="101">
        <v>5</v>
      </c>
      <c r="I39" s="101">
        <v>0</v>
      </c>
      <c r="J39" s="67">
        <v>3</v>
      </c>
      <c r="K39" s="67">
        <v>0</v>
      </c>
      <c r="L39" s="67">
        <v>2</v>
      </c>
      <c r="M39" s="67">
        <v>0</v>
      </c>
      <c r="N39" s="27">
        <v>40</v>
      </c>
      <c r="O39" s="27">
        <v>0</v>
      </c>
      <c r="P39" s="101">
        <v>5</v>
      </c>
      <c r="Q39" s="101">
        <v>0</v>
      </c>
    </row>
    <row r="40" spans="1:17">
      <c r="A40" s="27" t="s">
        <v>627</v>
      </c>
      <c r="B40" s="67">
        <v>191</v>
      </c>
      <c r="C40" s="67">
        <v>336</v>
      </c>
      <c r="D40" s="67">
        <v>34</v>
      </c>
      <c r="E40" s="67">
        <v>52</v>
      </c>
      <c r="F40" s="27">
        <v>15.1</v>
      </c>
      <c r="G40" s="27">
        <v>13.4</v>
      </c>
      <c r="H40" s="101">
        <v>225</v>
      </c>
      <c r="I40" s="101">
        <v>388</v>
      </c>
      <c r="J40" s="67">
        <v>191</v>
      </c>
      <c r="K40" s="67">
        <v>336</v>
      </c>
      <c r="L40" s="67">
        <v>34</v>
      </c>
      <c r="M40" s="67">
        <v>52</v>
      </c>
      <c r="N40" s="27">
        <v>15.1</v>
      </c>
      <c r="O40" s="27">
        <v>13.4</v>
      </c>
      <c r="P40" s="101">
        <v>225</v>
      </c>
      <c r="Q40" s="101">
        <v>388</v>
      </c>
    </row>
    <row r="41" spans="1:17">
      <c r="A41" s="27" t="s">
        <v>293</v>
      </c>
      <c r="B41" s="67">
        <v>36</v>
      </c>
      <c r="C41" s="67">
        <v>138</v>
      </c>
      <c r="D41" s="67">
        <v>70</v>
      </c>
      <c r="E41" s="67">
        <v>56</v>
      </c>
      <c r="F41" s="27">
        <v>66</v>
      </c>
      <c r="G41" s="27">
        <v>28.9</v>
      </c>
      <c r="H41" s="101">
        <v>106</v>
      </c>
      <c r="I41" s="101">
        <v>194</v>
      </c>
      <c r="J41" s="67">
        <v>36</v>
      </c>
      <c r="K41" s="67">
        <v>138</v>
      </c>
      <c r="L41" s="67">
        <v>70</v>
      </c>
      <c r="M41" s="67">
        <v>56</v>
      </c>
      <c r="N41" s="27">
        <v>66</v>
      </c>
      <c r="O41" s="27">
        <v>28.9</v>
      </c>
      <c r="P41" s="101">
        <v>106</v>
      </c>
      <c r="Q41" s="101">
        <v>194</v>
      </c>
    </row>
    <row r="42" spans="1:17">
      <c r="A42" s="27" t="s">
        <v>294</v>
      </c>
      <c r="B42" s="67">
        <v>1</v>
      </c>
      <c r="C42" s="67">
        <v>8</v>
      </c>
      <c r="D42" s="67">
        <v>42</v>
      </c>
      <c r="E42" s="67">
        <v>84</v>
      </c>
      <c r="F42" s="27">
        <v>97.7</v>
      </c>
      <c r="G42" s="27">
        <v>91.3</v>
      </c>
      <c r="H42" s="101">
        <v>43</v>
      </c>
      <c r="I42" s="101">
        <v>92</v>
      </c>
      <c r="J42" s="67">
        <v>1</v>
      </c>
      <c r="K42" s="67">
        <v>8</v>
      </c>
      <c r="L42" s="67">
        <v>42</v>
      </c>
      <c r="M42" s="67">
        <v>84</v>
      </c>
      <c r="N42" s="27">
        <v>97.7</v>
      </c>
      <c r="O42" s="27">
        <v>91.3</v>
      </c>
      <c r="P42" s="101">
        <v>43</v>
      </c>
      <c r="Q42" s="101">
        <v>92</v>
      </c>
    </row>
    <row r="43" spans="1:17">
      <c r="A43" s="27" t="s">
        <v>295</v>
      </c>
      <c r="B43" s="67">
        <v>0</v>
      </c>
      <c r="C43" s="67">
        <v>1</v>
      </c>
      <c r="D43" s="67">
        <v>0</v>
      </c>
      <c r="E43" s="67">
        <v>0</v>
      </c>
      <c r="F43" s="27">
        <v>0</v>
      </c>
      <c r="G43" s="27">
        <v>0</v>
      </c>
      <c r="H43" s="101">
        <v>0</v>
      </c>
      <c r="I43" s="101">
        <v>1</v>
      </c>
      <c r="J43" s="67">
        <v>0</v>
      </c>
      <c r="K43" s="67">
        <v>1</v>
      </c>
      <c r="L43" s="67">
        <v>0</v>
      </c>
      <c r="M43" s="67">
        <v>0</v>
      </c>
      <c r="N43" s="27">
        <v>0</v>
      </c>
      <c r="O43" s="27">
        <v>0</v>
      </c>
      <c r="P43" s="101">
        <v>0</v>
      </c>
      <c r="Q43" s="101">
        <v>1</v>
      </c>
    </row>
    <row r="44" spans="1:17">
      <c r="A44" s="27" t="s">
        <v>1118</v>
      </c>
      <c r="B44" s="67">
        <v>0</v>
      </c>
      <c r="C44" s="67">
        <v>0</v>
      </c>
      <c r="D44" s="67">
        <v>1</v>
      </c>
      <c r="E44" s="67">
        <v>0</v>
      </c>
      <c r="F44" s="27">
        <v>100</v>
      </c>
      <c r="G44" s="27">
        <v>0</v>
      </c>
      <c r="H44" s="101">
        <v>1</v>
      </c>
      <c r="I44" s="101">
        <v>0</v>
      </c>
      <c r="J44" s="67">
        <v>0</v>
      </c>
      <c r="K44" s="67">
        <v>0</v>
      </c>
      <c r="L44" s="67">
        <v>1</v>
      </c>
      <c r="M44" s="67">
        <v>0</v>
      </c>
      <c r="N44" s="27">
        <v>100</v>
      </c>
      <c r="O44" s="27">
        <v>0</v>
      </c>
      <c r="P44" s="101">
        <v>1</v>
      </c>
      <c r="Q44" s="101">
        <v>0</v>
      </c>
    </row>
    <row r="45" spans="1:17">
      <c r="A45" s="27" t="s">
        <v>296</v>
      </c>
      <c r="B45" s="67">
        <v>107</v>
      </c>
      <c r="C45" s="67">
        <v>297</v>
      </c>
      <c r="D45" s="67">
        <v>89</v>
      </c>
      <c r="E45" s="67">
        <v>70</v>
      </c>
      <c r="F45" s="27">
        <v>45.4</v>
      </c>
      <c r="G45" s="27">
        <v>19.100000000000001</v>
      </c>
      <c r="H45" s="101">
        <v>196</v>
      </c>
      <c r="I45" s="101">
        <v>367</v>
      </c>
      <c r="J45" s="67">
        <v>107</v>
      </c>
      <c r="K45" s="67">
        <v>297</v>
      </c>
      <c r="L45" s="67">
        <v>89</v>
      </c>
      <c r="M45" s="67">
        <v>70</v>
      </c>
      <c r="N45" s="27">
        <v>45.4</v>
      </c>
      <c r="O45" s="27">
        <v>19.100000000000001</v>
      </c>
      <c r="P45" s="101">
        <v>196</v>
      </c>
      <c r="Q45" s="101">
        <v>367</v>
      </c>
    </row>
    <row r="46" spans="1:17">
      <c r="A46" s="27" t="s">
        <v>297</v>
      </c>
      <c r="B46" s="67">
        <v>22</v>
      </c>
      <c r="C46" s="67">
        <v>212</v>
      </c>
      <c r="D46" s="67">
        <v>79</v>
      </c>
      <c r="E46" s="67">
        <v>81</v>
      </c>
      <c r="F46" s="27">
        <v>78.2</v>
      </c>
      <c r="G46" s="27">
        <v>27.6</v>
      </c>
      <c r="H46" s="101">
        <v>101</v>
      </c>
      <c r="I46" s="101">
        <v>293</v>
      </c>
      <c r="J46" s="67">
        <v>22</v>
      </c>
      <c r="K46" s="67">
        <v>212</v>
      </c>
      <c r="L46" s="67">
        <v>79</v>
      </c>
      <c r="M46" s="67">
        <v>81</v>
      </c>
      <c r="N46" s="27">
        <v>78.2</v>
      </c>
      <c r="O46" s="27">
        <v>27.6</v>
      </c>
      <c r="P46" s="101">
        <v>101</v>
      </c>
      <c r="Q46" s="101">
        <v>293</v>
      </c>
    </row>
    <row r="47" spans="1:17">
      <c r="A47" s="27" t="s">
        <v>1089</v>
      </c>
      <c r="B47" s="67">
        <v>1</v>
      </c>
      <c r="C47" s="67">
        <v>0</v>
      </c>
      <c r="D47" s="67">
        <v>9</v>
      </c>
      <c r="E47" s="67">
        <v>0</v>
      </c>
      <c r="F47" s="27">
        <v>90</v>
      </c>
      <c r="G47" s="27">
        <v>0</v>
      </c>
      <c r="H47" s="101">
        <v>10</v>
      </c>
      <c r="I47" s="101">
        <v>0</v>
      </c>
      <c r="J47" s="67">
        <v>1</v>
      </c>
      <c r="K47" s="67">
        <v>0</v>
      </c>
      <c r="L47" s="67">
        <v>9</v>
      </c>
      <c r="M47" s="67">
        <v>0</v>
      </c>
      <c r="N47" s="27">
        <v>90</v>
      </c>
      <c r="O47" s="27">
        <v>0</v>
      </c>
      <c r="P47" s="101">
        <v>10</v>
      </c>
      <c r="Q47" s="101">
        <v>0</v>
      </c>
    </row>
    <row r="48" spans="1:17">
      <c r="A48" s="27" t="s">
        <v>298</v>
      </c>
      <c r="B48" s="67">
        <v>62</v>
      </c>
      <c r="C48" s="67">
        <v>270</v>
      </c>
      <c r="D48" s="67">
        <v>372</v>
      </c>
      <c r="E48" s="67">
        <v>235</v>
      </c>
      <c r="F48" s="27">
        <v>85.7</v>
      </c>
      <c r="G48" s="27">
        <v>46.5</v>
      </c>
      <c r="H48" s="101">
        <v>434</v>
      </c>
      <c r="I48" s="101">
        <v>505</v>
      </c>
      <c r="J48" s="67">
        <v>62</v>
      </c>
      <c r="K48" s="67">
        <v>270</v>
      </c>
      <c r="L48" s="67">
        <v>372</v>
      </c>
      <c r="M48" s="67">
        <v>235</v>
      </c>
      <c r="N48" s="27">
        <v>85.7</v>
      </c>
      <c r="O48" s="27">
        <v>46.5</v>
      </c>
      <c r="P48" s="101">
        <v>434</v>
      </c>
      <c r="Q48" s="101">
        <v>505</v>
      </c>
    </row>
    <row r="49" spans="1:17">
      <c r="A49" s="27" t="s">
        <v>337</v>
      </c>
      <c r="B49" s="67">
        <v>20</v>
      </c>
      <c r="C49" s="67">
        <v>86</v>
      </c>
      <c r="D49" s="67">
        <v>77</v>
      </c>
      <c r="E49" s="67">
        <v>162</v>
      </c>
      <c r="F49" s="27">
        <v>79.400000000000006</v>
      </c>
      <c r="G49" s="27">
        <v>65.3</v>
      </c>
      <c r="H49" s="101">
        <v>97</v>
      </c>
      <c r="I49" s="101">
        <v>248</v>
      </c>
      <c r="J49" s="67">
        <v>20</v>
      </c>
      <c r="K49" s="67">
        <v>86</v>
      </c>
      <c r="L49" s="67">
        <v>77</v>
      </c>
      <c r="M49" s="67">
        <v>162</v>
      </c>
      <c r="N49" s="27">
        <v>79.400000000000006</v>
      </c>
      <c r="O49" s="27">
        <v>65.3</v>
      </c>
      <c r="P49" s="101">
        <v>97</v>
      </c>
      <c r="Q49" s="101">
        <v>248</v>
      </c>
    </row>
    <row r="50" spans="1:17">
      <c r="A50" s="27" t="s">
        <v>299</v>
      </c>
      <c r="B50" s="67">
        <v>115</v>
      </c>
      <c r="C50" s="67">
        <v>75</v>
      </c>
      <c r="D50" s="67">
        <v>145</v>
      </c>
      <c r="E50" s="67">
        <v>94</v>
      </c>
      <c r="F50" s="27">
        <v>55.8</v>
      </c>
      <c r="G50" s="27">
        <v>55.6</v>
      </c>
      <c r="H50" s="101">
        <v>260</v>
      </c>
      <c r="I50" s="101">
        <v>169</v>
      </c>
      <c r="J50" s="67">
        <v>115</v>
      </c>
      <c r="K50" s="67">
        <v>75</v>
      </c>
      <c r="L50" s="67">
        <v>145</v>
      </c>
      <c r="M50" s="67">
        <v>94</v>
      </c>
      <c r="N50" s="27">
        <v>55.8</v>
      </c>
      <c r="O50" s="27">
        <v>55.6</v>
      </c>
      <c r="P50" s="101">
        <v>260</v>
      </c>
      <c r="Q50" s="101">
        <v>169</v>
      </c>
    </row>
    <row r="51" spans="1:17">
      <c r="A51" s="27" t="s">
        <v>300</v>
      </c>
      <c r="B51" s="67">
        <v>116</v>
      </c>
      <c r="C51" s="67">
        <v>317</v>
      </c>
      <c r="D51" s="67">
        <v>216</v>
      </c>
      <c r="E51" s="67">
        <v>130</v>
      </c>
      <c r="F51" s="27">
        <v>65.099999999999994</v>
      </c>
      <c r="G51" s="27">
        <v>29.1</v>
      </c>
      <c r="H51" s="101">
        <v>332</v>
      </c>
      <c r="I51" s="101">
        <v>447</v>
      </c>
      <c r="J51" s="67">
        <v>116</v>
      </c>
      <c r="K51" s="67">
        <v>317</v>
      </c>
      <c r="L51" s="67">
        <v>216</v>
      </c>
      <c r="M51" s="67">
        <v>130</v>
      </c>
      <c r="N51" s="27">
        <v>65.099999999999994</v>
      </c>
      <c r="O51" s="27">
        <v>29.1</v>
      </c>
      <c r="P51" s="101">
        <v>332</v>
      </c>
      <c r="Q51" s="101">
        <v>447</v>
      </c>
    </row>
    <row r="52" spans="1:17">
      <c r="A52" s="27" t="s">
        <v>301</v>
      </c>
      <c r="B52" s="67">
        <v>109</v>
      </c>
      <c r="C52" s="67">
        <v>199</v>
      </c>
      <c r="D52" s="67">
        <v>81</v>
      </c>
      <c r="E52" s="67">
        <v>117</v>
      </c>
      <c r="F52" s="27">
        <v>42.6</v>
      </c>
      <c r="G52" s="27">
        <v>37</v>
      </c>
      <c r="H52" s="101">
        <v>190</v>
      </c>
      <c r="I52" s="101">
        <v>316</v>
      </c>
      <c r="J52" s="67">
        <v>109</v>
      </c>
      <c r="K52" s="67">
        <v>199</v>
      </c>
      <c r="L52" s="67">
        <v>81</v>
      </c>
      <c r="M52" s="67">
        <v>117</v>
      </c>
      <c r="N52" s="27">
        <v>42.6</v>
      </c>
      <c r="O52" s="27">
        <v>37</v>
      </c>
      <c r="P52" s="101">
        <v>190</v>
      </c>
      <c r="Q52" s="101">
        <v>316</v>
      </c>
    </row>
    <row r="53" spans="1:17">
      <c r="A53" s="27" t="s">
        <v>302</v>
      </c>
      <c r="B53" s="67">
        <v>175</v>
      </c>
      <c r="C53" s="67">
        <v>390</v>
      </c>
      <c r="D53" s="67">
        <v>390</v>
      </c>
      <c r="E53" s="67">
        <v>440</v>
      </c>
      <c r="F53" s="64">
        <v>69</v>
      </c>
      <c r="G53" s="64">
        <v>53</v>
      </c>
      <c r="H53" s="101">
        <v>565</v>
      </c>
      <c r="I53" s="101">
        <v>830</v>
      </c>
      <c r="J53" s="67">
        <v>175</v>
      </c>
      <c r="K53" s="67">
        <v>390</v>
      </c>
      <c r="L53" s="67">
        <v>390</v>
      </c>
      <c r="M53" s="67">
        <v>440</v>
      </c>
      <c r="N53" s="64">
        <v>69</v>
      </c>
      <c r="O53" s="64">
        <v>53</v>
      </c>
      <c r="P53" s="101">
        <v>565</v>
      </c>
      <c r="Q53" s="101">
        <v>830</v>
      </c>
    </row>
    <row r="54" spans="1:17">
      <c r="A54" s="27" t="s">
        <v>303</v>
      </c>
      <c r="B54" s="67">
        <v>54</v>
      </c>
      <c r="C54" s="67">
        <v>69</v>
      </c>
      <c r="D54" s="67">
        <v>79</v>
      </c>
      <c r="E54" s="67">
        <v>19</v>
      </c>
      <c r="F54" s="27">
        <v>59.4</v>
      </c>
      <c r="G54" s="27">
        <v>21.6</v>
      </c>
      <c r="H54" s="101">
        <v>133</v>
      </c>
      <c r="I54" s="101">
        <v>88</v>
      </c>
      <c r="J54" s="67">
        <v>54</v>
      </c>
      <c r="K54" s="67">
        <v>69</v>
      </c>
      <c r="L54" s="67">
        <v>79</v>
      </c>
      <c r="M54" s="67">
        <v>19</v>
      </c>
      <c r="N54" s="27">
        <v>59.4</v>
      </c>
      <c r="O54" s="27">
        <v>21.6</v>
      </c>
      <c r="P54" s="101">
        <v>133</v>
      </c>
      <c r="Q54" s="101">
        <v>88</v>
      </c>
    </row>
    <row r="55" spans="1:17">
      <c r="A55" s="27" t="s">
        <v>304</v>
      </c>
      <c r="B55" s="67">
        <v>29</v>
      </c>
      <c r="C55" s="67">
        <v>41</v>
      </c>
      <c r="D55" s="67">
        <v>41</v>
      </c>
      <c r="E55" s="67">
        <v>87</v>
      </c>
      <c r="F55" s="27">
        <v>58.6</v>
      </c>
      <c r="G55" s="27">
        <v>68</v>
      </c>
      <c r="H55" s="101">
        <v>70</v>
      </c>
      <c r="I55" s="101">
        <v>128</v>
      </c>
      <c r="J55" s="67">
        <v>29</v>
      </c>
      <c r="K55" s="67">
        <v>41</v>
      </c>
      <c r="L55" s="67">
        <v>41</v>
      </c>
      <c r="M55" s="67">
        <v>87</v>
      </c>
      <c r="N55" s="27">
        <v>58.6</v>
      </c>
      <c r="O55" s="27">
        <v>68</v>
      </c>
      <c r="P55" s="101">
        <v>70</v>
      </c>
      <c r="Q55" s="101">
        <v>128</v>
      </c>
    </row>
    <row r="56" spans="1:17">
      <c r="A56" s="27" t="s">
        <v>305</v>
      </c>
      <c r="B56" s="67">
        <v>73</v>
      </c>
      <c r="C56" s="67">
        <v>1</v>
      </c>
      <c r="D56" s="67">
        <v>152</v>
      </c>
      <c r="E56" s="67">
        <v>10</v>
      </c>
      <c r="F56" s="64">
        <v>67.599999999999994</v>
      </c>
      <c r="G56" s="64">
        <v>90.9</v>
      </c>
      <c r="H56" s="101">
        <v>225</v>
      </c>
      <c r="I56" s="101">
        <v>11</v>
      </c>
      <c r="J56" s="67">
        <v>73</v>
      </c>
      <c r="K56" s="67">
        <v>1</v>
      </c>
      <c r="L56" s="67">
        <v>152</v>
      </c>
      <c r="M56" s="67">
        <v>10</v>
      </c>
      <c r="N56" s="64">
        <v>67.599999999999994</v>
      </c>
      <c r="O56" s="64">
        <v>90.9</v>
      </c>
      <c r="P56" s="101">
        <v>225</v>
      </c>
      <c r="Q56" s="101">
        <v>11</v>
      </c>
    </row>
    <row r="57" spans="1:17">
      <c r="A57" s="27" t="s">
        <v>306</v>
      </c>
      <c r="B57" s="67">
        <v>828</v>
      </c>
      <c r="C57" s="67">
        <v>888</v>
      </c>
      <c r="D57" s="67">
        <v>611</v>
      </c>
      <c r="E57" s="67">
        <v>746</v>
      </c>
      <c r="F57" s="27">
        <v>42.5</v>
      </c>
      <c r="G57" s="27">
        <v>45.7</v>
      </c>
      <c r="H57" s="101">
        <v>1439</v>
      </c>
      <c r="I57" s="101">
        <v>1634</v>
      </c>
      <c r="J57" s="67">
        <v>828</v>
      </c>
      <c r="K57" s="67">
        <v>888</v>
      </c>
      <c r="L57" s="67">
        <v>611</v>
      </c>
      <c r="M57" s="67">
        <v>746</v>
      </c>
      <c r="N57" s="27">
        <v>42.5</v>
      </c>
      <c r="O57" s="27">
        <v>45.7</v>
      </c>
      <c r="P57" s="101">
        <v>1439</v>
      </c>
      <c r="Q57" s="101">
        <v>1634</v>
      </c>
    </row>
    <row r="58" spans="1:17">
      <c r="A58" s="27" t="s">
        <v>307</v>
      </c>
      <c r="B58" s="67">
        <v>444</v>
      </c>
      <c r="C58" s="67">
        <v>1078</v>
      </c>
      <c r="D58" s="67">
        <v>945</v>
      </c>
      <c r="E58" s="67">
        <v>1255</v>
      </c>
      <c r="F58" s="27">
        <v>68</v>
      </c>
      <c r="G58" s="27">
        <v>53.8</v>
      </c>
      <c r="H58" s="101">
        <v>1389</v>
      </c>
      <c r="I58" s="101">
        <v>2333</v>
      </c>
      <c r="J58" s="67">
        <v>444</v>
      </c>
      <c r="K58" s="67">
        <v>1078</v>
      </c>
      <c r="L58" s="67">
        <v>945</v>
      </c>
      <c r="M58" s="67">
        <v>1255</v>
      </c>
      <c r="N58" s="27">
        <v>68</v>
      </c>
      <c r="O58" s="27">
        <v>53.8</v>
      </c>
      <c r="P58" s="101">
        <v>1389</v>
      </c>
      <c r="Q58" s="101">
        <v>2333</v>
      </c>
    </row>
    <row r="59" spans="1:17">
      <c r="A59" s="27" t="s">
        <v>308</v>
      </c>
      <c r="B59" s="67">
        <v>1107</v>
      </c>
      <c r="C59" s="67">
        <v>1342</v>
      </c>
      <c r="D59" s="67">
        <v>1919</v>
      </c>
      <c r="E59" s="67">
        <v>2379</v>
      </c>
      <c r="F59" s="27">
        <v>63.4</v>
      </c>
      <c r="G59" s="27">
        <v>63.9</v>
      </c>
      <c r="H59" s="101">
        <v>3026</v>
      </c>
      <c r="I59" s="101">
        <v>3721</v>
      </c>
      <c r="J59" s="67">
        <v>1107</v>
      </c>
      <c r="K59" s="67">
        <v>1342</v>
      </c>
      <c r="L59" s="67">
        <v>1919</v>
      </c>
      <c r="M59" s="67">
        <v>2379</v>
      </c>
      <c r="N59" s="27">
        <v>63.4</v>
      </c>
      <c r="O59" s="27">
        <v>63.9</v>
      </c>
      <c r="P59" s="101">
        <v>3026</v>
      </c>
      <c r="Q59" s="101">
        <v>3721</v>
      </c>
    </row>
    <row r="60" spans="1:17">
      <c r="A60" s="173" t="s">
        <v>309</v>
      </c>
      <c r="B60" s="174">
        <v>2</v>
      </c>
      <c r="C60" s="174">
        <v>8</v>
      </c>
      <c r="D60" s="174">
        <v>4</v>
      </c>
      <c r="E60" s="174">
        <v>22</v>
      </c>
      <c r="F60" s="173">
        <v>66.7</v>
      </c>
      <c r="G60" s="173">
        <v>73.3</v>
      </c>
      <c r="H60" s="176">
        <v>6</v>
      </c>
      <c r="I60" s="176">
        <v>30</v>
      </c>
      <c r="J60" s="174">
        <v>2</v>
      </c>
      <c r="K60" s="174">
        <v>8</v>
      </c>
      <c r="L60" s="174">
        <v>4</v>
      </c>
      <c r="M60" s="174">
        <v>22</v>
      </c>
      <c r="N60" s="173">
        <v>66.7</v>
      </c>
      <c r="O60" s="173">
        <v>73.3</v>
      </c>
      <c r="P60" s="176">
        <v>6</v>
      </c>
      <c r="Q60" s="176">
        <v>30</v>
      </c>
    </row>
    <row r="61" spans="1:17">
      <c r="A61" s="173" t="s">
        <v>485</v>
      </c>
      <c r="B61" s="174">
        <f>SUBTOTAL(109,getAggFysJur[antalFysiska])</f>
        <v>5549</v>
      </c>
      <c r="C61" s="174">
        <f>SUBTOTAL(109,getAggFysJur[antalFysiskaFG])</f>
        <v>10126</v>
      </c>
      <c r="D61" s="174">
        <f>SUBTOTAL(109,getAggFysJur[antalJuridiska])</f>
        <v>9052</v>
      </c>
      <c r="E61" s="174">
        <f>SUBTOTAL(109,getAggFysJur[antalJuridiskaFG])</f>
        <v>9767</v>
      </c>
      <c r="F61" s="175">
        <f>IF(getAggFysJur[[#Totals],[totalPerioden]] &gt; 0,( getAggFysJur[[#Totals],[antalJuridiska]]  ) / getAggFysJur[[#Totals],[totalPerioden]] * 100,0)</f>
        <v>61.995753715498935</v>
      </c>
      <c r="G61" s="175">
        <f>IF(getAggFysJur[[#Totals],[totalPeriodenFG]] &gt; 0,( getAggFysJur[[#Totals],[antalJuridiskaFG]] ) / getAggFysJur[[#Totals],[totalPeriodenFG]] * 100,0)</f>
        <v>49.097672548132508</v>
      </c>
      <c r="H61" s="176">
        <f>SUBTOTAL(109,getAggFysJur[totalPerioden])</f>
        <v>14601</v>
      </c>
      <c r="I61" s="176">
        <f>SUBTOTAL(109,getAggFysJur[totalPeriodenFG])</f>
        <v>19893</v>
      </c>
      <c r="J61" s="174">
        <f>SUBTOTAL(109,getAggFysJur[antalFysiskaAret])</f>
        <v>5549</v>
      </c>
      <c r="K61" s="174">
        <f>SUBTOTAL(109,getAggFysJur[antalFysiskaAretFG])</f>
        <v>10126</v>
      </c>
      <c r="L61" s="174">
        <f>SUBTOTAL(109,getAggFysJur[antalJuridiskaAret])</f>
        <v>9052</v>
      </c>
      <c r="M61" s="174">
        <f>SUBTOTAL(109,getAggFysJur[antalJuridiskaAretFG])</f>
        <v>9767</v>
      </c>
      <c r="N61" s="175">
        <f>IF(getAggFysJur[[#Totals],[totalAret]] &gt; 0,( getAggFysJur[[#Totals],[antalJuridiskaAret]] ) / getAggFysJur[[#Totals],[totalAret]] * 100,0)</f>
        <v>61.995753715498935</v>
      </c>
      <c r="O61" s="175">
        <f>IF(getAggFysJur[[#Totals],[totalAretFG]] &gt; 0,( getAggFysJur[[#Totals],[antalJuridiskaAretFG]] ) / getAggFysJur[[#Totals],[totalAretFG]] * 100,0)</f>
        <v>49.097672548132508</v>
      </c>
      <c r="P61" s="176">
        <f>SUBTOTAL(109,getAggFysJur[totalAret])</f>
        <v>14601</v>
      </c>
      <c r="Q61" s="176">
        <f>SUBTOTAL(109,getAggFysJur[totalAretFG])</f>
        <v>19893</v>
      </c>
    </row>
    <row r="62" spans="1:17">
      <c r="A62" s="173"/>
      <c r="B62" s="174"/>
      <c r="C62" s="174"/>
      <c r="D62" s="174"/>
      <c r="E62" s="174"/>
      <c r="F62" s="175"/>
      <c r="G62" s="175"/>
      <c r="H62" s="176"/>
      <c r="I62" s="176"/>
      <c r="J62" s="174"/>
      <c r="K62" s="174"/>
      <c r="L62" s="174"/>
      <c r="M62" s="174"/>
      <c r="N62" s="175"/>
      <c r="O62" s="175"/>
      <c r="P62" s="176"/>
      <c r="Q62" s="176"/>
    </row>
    <row r="63" spans="1:17">
      <c r="A63" s="173"/>
      <c r="B63" s="174"/>
      <c r="C63" s="174"/>
      <c r="D63" s="174"/>
      <c r="E63" s="174"/>
      <c r="F63" s="173"/>
      <c r="G63" s="173"/>
      <c r="H63" s="176"/>
      <c r="I63" s="176"/>
      <c r="J63" s="174"/>
      <c r="K63" s="174"/>
      <c r="L63" s="174"/>
      <c r="M63" s="174"/>
      <c r="N63" s="173"/>
      <c r="O63" s="173"/>
      <c r="P63" s="176"/>
      <c r="Q63" s="176"/>
    </row>
    <row r="64" spans="1:17">
      <c r="A64" t="s">
        <v>716</v>
      </c>
      <c r="B64" s="174"/>
      <c r="C64" s="174"/>
      <c r="D64" s="174"/>
      <c r="E64" s="174"/>
      <c r="F64" s="173"/>
      <c r="G64" s="173"/>
      <c r="H64" s="176"/>
      <c r="I64" s="176"/>
      <c r="J64" s="174"/>
      <c r="K64" s="174"/>
      <c r="L64" s="174"/>
      <c r="M64" s="174"/>
      <c r="N64" s="173"/>
      <c r="O64" s="173"/>
      <c r="P64" s="176"/>
      <c r="Q64" s="176"/>
    </row>
    <row r="65" spans="1:17">
      <c r="A65" s="173"/>
      <c r="B65" s="174"/>
      <c r="C65" s="174"/>
      <c r="D65" s="174"/>
      <c r="E65" s="174"/>
      <c r="F65" s="173"/>
      <c r="G65" s="173"/>
      <c r="H65" s="176"/>
      <c r="I65" s="176"/>
      <c r="J65" s="174"/>
      <c r="K65" s="174"/>
      <c r="L65" s="174"/>
      <c r="M65" s="174"/>
      <c r="N65" s="173"/>
      <c r="O65" s="173"/>
      <c r="P65" s="176"/>
      <c r="Q65" s="176"/>
    </row>
    <row r="66" spans="1:17">
      <c r="A66" s="173"/>
      <c r="B66" s="174"/>
      <c r="C66" s="174"/>
      <c r="D66" s="174"/>
      <c r="E66" s="174"/>
      <c r="F66" s="173"/>
      <c r="G66" s="173"/>
      <c r="H66" s="176"/>
      <c r="I66" s="176"/>
      <c r="J66" s="174"/>
      <c r="K66" s="174"/>
      <c r="L66" s="174"/>
      <c r="M66" s="174"/>
      <c r="N66" s="173"/>
      <c r="O66" s="173"/>
      <c r="P66" s="176"/>
      <c r="Q66" s="176"/>
    </row>
    <row r="67" spans="1:17">
      <c r="A67" s="27"/>
      <c r="B67" s="27"/>
      <c r="C67" s="27"/>
      <c r="D67" s="27"/>
      <c r="E67" s="27"/>
      <c r="F67" s="27"/>
      <c r="G67" s="27"/>
      <c r="H67" s="43"/>
      <c r="I67" s="43"/>
      <c r="J67" s="27"/>
      <c r="K67" s="27"/>
      <c r="L67" s="27"/>
      <c r="M67" s="27"/>
      <c r="N67" s="27"/>
      <c r="O67" s="27"/>
      <c r="P67" s="43"/>
      <c r="Q67" s="43"/>
    </row>
    <row r="68" spans="1:17">
      <c r="A68" s="27"/>
      <c r="B68" s="27"/>
      <c r="C68" s="27"/>
      <c r="D68" s="27"/>
      <c r="E68" s="27"/>
      <c r="F68" s="27"/>
      <c r="G68" s="27"/>
      <c r="H68" s="43"/>
      <c r="I68" s="43"/>
      <c r="J68" s="27"/>
      <c r="K68" s="27"/>
      <c r="L68" s="27"/>
      <c r="M68" s="27"/>
      <c r="N68" s="27"/>
      <c r="O68" s="27"/>
      <c r="P68" s="43"/>
      <c r="Q68" s="43"/>
    </row>
    <row r="69" spans="1:17">
      <c r="A69" s="27"/>
      <c r="B69" s="27"/>
      <c r="C69" s="27"/>
      <c r="D69" s="27"/>
      <c r="E69" s="27"/>
      <c r="F69" s="27"/>
      <c r="G69" s="27"/>
      <c r="H69" s="43"/>
      <c r="I69" s="43"/>
      <c r="J69" s="27"/>
      <c r="K69" s="27"/>
      <c r="L69" s="27"/>
      <c r="M69" s="27"/>
      <c r="N69" s="27"/>
      <c r="O69" s="27"/>
      <c r="P69" s="43"/>
      <c r="Q69" s="43"/>
    </row>
    <row r="70" spans="1:17">
      <c r="A70" s="27"/>
      <c r="B70" s="27"/>
      <c r="C70" s="27"/>
      <c r="D70" s="27"/>
      <c r="E70" s="27"/>
      <c r="F70" s="27"/>
      <c r="G70" s="27"/>
      <c r="H70" s="43"/>
      <c r="I70" s="43"/>
      <c r="J70" s="27"/>
      <c r="K70" s="27"/>
      <c r="L70" s="27"/>
      <c r="M70" s="27"/>
      <c r="N70" s="27"/>
      <c r="O70" s="27"/>
      <c r="P70" s="43"/>
      <c r="Q70" s="43"/>
    </row>
    <row r="71" spans="1:17">
      <c r="A71" s="27"/>
      <c r="B71" s="27"/>
      <c r="C71" s="27"/>
      <c r="D71" s="27"/>
      <c r="E71" s="27"/>
      <c r="F71" s="27"/>
      <c r="G71" s="27"/>
      <c r="H71" s="43"/>
      <c r="I71" s="43"/>
      <c r="J71" s="27"/>
      <c r="K71" s="27"/>
      <c r="L71" s="27"/>
      <c r="M71" s="27"/>
      <c r="N71" s="27"/>
      <c r="O71" s="27"/>
      <c r="P71" s="43"/>
      <c r="Q71" s="43"/>
    </row>
    <row r="72" spans="1:17">
      <c r="A72" s="27"/>
      <c r="B72" s="27"/>
      <c r="C72" s="27"/>
      <c r="D72" s="27"/>
      <c r="E72" s="27"/>
      <c r="F72" s="27"/>
      <c r="G72" s="27"/>
      <c r="H72" s="43"/>
      <c r="I72" s="43"/>
      <c r="J72" s="27"/>
      <c r="K72" s="27"/>
      <c r="L72" s="27"/>
      <c r="M72" s="27"/>
      <c r="N72" s="27"/>
      <c r="O72" s="27"/>
      <c r="P72" s="43"/>
      <c r="Q72" s="43"/>
    </row>
    <row r="73" spans="1:17">
      <c r="A73" s="27"/>
      <c r="B73" s="27"/>
      <c r="C73" s="27"/>
      <c r="D73" s="27"/>
      <c r="E73" s="27"/>
      <c r="F73" s="27"/>
      <c r="G73" s="27"/>
      <c r="H73" s="43"/>
      <c r="I73" s="43"/>
      <c r="J73" s="27"/>
      <c r="K73" s="27"/>
      <c r="L73" s="27"/>
      <c r="M73" s="27"/>
      <c r="N73" s="27"/>
      <c r="O73" s="27"/>
      <c r="P73" s="43"/>
      <c r="Q73" s="43"/>
    </row>
    <row r="74" spans="1:17">
      <c r="A74" s="27"/>
      <c r="B74" s="27"/>
      <c r="C74" s="27"/>
      <c r="D74" s="27"/>
      <c r="E74" s="27"/>
      <c r="F74" s="27"/>
      <c r="G74" s="27"/>
      <c r="H74" s="43"/>
      <c r="I74" s="43"/>
      <c r="J74" s="27"/>
      <c r="K74" s="27"/>
      <c r="L74" s="27"/>
      <c r="M74" s="27"/>
      <c r="N74" s="27"/>
      <c r="O74" s="27"/>
      <c r="P74" s="43"/>
      <c r="Q74" s="43"/>
    </row>
    <row r="75" spans="1:17">
      <c r="A75" s="27"/>
      <c r="B75" s="27"/>
      <c r="C75" s="27"/>
      <c r="D75" s="27"/>
      <c r="E75" s="27"/>
      <c r="F75" s="27"/>
      <c r="G75" s="27"/>
      <c r="H75" s="43"/>
      <c r="I75" s="43"/>
      <c r="J75" s="27"/>
      <c r="K75" s="27"/>
      <c r="L75" s="27"/>
      <c r="M75" s="27"/>
      <c r="N75" s="27"/>
      <c r="O75" s="27"/>
      <c r="P75" s="43"/>
      <c r="Q75" s="43"/>
    </row>
    <row r="76" spans="1:17">
      <c r="A76" s="27"/>
      <c r="B76" s="27"/>
      <c r="C76" s="27"/>
      <c r="D76" s="27"/>
      <c r="E76" s="27"/>
      <c r="F76" s="27"/>
      <c r="G76" s="27"/>
      <c r="H76" s="43"/>
      <c r="I76" s="43"/>
      <c r="J76" s="27"/>
      <c r="K76" s="27"/>
      <c r="L76" s="27"/>
      <c r="M76" s="27"/>
      <c r="N76" s="27"/>
      <c r="O76" s="27"/>
      <c r="P76" s="43"/>
      <c r="Q76" s="43"/>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heetViews>
  <sheetFormatPr baseColWidth="10" defaultColWidth="8.83203125" defaultRowHeight="15"/>
  <cols>
    <col min="1" max="1" width="21.33203125" customWidth="1"/>
    <col min="2" max="5" width="15.6640625" style="5" customWidth="1"/>
    <col min="6" max="7" width="15.6640625" customWidth="1"/>
    <col min="8" max="9" width="13.1640625" style="9" customWidth="1"/>
  </cols>
  <sheetData>
    <row r="1" spans="1:9">
      <c r="B1"/>
      <c r="C1"/>
      <c r="D1"/>
      <c r="E1"/>
      <c r="H1"/>
      <c r="I1"/>
    </row>
    <row r="2" spans="1:9" ht="19.25" customHeight="1" thickBot="1">
      <c r="C2" s="61" t="s">
        <v>495</v>
      </c>
      <c r="D2" s="61"/>
      <c r="E2" s="61"/>
      <c r="F2" s="61"/>
      <c r="H2"/>
      <c r="I2"/>
    </row>
    <row r="4" spans="1:9">
      <c r="A4" s="27"/>
      <c r="B4" s="67"/>
      <c r="C4" s="67"/>
      <c r="D4" s="67"/>
      <c r="E4" s="257" t="s">
        <v>483</v>
      </c>
      <c r="F4" s="257"/>
      <c r="G4" s="257"/>
      <c r="H4" s="27"/>
    </row>
    <row r="5" spans="1:9">
      <c r="A5" s="119"/>
      <c r="B5" s="277" t="s">
        <v>571</v>
      </c>
      <c r="C5" s="278"/>
      <c r="D5" s="277" t="s">
        <v>571</v>
      </c>
      <c r="E5" s="278"/>
      <c r="F5" s="303" t="s">
        <v>572</v>
      </c>
      <c r="G5" s="304"/>
      <c r="H5" s="64"/>
    </row>
    <row r="6" spans="1:9">
      <c r="A6" s="119" t="s">
        <v>496</v>
      </c>
      <c r="B6" s="120" t="str">
        <f>Innehåll!D79</f>
        <v xml:space="preserve"> 2023-01</v>
      </c>
      <c r="C6" s="120" t="str">
        <f>Innehåll!D80</f>
        <v xml:space="preserve"> 2022-01</v>
      </c>
      <c r="D6" s="120" t="str">
        <f>Innehåll!D81</f>
        <v>YTD  2023</v>
      </c>
      <c r="E6" s="120" t="str">
        <f>Innehåll!D82</f>
        <v>YTD  2022</v>
      </c>
      <c r="F6" s="155" t="str">
        <f>D6</f>
        <v>YTD  2023</v>
      </c>
      <c r="G6" s="134" t="str">
        <f>E6</f>
        <v>YTD  2022</v>
      </c>
      <c r="H6" s="64"/>
    </row>
    <row r="7" spans="1:9" hidden="1">
      <c r="A7" s="181" t="s">
        <v>343</v>
      </c>
      <c r="B7" s="174" t="s">
        <v>322</v>
      </c>
      <c r="C7" s="174" t="s">
        <v>342</v>
      </c>
      <c r="D7" s="174" t="s">
        <v>340</v>
      </c>
      <c r="E7" s="174" t="s">
        <v>341</v>
      </c>
      <c r="F7" s="173" t="s">
        <v>412</v>
      </c>
      <c r="G7" s="173" t="s">
        <v>413</v>
      </c>
      <c r="H7" s="27"/>
      <c r="I7"/>
    </row>
    <row r="8" spans="1:9">
      <c r="A8" s="182" t="s">
        <v>611</v>
      </c>
      <c r="B8" s="174">
        <v>2356</v>
      </c>
      <c r="C8" s="174">
        <v>2074</v>
      </c>
      <c r="D8" s="174">
        <v>2356</v>
      </c>
      <c r="E8" s="174">
        <v>2074</v>
      </c>
      <c r="F8" s="183">
        <v>13.596914175506269</v>
      </c>
      <c r="G8" s="183">
        <v>13.596914175506269</v>
      </c>
      <c r="H8" s="27"/>
      <c r="I8"/>
    </row>
    <row r="9" spans="1:9">
      <c r="A9" s="184" t="s">
        <v>344</v>
      </c>
      <c r="B9" s="185">
        <v>18</v>
      </c>
      <c r="C9" s="185">
        <v>6</v>
      </c>
      <c r="D9" s="185">
        <v>18</v>
      </c>
      <c r="E9" s="185">
        <v>6</v>
      </c>
      <c r="F9" s="186">
        <v>200</v>
      </c>
      <c r="G9" s="186">
        <v>200</v>
      </c>
      <c r="H9" s="27"/>
      <c r="I9"/>
    </row>
    <row r="10" spans="1:9">
      <c r="A10" s="182" t="s">
        <v>345</v>
      </c>
      <c r="B10" s="174">
        <v>22</v>
      </c>
      <c r="C10" s="180">
        <v>16</v>
      </c>
      <c r="D10" s="180">
        <v>22</v>
      </c>
      <c r="E10" s="180">
        <v>16</v>
      </c>
      <c r="F10" s="183">
        <v>37.5</v>
      </c>
      <c r="G10" s="183">
        <v>37.5</v>
      </c>
      <c r="H10" s="27"/>
      <c r="I10"/>
    </row>
    <row r="11" spans="1:9">
      <c r="A11" s="184" t="s">
        <v>612</v>
      </c>
      <c r="B11" s="185">
        <v>455</v>
      </c>
      <c r="C11" s="185">
        <v>289</v>
      </c>
      <c r="D11" s="185">
        <v>455</v>
      </c>
      <c r="E11" s="185">
        <v>289</v>
      </c>
      <c r="F11" s="186">
        <v>57.439446366782008</v>
      </c>
      <c r="G11" s="186">
        <v>57.439446366782008</v>
      </c>
      <c r="H11" s="27"/>
      <c r="I11"/>
    </row>
    <row r="12" spans="1:9">
      <c r="A12" s="187" t="s">
        <v>485</v>
      </c>
      <c r="B12" s="188">
        <v>2851</v>
      </c>
      <c r="C12" s="189">
        <v>2385</v>
      </c>
      <c r="D12" s="189">
        <v>2851</v>
      </c>
      <c r="E12" s="189">
        <v>2385</v>
      </c>
      <c r="F12" s="190">
        <v>19.538784067085953</v>
      </c>
      <c r="G12" s="191">
        <v>19.538784067085953</v>
      </c>
      <c r="H12" s="27"/>
      <c r="I12"/>
    </row>
    <row r="13" spans="1:9">
      <c r="A13" s="27"/>
      <c r="B13" s="67"/>
      <c r="C13" s="67"/>
      <c r="D13" s="67"/>
      <c r="E13" s="67"/>
      <c r="F13" s="27"/>
      <c r="G13" s="27"/>
      <c r="H13" s="64"/>
    </row>
    <row r="14" spans="1:9">
      <c r="A14" s="27"/>
      <c r="B14" s="67"/>
      <c r="C14" s="67"/>
      <c r="D14" s="67"/>
      <c r="E14" s="67"/>
      <c r="F14" s="27"/>
      <c r="G14" s="27"/>
      <c r="H14" s="64"/>
    </row>
    <row r="15" spans="1:9">
      <c r="A15" s="27" t="s">
        <v>716</v>
      </c>
      <c r="B15" s="67"/>
      <c r="C15" s="67"/>
      <c r="D15" s="67"/>
      <c r="E15" s="67"/>
      <c r="F15" s="27"/>
      <c r="G15" s="27"/>
      <c r="H15" s="64"/>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P2" sqref="P2"/>
    </sheetView>
  </sheetViews>
  <sheetFormatPr baseColWidth="10" defaultColWidth="8.83203125" defaultRowHeight="15"/>
  <sheetData>
    <row r="2" spans="2:21" ht="18" thickBot="1">
      <c r="B2" s="3" t="s">
        <v>1</v>
      </c>
      <c r="C2" s="3"/>
      <c r="D2" s="3"/>
    </row>
    <row r="3" spans="2:21" ht="19.25" customHeight="1" thickTop="1" thickBot="1">
      <c r="P3" s="27"/>
      <c r="Q3" s="74" t="s">
        <v>15</v>
      </c>
      <c r="R3" s="74"/>
      <c r="S3" s="74"/>
      <c r="T3" s="74"/>
      <c r="U3" s="129"/>
    </row>
    <row r="4" spans="2:21">
      <c r="P4" s="27"/>
      <c r="Q4" s="27"/>
      <c r="R4" s="27"/>
      <c r="S4" s="27"/>
      <c r="T4" s="27"/>
      <c r="U4" s="27"/>
    </row>
    <row r="5" spans="2:21" ht="16" thickBot="1">
      <c r="P5" s="27"/>
      <c r="Q5" s="20" t="s">
        <v>486</v>
      </c>
      <c r="R5" s="26">
        <v>2021</v>
      </c>
      <c r="S5" s="26">
        <v>2022</v>
      </c>
      <c r="T5" s="26">
        <v>2023</v>
      </c>
      <c r="U5" s="27"/>
    </row>
    <row r="6" spans="2:21">
      <c r="P6" s="27"/>
      <c r="Q6" s="17" t="s">
        <v>2</v>
      </c>
      <c r="R6" s="27">
        <v>2149</v>
      </c>
      <c r="S6" s="27">
        <v>2074</v>
      </c>
      <c r="T6" s="27">
        <v>2356</v>
      </c>
      <c r="U6" s="27"/>
    </row>
    <row r="7" spans="2:21">
      <c r="P7" s="27"/>
      <c r="Q7" s="17" t="s">
        <v>3</v>
      </c>
      <c r="R7" s="27">
        <v>2814</v>
      </c>
      <c r="S7" s="27">
        <v>2592</v>
      </c>
      <c r="T7" s="27"/>
      <c r="U7" s="27"/>
    </row>
    <row r="8" spans="2:21">
      <c r="P8" s="27"/>
      <c r="Q8" s="17" t="s">
        <v>4</v>
      </c>
      <c r="R8" s="27">
        <v>8680</v>
      </c>
      <c r="S8" s="27">
        <v>3443</v>
      </c>
      <c r="T8" s="27"/>
      <c r="U8" s="27"/>
    </row>
    <row r="9" spans="2:21">
      <c r="P9" s="27"/>
      <c r="Q9" s="17" t="s">
        <v>5</v>
      </c>
      <c r="R9" s="27">
        <v>1906</v>
      </c>
      <c r="S9" s="27">
        <v>2954</v>
      </c>
      <c r="T9" s="27"/>
      <c r="U9" s="27"/>
    </row>
    <row r="10" spans="2:21">
      <c r="P10" s="27"/>
      <c r="Q10" s="17" t="s">
        <v>6</v>
      </c>
      <c r="R10" s="27">
        <v>2788</v>
      </c>
      <c r="S10" s="27">
        <v>2983</v>
      </c>
      <c r="T10" s="27"/>
      <c r="U10" s="27"/>
    </row>
    <row r="11" spans="2:21">
      <c r="P11" s="27"/>
      <c r="Q11" s="17" t="s">
        <v>7</v>
      </c>
      <c r="R11" s="27">
        <v>3139</v>
      </c>
      <c r="S11" s="27">
        <v>2605</v>
      </c>
      <c r="T11" s="27"/>
      <c r="U11" s="27"/>
    </row>
    <row r="12" spans="2:21">
      <c r="P12" s="27"/>
      <c r="Q12" s="17" t="s">
        <v>8</v>
      </c>
      <c r="R12" s="27">
        <v>1548</v>
      </c>
      <c r="S12" s="27">
        <v>1533</v>
      </c>
      <c r="T12" s="27"/>
      <c r="U12" s="27"/>
    </row>
    <row r="13" spans="2:21">
      <c r="P13" s="27"/>
      <c r="Q13" s="17" t="s">
        <v>9</v>
      </c>
      <c r="R13" s="27">
        <v>2631</v>
      </c>
      <c r="S13" s="27">
        <v>3065</v>
      </c>
      <c r="T13" s="27"/>
      <c r="U13" s="27"/>
    </row>
    <row r="14" spans="2:21">
      <c r="P14" s="27"/>
      <c r="Q14" s="17" t="s">
        <v>10</v>
      </c>
      <c r="R14" s="27">
        <v>2973</v>
      </c>
      <c r="S14" s="27">
        <v>3276</v>
      </c>
      <c r="T14" s="27"/>
      <c r="U14" s="27"/>
    </row>
    <row r="15" spans="2:21">
      <c r="P15" s="27"/>
      <c r="Q15" s="17" t="s">
        <v>11</v>
      </c>
      <c r="R15" s="27">
        <v>2401</v>
      </c>
      <c r="S15" s="27">
        <v>2572</v>
      </c>
      <c r="T15" s="27"/>
      <c r="U15" s="27"/>
    </row>
    <row r="16" spans="2:21">
      <c r="P16" s="27"/>
      <c r="Q16" s="17" t="s">
        <v>12</v>
      </c>
      <c r="R16" s="27">
        <v>2420</v>
      </c>
      <c r="S16" s="27">
        <v>3367</v>
      </c>
      <c r="T16" s="27"/>
      <c r="U16" s="27"/>
    </row>
    <row r="17" spans="16:21">
      <c r="P17" s="27"/>
      <c r="Q17" s="28" t="s">
        <v>13</v>
      </c>
      <c r="R17" s="29">
        <v>2787</v>
      </c>
      <c r="S17" s="29">
        <v>4052</v>
      </c>
      <c r="T17" s="29"/>
      <c r="U17" s="27"/>
    </row>
    <row r="18" spans="16:21">
      <c r="P18" s="27"/>
      <c r="Q18" s="43" t="s">
        <v>570</v>
      </c>
      <c r="R18" s="27">
        <f>SUMIF(T6:T17,"&gt;0",R6:R17)</f>
        <v>2149</v>
      </c>
      <c r="S18" s="27">
        <f>SUMIF(T6:T17,"&gt;0",S6:S17)</f>
        <v>2074</v>
      </c>
      <c r="T18" s="67">
        <f>SUM(T6:T17)</f>
        <v>2356</v>
      </c>
      <c r="U18" s="27"/>
    </row>
    <row r="19" spans="16:21">
      <c r="P19" s="27"/>
      <c r="Q19" s="103" t="s">
        <v>569</v>
      </c>
      <c r="R19" s="67">
        <f>SUM(R6:R17)</f>
        <v>36236</v>
      </c>
      <c r="S19" s="67">
        <f>SUM(S6:S17)</f>
        <v>34516</v>
      </c>
      <c r="T19" s="67"/>
      <c r="U19" s="27"/>
    </row>
    <row r="20" spans="16:21">
      <c r="P20" s="45"/>
      <c r="Q20" s="27"/>
      <c r="R20" s="27"/>
      <c r="S20" s="27"/>
      <c r="T20" s="27"/>
      <c r="U20" s="27"/>
    </row>
    <row r="21" spans="16:21">
      <c r="P21" s="27"/>
      <c r="Q21" s="27"/>
      <c r="R21" s="27"/>
      <c r="S21" s="27"/>
      <c r="T21" s="27"/>
      <c r="U21" s="27"/>
    </row>
    <row r="22" spans="16:21">
      <c r="P22" s="27"/>
      <c r="Q22" s="27"/>
      <c r="R22" s="27"/>
      <c r="S22" s="27"/>
      <c r="T22" s="27"/>
      <c r="U22" s="27"/>
    </row>
    <row r="23" spans="16:21">
      <c r="P23" s="27"/>
      <c r="Q23" s="69" t="s">
        <v>483</v>
      </c>
      <c r="R23" s="27"/>
      <c r="S23" s="27"/>
      <c r="T23" s="27"/>
      <c r="U23" s="27"/>
    </row>
    <row r="24" spans="16:21">
      <c r="P24" s="27"/>
      <c r="Q24" s="27"/>
      <c r="R24" s="27"/>
      <c r="S24" s="27"/>
      <c r="T24" s="27"/>
      <c r="U24" s="27"/>
    </row>
    <row r="34" spans="17:23">
      <c r="Q34" s="27"/>
      <c r="R34" s="27"/>
      <c r="S34" s="27"/>
      <c r="T34" s="27"/>
      <c r="U34" s="27"/>
      <c r="V34" s="27"/>
      <c r="W34" s="27"/>
    </row>
    <row r="35" spans="17:23" ht="19.25" customHeight="1" thickBot="1">
      <c r="Q35" s="74" t="s">
        <v>311</v>
      </c>
      <c r="R35" s="74"/>
      <c r="S35" s="74"/>
      <c r="T35" s="74"/>
      <c r="U35" s="74"/>
      <c r="V35" s="74"/>
      <c r="W35" s="129"/>
    </row>
    <row r="36" spans="17:23">
      <c r="Q36" s="27"/>
      <c r="R36" s="27"/>
      <c r="S36" s="27"/>
      <c r="T36" s="27"/>
      <c r="U36" s="27"/>
      <c r="V36" s="27"/>
      <c r="W36" s="27"/>
    </row>
    <row r="37" spans="17:23">
      <c r="Q37" s="104" t="s">
        <v>469</v>
      </c>
      <c r="R37" s="64">
        <v>-3.4899953466728708</v>
      </c>
      <c r="S37" s="27"/>
      <c r="T37" s="27"/>
      <c r="U37" s="27"/>
      <c r="V37" s="27"/>
      <c r="W37" s="27"/>
    </row>
    <row r="38" spans="17:23">
      <c r="Q38" s="104" t="s">
        <v>537</v>
      </c>
      <c r="R38" s="64">
        <v>46.333853354134163</v>
      </c>
      <c r="S38" s="27"/>
      <c r="T38" s="27"/>
      <c r="U38" s="27"/>
      <c r="V38" s="27"/>
      <c r="W38" s="27"/>
    </row>
    <row r="39" spans="17:23">
      <c r="Q39" s="104" t="s">
        <v>597</v>
      </c>
      <c r="R39" s="64">
        <v>239.72602739726025</v>
      </c>
      <c r="S39" s="27"/>
      <c r="T39" s="27"/>
      <c r="U39" s="27"/>
      <c r="V39" s="27"/>
      <c r="W39" s="27"/>
    </row>
    <row r="40" spans="17:23">
      <c r="Q40" s="104" t="s">
        <v>614</v>
      </c>
      <c r="R40" s="64">
        <v>-23.29979879275654</v>
      </c>
      <c r="S40" s="27"/>
      <c r="T40" s="27"/>
      <c r="U40" s="27"/>
      <c r="V40" s="27"/>
      <c r="W40" s="27"/>
    </row>
    <row r="41" spans="17:23">
      <c r="Q41" s="104" t="s">
        <v>628</v>
      </c>
      <c r="R41" s="64">
        <v>32.572515454113173</v>
      </c>
      <c r="S41" s="27"/>
      <c r="T41" s="27"/>
      <c r="U41" s="27"/>
      <c r="V41" s="27"/>
      <c r="W41" s="27"/>
    </row>
    <row r="42" spans="17:23">
      <c r="Q42" s="104" t="s">
        <v>635</v>
      </c>
      <c r="R42" s="64">
        <v>40.133928571428577</v>
      </c>
      <c r="S42" s="27"/>
      <c r="T42" s="27"/>
      <c r="U42" s="27"/>
      <c r="V42" s="27"/>
      <c r="W42" s="27"/>
    </row>
    <row r="43" spans="17:23">
      <c r="Q43" s="104" t="s">
        <v>640</v>
      </c>
      <c r="R43" s="64">
        <v>-5.3789731051344738</v>
      </c>
      <c r="S43" s="27"/>
      <c r="T43" s="27"/>
      <c r="U43" s="27"/>
      <c r="V43" s="27"/>
      <c r="W43" s="27"/>
    </row>
    <row r="44" spans="17:23">
      <c r="Q44" s="104" t="s">
        <v>642</v>
      </c>
      <c r="R44" s="64">
        <v>-8.6775425199583474</v>
      </c>
      <c r="S44" s="27"/>
      <c r="T44" s="27"/>
      <c r="U44" s="27"/>
      <c r="V44" s="27"/>
      <c r="W44" s="27"/>
    </row>
    <row r="45" spans="17:23">
      <c r="Q45" s="104" t="s">
        <v>650</v>
      </c>
      <c r="R45" s="64">
        <v>-17.324805339265851</v>
      </c>
      <c r="S45" s="27"/>
      <c r="T45" s="27"/>
      <c r="U45" s="27"/>
      <c r="V45" s="27"/>
      <c r="W45" s="27"/>
    </row>
    <row r="46" spans="17:23">
      <c r="Q46" s="104" t="s">
        <v>669</v>
      </c>
      <c r="R46" s="64">
        <v>-27.242424242424239</v>
      </c>
      <c r="S46" s="27"/>
      <c r="T46" s="27"/>
      <c r="U46" s="27"/>
      <c r="V46" s="27"/>
      <c r="W46" s="27"/>
    </row>
    <row r="47" spans="17:23">
      <c r="Q47" s="104" t="s">
        <v>678</v>
      </c>
      <c r="R47" s="64">
        <v>-22.708399872245288</v>
      </c>
      <c r="S47" s="27"/>
      <c r="T47" s="27"/>
      <c r="U47" s="27"/>
      <c r="V47" s="27"/>
      <c r="W47" s="27"/>
    </row>
    <row r="48" spans="17:23">
      <c r="Q48" s="104" t="s">
        <v>687</v>
      </c>
      <c r="R48" s="64">
        <v>-30.185370741482963</v>
      </c>
      <c r="S48" s="27"/>
      <c r="T48" s="27"/>
      <c r="U48" s="27"/>
      <c r="V48" s="27"/>
      <c r="W48" s="27"/>
    </row>
    <row r="49" spans="17:23">
      <c r="Q49" s="104" t="s">
        <v>696</v>
      </c>
      <c r="R49" s="64">
        <f>((S6-R6)/R6)*100</f>
        <v>-3.4899953466728708</v>
      </c>
      <c r="S49" s="27"/>
      <c r="T49" s="27"/>
      <c r="U49" s="27"/>
      <c r="V49" s="27"/>
      <c r="W49" s="27"/>
    </row>
    <row r="50" spans="17:23">
      <c r="Q50" s="104" t="s">
        <v>711</v>
      </c>
      <c r="R50" s="64">
        <f t="shared" ref="R50:R60" si="0">((S7-R7)/R7)*100</f>
        <v>-7.8891257995735611</v>
      </c>
      <c r="S50" s="27"/>
      <c r="T50" s="27"/>
      <c r="U50" s="27"/>
      <c r="V50" s="27"/>
      <c r="W50" s="27"/>
    </row>
    <row r="51" spans="17:23">
      <c r="Q51" s="104" t="s">
        <v>730</v>
      </c>
      <c r="R51" s="64">
        <f t="shared" si="0"/>
        <v>-60.334101382488484</v>
      </c>
      <c r="S51" s="27"/>
      <c r="T51" s="27"/>
      <c r="U51" s="27"/>
      <c r="V51" s="27"/>
      <c r="W51" s="27"/>
    </row>
    <row r="52" spans="17:23">
      <c r="Q52" s="104" t="s">
        <v>739</v>
      </c>
      <c r="R52" s="64">
        <f t="shared" si="0"/>
        <v>54.984260230849948</v>
      </c>
      <c r="S52" s="27"/>
      <c r="T52" s="27"/>
      <c r="U52" s="27"/>
      <c r="V52" s="27"/>
      <c r="W52" s="27"/>
    </row>
    <row r="53" spans="17:23">
      <c r="Q53" s="104" t="s">
        <v>745</v>
      </c>
      <c r="R53" s="64">
        <f t="shared" si="0"/>
        <v>6.9942611190817789</v>
      </c>
      <c r="S53" s="27"/>
      <c r="T53" s="27"/>
      <c r="U53" s="27"/>
      <c r="V53" s="27"/>
      <c r="W53" s="27"/>
    </row>
    <row r="54" spans="17:23">
      <c r="Q54" s="104" t="s">
        <v>748</v>
      </c>
      <c r="R54" s="64">
        <f t="shared" si="0"/>
        <v>-17.011787193373689</v>
      </c>
      <c r="S54" s="27"/>
      <c r="T54" s="27"/>
      <c r="U54" s="27"/>
      <c r="V54" s="27"/>
      <c r="W54" s="27"/>
    </row>
    <row r="55" spans="17:23">
      <c r="Q55" s="104" t="s">
        <v>1027</v>
      </c>
      <c r="R55" s="64">
        <f t="shared" si="0"/>
        <v>-0.96899224806201545</v>
      </c>
      <c r="S55" s="27"/>
      <c r="T55" s="27"/>
      <c r="U55" s="27"/>
      <c r="V55" s="27"/>
      <c r="W55" s="27"/>
    </row>
    <row r="56" spans="17:23">
      <c r="Q56" s="104" t="s">
        <v>1035</v>
      </c>
      <c r="R56" s="64">
        <f t="shared" si="0"/>
        <v>16.495629038388447</v>
      </c>
      <c r="S56" s="27"/>
      <c r="T56" s="27"/>
      <c r="U56" s="27"/>
      <c r="V56" s="27"/>
      <c r="W56" s="27"/>
    </row>
    <row r="57" spans="17:23">
      <c r="Q57" s="104" t="s">
        <v>1053</v>
      </c>
      <c r="R57" s="64">
        <f t="shared" si="0"/>
        <v>10.191725529767911</v>
      </c>
      <c r="S57" s="27"/>
      <c r="T57" s="27"/>
      <c r="U57" s="27"/>
      <c r="V57" s="27"/>
      <c r="W57" s="27"/>
    </row>
    <row r="58" spans="17:23">
      <c r="Q58" s="104" t="s">
        <v>1064</v>
      </c>
      <c r="R58" s="64">
        <f t="shared" si="0"/>
        <v>7.1220324864639739</v>
      </c>
      <c r="S58" s="27"/>
      <c r="T58" s="27"/>
      <c r="U58" s="27"/>
      <c r="V58" s="27"/>
      <c r="W58" s="27"/>
    </row>
    <row r="59" spans="17:23">
      <c r="Q59" s="104" t="s">
        <v>1076</v>
      </c>
      <c r="R59" s="64">
        <f t="shared" si="0"/>
        <v>39.132231404958681</v>
      </c>
      <c r="S59" s="27"/>
      <c r="T59" s="27"/>
      <c r="U59" s="27"/>
      <c r="V59" s="27"/>
      <c r="W59" s="27"/>
    </row>
    <row r="60" spans="17:23">
      <c r="Q60" s="104" t="s">
        <v>1093</v>
      </c>
      <c r="R60" s="64">
        <f t="shared" si="0"/>
        <v>45.389307499102976</v>
      </c>
      <c r="S60" s="27"/>
      <c r="T60" s="27"/>
      <c r="U60" s="27"/>
      <c r="V60" s="27"/>
      <c r="W60" s="27"/>
    </row>
    <row r="61" spans="17:23">
      <c r="Q61" s="104" t="s">
        <v>1131</v>
      </c>
      <c r="R61" s="64">
        <f>((T6-S6)/S6)*100</f>
        <v>13.596914175506269</v>
      </c>
      <c r="S61" s="27"/>
      <c r="T61" s="27"/>
      <c r="U61" s="27"/>
      <c r="V61" s="27"/>
      <c r="W61" s="27"/>
    </row>
    <row r="62" spans="17:23">
      <c r="S62" s="27"/>
      <c r="T62" s="27"/>
      <c r="U62" s="27"/>
      <c r="V62" s="27"/>
      <c r="W62" s="27"/>
    </row>
    <row r="63" spans="17:23">
      <c r="S63" s="27"/>
      <c r="T63" s="27"/>
      <c r="U63" s="27"/>
      <c r="V63" s="27"/>
      <c r="W63" s="27"/>
    </row>
    <row r="64" spans="17:23">
      <c r="S64" s="27"/>
      <c r="T64" s="27"/>
      <c r="U64" s="27"/>
      <c r="V64" s="27"/>
      <c r="W64" s="27"/>
    </row>
    <row r="65" spans="1:23">
      <c r="S65" s="27"/>
      <c r="T65" s="27"/>
      <c r="U65" s="27"/>
      <c r="V65" s="27"/>
      <c r="W65" s="27"/>
    </row>
    <row r="66" spans="1:23">
      <c r="S66" s="27"/>
      <c r="T66" s="27"/>
      <c r="U66" s="27"/>
      <c r="V66" s="27"/>
      <c r="W66" s="27"/>
    </row>
    <row r="67" spans="1:23">
      <c r="A67" s="27" t="s">
        <v>716</v>
      </c>
      <c r="S67" s="27"/>
      <c r="T67" s="27"/>
      <c r="U67" s="27"/>
      <c r="V67" s="27"/>
      <c r="W67" s="27"/>
    </row>
    <row r="68" spans="1:23">
      <c r="S68" s="27"/>
      <c r="T68" s="27"/>
      <c r="U68" s="27"/>
      <c r="V68" s="27"/>
      <c r="W68" s="27"/>
    </row>
    <row r="69" spans="1:23">
      <c r="S69" s="27"/>
      <c r="T69" s="27"/>
      <c r="U69" s="27"/>
      <c r="V69" s="27"/>
      <c r="W69" s="27"/>
    </row>
    <row r="70" spans="1:23">
      <c r="S70" s="27"/>
      <c r="T70" s="27"/>
      <c r="U70" s="27"/>
      <c r="V70" s="27"/>
      <c r="W70" s="27"/>
    </row>
    <row r="71" spans="1:23">
      <c r="S71" s="27"/>
      <c r="T71" s="27"/>
      <c r="U71" s="27"/>
      <c r="V71" s="27"/>
      <c r="W71" s="27"/>
    </row>
    <row r="72" spans="1:23">
      <c r="S72" s="27"/>
      <c r="T72" s="27"/>
      <c r="U72" s="27"/>
      <c r="V72" s="27"/>
      <c r="W72" s="27"/>
    </row>
    <row r="73" spans="1:23">
      <c r="Q73" s="27"/>
      <c r="R73" s="64"/>
      <c r="S73" s="27"/>
      <c r="T73" s="27"/>
      <c r="U73" s="27"/>
      <c r="V73" s="27"/>
      <c r="W73" s="27"/>
    </row>
    <row r="74" spans="1:23">
      <c r="Q74" s="104"/>
      <c r="R74" s="64"/>
      <c r="S74" s="27"/>
      <c r="T74" s="27"/>
      <c r="U74" s="27"/>
      <c r="V74" s="27"/>
      <c r="W74" s="27"/>
    </row>
    <row r="75" spans="1:23">
      <c r="Q75" s="104"/>
      <c r="R75" s="64"/>
      <c r="S75" s="27"/>
      <c r="T75" s="27"/>
      <c r="U75" s="27"/>
      <c r="V75" s="27"/>
      <c r="W75" s="27"/>
    </row>
    <row r="76" spans="1:23">
      <c r="Q76" s="104"/>
      <c r="R76" s="64"/>
      <c r="S76" s="27"/>
      <c r="T76" s="27"/>
      <c r="U76" s="27"/>
      <c r="V76" s="27"/>
      <c r="W76" s="27"/>
    </row>
    <row r="77" spans="1:23">
      <c r="Q77" s="104"/>
      <c r="R77" s="64"/>
      <c r="S77" s="27"/>
      <c r="T77" s="27"/>
      <c r="U77" s="27"/>
      <c r="V77" s="27"/>
      <c r="W77" s="27"/>
    </row>
    <row r="78" spans="1:23">
      <c r="Q78" s="104"/>
      <c r="R78" s="64"/>
      <c r="S78" s="27"/>
      <c r="T78" s="27"/>
      <c r="U78" s="27"/>
      <c r="V78" s="27"/>
      <c r="W78" s="27"/>
    </row>
    <row r="79" spans="1:23">
      <c r="Q79" s="104"/>
      <c r="R79" s="64"/>
      <c r="S79" s="27"/>
      <c r="T79" s="27"/>
      <c r="U79" s="27"/>
      <c r="V79" s="27"/>
      <c r="W79" s="27"/>
    </row>
    <row r="80" spans="1:23">
      <c r="Q80" s="16"/>
      <c r="R80" s="9"/>
    </row>
    <row r="81" spans="17:18">
      <c r="Q81" s="16"/>
      <c r="R81" s="9"/>
    </row>
    <row r="82" spans="17:18">
      <c r="Q82" s="16"/>
      <c r="R82" s="9"/>
    </row>
    <row r="83" spans="17:18">
      <c r="Q83" s="16"/>
      <c r="R83" s="9"/>
    </row>
    <row r="84" spans="17:18">
      <c r="Q84" s="16"/>
      <c r="R84"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A28" sqref="A28"/>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61" t="s">
        <v>497</v>
      </c>
      <c r="D2" s="61"/>
      <c r="E2" s="61"/>
      <c r="F2" s="61"/>
      <c r="G2" s="61"/>
      <c r="H2" s="61"/>
    </row>
    <row r="4" spans="1:10" ht="15" customHeight="1">
      <c r="A4" s="105" t="s">
        <v>488</v>
      </c>
      <c r="B4" s="27"/>
      <c r="C4" s="27"/>
      <c r="D4" s="27"/>
      <c r="E4" s="286" t="s">
        <v>483</v>
      </c>
      <c r="F4" s="286"/>
      <c r="G4" s="286"/>
      <c r="H4" s="286"/>
      <c r="I4" s="286"/>
      <c r="J4" s="27"/>
    </row>
    <row r="5" spans="1:10">
      <c r="A5" s="119"/>
      <c r="B5" s="288" t="s">
        <v>571</v>
      </c>
      <c r="C5" s="289"/>
      <c r="D5" s="288" t="s">
        <v>571</v>
      </c>
      <c r="E5" s="289"/>
      <c r="F5" s="303" t="s">
        <v>572</v>
      </c>
      <c r="G5" s="304"/>
      <c r="H5" s="288" t="s">
        <v>573</v>
      </c>
      <c r="I5" s="289"/>
      <c r="J5" s="27"/>
    </row>
    <row r="6" spans="1:10">
      <c r="A6" s="119" t="s">
        <v>494</v>
      </c>
      <c r="B6" s="133" t="str">
        <f>Innehåll!D79</f>
        <v xml:space="preserve"> 2023-01</v>
      </c>
      <c r="C6" s="133" t="str">
        <f>Innehåll!D80</f>
        <v xml:space="preserve"> 2022-01</v>
      </c>
      <c r="D6" s="133" t="str">
        <f>Innehåll!D81</f>
        <v>YTD  2023</v>
      </c>
      <c r="E6" s="133" t="str">
        <f>Innehåll!D82</f>
        <v>YTD  2022</v>
      </c>
      <c r="F6" s="156" t="str">
        <f>B6</f>
        <v xml:space="preserve"> 2023-01</v>
      </c>
      <c r="G6" s="134" t="str">
        <f>D6</f>
        <v>YTD  2023</v>
      </c>
      <c r="H6" s="133" t="str">
        <f>D6</f>
        <v>YTD  2023</v>
      </c>
      <c r="I6" s="157"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276</v>
      </c>
      <c r="B8" s="27">
        <v>3</v>
      </c>
      <c r="C8" s="27">
        <v>1</v>
      </c>
      <c r="D8" s="27">
        <v>3</v>
      </c>
      <c r="E8" s="27">
        <v>1</v>
      </c>
      <c r="F8" s="27">
        <v>200</v>
      </c>
      <c r="G8" s="27">
        <v>200</v>
      </c>
      <c r="H8" s="27">
        <v>0.1</v>
      </c>
      <c r="I8" s="27">
        <v>0</v>
      </c>
      <c r="J8" s="27"/>
    </row>
    <row r="9" spans="1:10">
      <c r="A9" s="27" t="s">
        <v>277</v>
      </c>
      <c r="B9" s="27">
        <v>68</v>
      </c>
      <c r="C9" s="27">
        <v>85</v>
      </c>
      <c r="D9" s="27">
        <v>68</v>
      </c>
      <c r="E9" s="27">
        <v>85</v>
      </c>
      <c r="F9" s="27">
        <v>-20</v>
      </c>
      <c r="G9" s="27">
        <v>-20</v>
      </c>
      <c r="H9" s="27">
        <v>2.9</v>
      </c>
      <c r="I9" s="27">
        <v>4.0999999999999996</v>
      </c>
      <c r="J9" s="27"/>
    </row>
    <row r="10" spans="1:10">
      <c r="A10" s="27" t="s">
        <v>279</v>
      </c>
      <c r="B10" s="27">
        <v>28</v>
      </c>
      <c r="C10" s="27">
        <v>15</v>
      </c>
      <c r="D10" s="27">
        <v>28</v>
      </c>
      <c r="E10" s="27">
        <v>15</v>
      </c>
      <c r="F10" s="27">
        <v>86.7</v>
      </c>
      <c r="G10" s="27">
        <v>86.7</v>
      </c>
      <c r="H10" s="27">
        <v>1.2</v>
      </c>
      <c r="I10" s="27">
        <v>0.7</v>
      </c>
      <c r="J10" s="27"/>
    </row>
    <row r="11" spans="1:10">
      <c r="A11" s="27" t="s">
        <v>280</v>
      </c>
      <c r="B11" s="27">
        <v>318</v>
      </c>
      <c r="C11" s="27">
        <v>285</v>
      </c>
      <c r="D11" s="27">
        <v>318</v>
      </c>
      <c r="E11" s="27">
        <v>285</v>
      </c>
      <c r="F11" s="27">
        <v>11.6</v>
      </c>
      <c r="G11" s="27">
        <v>11.6</v>
      </c>
      <c r="H11" s="27">
        <v>13.5</v>
      </c>
      <c r="I11" s="27">
        <v>13.7</v>
      </c>
      <c r="J11" s="27"/>
    </row>
    <row r="12" spans="1:10">
      <c r="A12" s="27" t="s">
        <v>385</v>
      </c>
      <c r="B12" s="27">
        <v>57</v>
      </c>
      <c r="C12" s="27">
        <v>28</v>
      </c>
      <c r="D12" s="27">
        <v>57</v>
      </c>
      <c r="E12" s="27">
        <v>28</v>
      </c>
      <c r="F12" s="27">
        <v>103.6</v>
      </c>
      <c r="G12" s="27">
        <v>103.6</v>
      </c>
      <c r="H12" s="27">
        <v>2.4</v>
      </c>
      <c r="I12" s="27">
        <v>1.4</v>
      </c>
      <c r="J12" s="27"/>
    </row>
    <row r="13" spans="1:10">
      <c r="A13" s="27" t="s">
        <v>283</v>
      </c>
      <c r="B13" s="27">
        <v>71</v>
      </c>
      <c r="C13" s="27">
        <v>17</v>
      </c>
      <c r="D13" s="27">
        <v>71</v>
      </c>
      <c r="E13" s="27">
        <v>17</v>
      </c>
      <c r="F13" s="27">
        <v>317.60000000000002</v>
      </c>
      <c r="G13" s="27">
        <v>317.60000000000002</v>
      </c>
      <c r="H13" s="27">
        <v>3</v>
      </c>
      <c r="I13" s="27">
        <v>0.8</v>
      </c>
      <c r="J13" s="27"/>
    </row>
    <row r="14" spans="1:10">
      <c r="A14" s="27" t="s">
        <v>290</v>
      </c>
      <c r="B14" s="67">
        <v>6</v>
      </c>
      <c r="C14" s="67">
        <v>2</v>
      </c>
      <c r="D14" s="67">
        <v>6</v>
      </c>
      <c r="E14" s="67">
        <v>2</v>
      </c>
      <c r="F14" s="27">
        <v>200</v>
      </c>
      <c r="G14" s="27">
        <v>200</v>
      </c>
      <c r="H14" s="27">
        <v>0.3</v>
      </c>
      <c r="I14" s="27">
        <v>0.1</v>
      </c>
      <c r="J14" s="27"/>
    </row>
    <row r="15" spans="1:10">
      <c r="A15" s="27" t="s">
        <v>444</v>
      </c>
      <c r="B15" s="67">
        <v>10</v>
      </c>
      <c r="C15" s="67">
        <v>23</v>
      </c>
      <c r="D15" s="67">
        <v>10</v>
      </c>
      <c r="E15" s="67">
        <v>23</v>
      </c>
      <c r="F15" s="27">
        <v>-56.5</v>
      </c>
      <c r="G15" s="27">
        <v>-56.5</v>
      </c>
      <c r="H15" s="27">
        <v>0.4</v>
      </c>
      <c r="I15" s="27">
        <v>1.1000000000000001</v>
      </c>
      <c r="J15" s="27"/>
    </row>
    <row r="16" spans="1:10">
      <c r="A16" s="27" t="s">
        <v>404</v>
      </c>
      <c r="B16" s="67">
        <v>232</v>
      </c>
      <c r="C16" s="67">
        <v>358</v>
      </c>
      <c r="D16" s="67">
        <v>232</v>
      </c>
      <c r="E16" s="67">
        <v>358</v>
      </c>
      <c r="F16" s="27">
        <v>-35.200000000000003</v>
      </c>
      <c r="G16" s="27">
        <v>-35.200000000000003</v>
      </c>
      <c r="H16" s="27">
        <v>9.8000000000000007</v>
      </c>
      <c r="I16" s="27">
        <v>17.3</v>
      </c>
      <c r="J16" s="27"/>
    </row>
    <row r="17" spans="1:10">
      <c r="A17" s="27" t="s">
        <v>296</v>
      </c>
      <c r="B17" s="67">
        <v>58</v>
      </c>
      <c r="C17" s="67">
        <v>67</v>
      </c>
      <c r="D17" s="67">
        <v>58</v>
      </c>
      <c r="E17" s="67">
        <v>67</v>
      </c>
      <c r="F17" s="27">
        <v>-13.4</v>
      </c>
      <c r="G17" s="27">
        <v>-13.4</v>
      </c>
      <c r="H17" s="27">
        <v>2.5</v>
      </c>
      <c r="I17" s="27">
        <v>3.2</v>
      </c>
      <c r="J17" s="27"/>
    </row>
    <row r="18" spans="1:10">
      <c r="A18" s="27" t="s">
        <v>297</v>
      </c>
      <c r="B18" s="67">
        <v>30</v>
      </c>
      <c r="C18" s="67">
        <v>66</v>
      </c>
      <c r="D18" s="67">
        <v>30</v>
      </c>
      <c r="E18" s="67">
        <v>66</v>
      </c>
      <c r="F18" s="27">
        <v>-54.5</v>
      </c>
      <c r="G18" s="27">
        <v>-54.5</v>
      </c>
      <c r="H18" s="27">
        <v>1.3</v>
      </c>
      <c r="I18" s="27">
        <v>3.2</v>
      </c>
      <c r="J18" s="27"/>
    </row>
    <row r="19" spans="1:10">
      <c r="A19" s="27" t="s">
        <v>298</v>
      </c>
      <c r="B19" s="67">
        <v>278</v>
      </c>
      <c r="C19" s="67">
        <v>211</v>
      </c>
      <c r="D19" s="67">
        <v>278</v>
      </c>
      <c r="E19" s="67">
        <v>211</v>
      </c>
      <c r="F19" s="27">
        <v>31.8</v>
      </c>
      <c r="G19" s="27">
        <v>31.8</v>
      </c>
      <c r="H19" s="27">
        <v>11.8</v>
      </c>
      <c r="I19" s="27">
        <v>10.199999999999999</v>
      </c>
      <c r="J19" s="27"/>
    </row>
    <row r="20" spans="1:10">
      <c r="A20" s="27" t="s">
        <v>300</v>
      </c>
      <c r="B20" s="67">
        <v>334</v>
      </c>
      <c r="C20" s="67">
        <v>136</v>
      </c>
      <c r="D20" s="67">
        <v>334</v>
      </c>
      <c r="E20" s="67">
        <v>136</v>
      </c>
      <c r="F20" s="27">
        <v>145.6</v>
      </c>
      <c r="G20" s="27">
        <v>145.6</v>
      </c>
      <c r="H20" s="27">
        <v>14.2</v>
      </c>
      <c r="I20" s="27">
        <v>6.6</v>
      </c>
      <c r="J20" s="27"/>
    </row>
    <row r="21" spans="1:10">
      <c r="A21" s="27" t="s">
        <v>304</v>
      </c>
      <c r="B21" s="67">
        <v>20</v>
      </c>
      <c r="C21" s="67">
        <v>29</v>
      </c>
      <c r="D21" s="67">
        <v>20</v>
      </c>
      <c r="E21" s="67">
        <v>29</v>
      </c>
      <c r="F21" s="27">
        <v>-31</v>
      </c>
      <c r="G21" s="27">
        <v>-31</v>
      </c>
      <c r="H21" s="27">
        <v>0.8</v>
      </c>
      <c r="I21" s="27">
        <v>1.4</v>
      </c>
      <c r="J21" s="27"/>
    </row>
    <row r="22" spans="1:10">
      <c r="A22" s="27" t="s">
        <v>306</v>
      </c>
      <c r="B22" s="67">
        <v>164</v>
      </c>
      <c r="C22" s="67">
        <v>253</v>
      </c>
      <c r="D22" s="67">
        <v>164</v>
      </c>
      <c r="E22" s="67">
        <v>253</v>
      </c>
      <c r="F22" s="27">
        <v>-35.200000000000003</v>
      </c>
      <c r="G22" s="27">
        <v>-35.200000000000003</v>
      </c>
      <c r="H22" s="27">
        <v>7</v>
      </c>
      <c r="I22" s="27">
        <v>12.2</v>
      </c>
      <c r="J22" s="27"/>
    </row>
    <row r="23" spans="1:10">
      <c r="A23" s="27" t="s">
        <v>307</v>
      </c>
      <c r="B23" s="67">
        <v>662</v>
      </c>
      <c r="C23" s="67">
        <v>486</v>
      </c>
      <c r="D23" s="67">
        <v>662</v>
      </c>
      <c r="E23" s="67">
        <v>486</v>
      </c>
      <c r="F23" s="27">
        <v>36.200000000000003</v>
      </c>
      <c r="G23" s="27">
        <v>36.200000000000003</v>
      </c>
      <c r="H23" s="27">
        <v>28.1</v>
      </c>
      <c r="I23" s="27">
        <v>23.4</v>
      </c>
      <c r="J23" s="27"/>
    </row>
    <row r="24" spans="1:10">
      <c r="A24" s="27" t="s">
        <v>309</v>
      </c>
      <c r="B24" s="67">
        <v>17</v>
      </c>
      <c r="C24" s="67">
        <v>12</v>
      </c>
      <c r="D24" s="67">
        <v>17</v>
      </c>
      <c r="E24" s="67">
        <v>12</v>
      </c>
      <c r="F24" s="27">
        <v>41.7</v>
      </c>
      <c r="G24" s="27">
        <v>41.7</v>
      </c>
      <c r="H24" s="27">
        <v>0.7</v>
      </c>
      <c r="I24" s="27">
        <v>0.6</v>
      </c>
      <c r="J24" s="27"/>
    </row>
    <row r="25" spans="1:10">
      <c r="A25" s="173" t="s">
        <v>485</v>
      </c>
      <c r="B25" s="174">
        <f>SUBTOTAL(109,Table_bdsql12_BDnewRegistrations_getAggMakes[antalPerioden])</f>
        <v>2356</v>
      </c>
      <c r="C25" s="174">
        <f>SUBTOTAL(109,Table_bdsql12_BDnewRegistrations_getAggMakes[antalPeriodenFG])</f>
        <v>2074</v>
      </c>
      <c r="D25" s="174">
        <f>SUBTOTAL(109,Table_bdsql12_BDnewRegistrations_getAggMakes[antalAret])</f>
        <v>2356</v>
      </c>
      <c r="E25" s="174">
        <f>SUBTOTAL(109,Table_bdsql12_BDnewRegistrations_getAggMakes[antalAretFG])</f>
        <v>2074</v>
      </c>
      <c r="F25" s="175">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13.596914175506269</v>
      </c>
      <c r="G25" s="175">
        <f>IF(Table_bdsql12_BDnewRegistrations_getAggMakes[[#Totals],[antalAretFG]] &gt; 0,( Table_bdsql12_BDnewRegistrations_getAggMakes[[#Totals],[antalAret]] - Table_bdsql12_BDnewRegistrations_getAggMakes[[#Totals],[antalAretFG]] ) / Table_bdsql12_BDnewRegistrations_getAggMakes[[#Totals],[antalAretFG]] * 100,0)</f>
        <v>13.596914175506269</v>
      </c>
      <c r="H25" s="177" t="str">
        <f>TEXT(100,"0,0")</f>
        <v>100,0</v>
      </c>
      <c r="I25" s="177" t="str">
        <f>TEXT(100,"0,0")</f>
        <v>100,0</v>
      </c>
      <c r="J25" s="27"/>
    </row>
    <row r="26" spans="1:10">
      <c r="A26" s="173"/>
      <c r="B26" s="174"/>
      <c r="C26" s="174"/>
      <c r="D26" s="174"/>
      <c r="E26" s="174"/>
      <c r="F26" s="175"/>
      <c r="G26" s="175"/>
      <c r="H26" s="177"/>
      <c r="I26" s="177"/>
      <c r="J26" s="27"/>
    </row>
    <row r="27" spans="1:10">
      <c r="A27" s="27"/>
      <c r="B27" s="67"/>
      <c r="C27" s="67"/>
      <c r="D27" s="67"/>
      <c r="E27" s="67"/>
      <c r="F27" s="27"/>
      <c r="G27" s="27"/>
      <c r="H27" s="27"/>
      <c r="I27" s="27"/>
      <c r="J27" s="27"/>
    </row>
    <row r="28" spans="1:10">
      <c r="A28" s="27" t="s">
        <v>716</v>
      </c>
      <c r="B28" s="67"/>
      <c r="C28" s="67"/>
      <c r="D28" s="67"/>
      <c r="E28" s="67"/>
      <c r="F28" s="27"/>
      <c r="G28" s="27"/>
      <c r="H28" s="27"/>
      <c r="I28" s="27"/>
      <c r="J28" s="27"/>
    </row>
    <row r="29" spans="1:10">
      <c r="A29" s="173"/>
      <c r="B29" s="174"/>
      <c r="C29" s="174"/>
      <c r="D29" s="174"/>
      <c r="E29" s="174"/>
      <c r="F29" s="175"/>
      <c r="G29" s="175"/>
      <c r="H29" s="173"/>
      <c r="I29" s="173"/>
      <c r="J29" s="27"/>
    </row>
    <row r="30" spans="1:10">
      <c r="A30" s="173"/>
      <c r="B30" s="174"/>
      <c r="C30" s="174"/>
      <c r="D30" s="174"/>
      <c r="E30" s="174"/>
      <c r="F30" s="173"/>
      <c r="G30" s="173"/>
      <c r="H30" s="173"/>
      <c r="I30" s="173"/>
      <c r="J30" s="27"/>
    </row>
    <row r="31" spans="1:10">
      <c r="A31" s="173"/>
      <c r="B31" s="174"/>
      <c r="C31" s="174"/>
      <c r="D31" s="174"/>
      <c r="E31" s="174"/>
      <c r="F31" s="173"/>
      <c r="G31" s="173"/>
      <c r="H31" s="173"/>
      <c r="I31" s="173"/>
      <c r="J31" s="27"/>
    </row>
    <row r="32" spans="1:10">
      <c r="B32" s="27"/>
      <c r="C32" s="27"/>
      <c r="D32" s="27"/>
      <c r="E32" s="27"/>
      <c r="F32" s="27"/>
      <c r="G32" s="27"/>
      <c r="H32" s="27"/>
      <c r="I32" s="27"/>
      <c r="J32" s="27"/>
    </row>
    <row r="63" spans="2:8" ht="16">
      <c r="B63" s="6"/>
      <c r="C63" s="6"/>
      <c r="D63" s="6"/>
      <c r="E63" s="6"/>
      <c r="F63" s="6"/>
      <c r="G63" s="15"/>
      <c r="H63" s="15"/>
    </row>
    <row r="64" spans="2:8">
      <c r="B64" s="6"/>
      <c r="C64" s="14"/>
      <c r="D64" s="6"/>
      <c r="E64" s="14"/>
      <c r="F64" s="6"/>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5"/>
  <sheetViews>
    <sheetView showZeros="0" workbookViewId="0">
      <selection activeCell="A35" sqref="A35"/>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61" t="s">
        <v>498</v>
      </c>
      <c r="D2" s="61"/>
      <c r="E2" s="61"/>
      <c r="F2" s="61"/>
      <c r="G2" s="61"/>
      <c r="H2" s="61"/>
    </row>
    <row r="4" spans="1:13">
      <c r="A4" s="65" t="s">
        <v>482</v>
      </c>
      <c r="B4" s="27"/>
      <c r="C4" s="27"/>
      <c r="D4" s="27"/>
      <c r="E4" s="27"/>
      <c r="F4" s="27"/>
      <c r="G4" s="27"/>
      <c r="H4" s="286" t="s">
        <v>483</v>
      </c>
      <c r="I4" s="286"/>
      <c r="J4" s="286"/>
      <c r="K4" s="286"/>
      <c r="L4" s="286"/>
      <c r="M4" s="27"/>
    </row>
    <row r="5" spans="1:13">
      <c r="A5" s="119"/>
      <c r="B5" s="119"/>
      <c r="C5" s="119" t="s">
        <v>571</v>
      </c>
      <c r="D5" s="119"/>
      <c r="E5" s="119" t="s">
        <v>571</v>
      </c>
      <c r="F5" s="119"/>
      <c r="G5" s="119" t="s">
        <v>572</v>
      </c>
      <c r="H5" s="119"/>
      <c r="I5" s="119" t="s">
        <v>573</v>
      </c>
      <c r="J5" s="119"/>
      <c r="K5" s="119" t="s">
        <v>573</v>
      </c>
      <c r="L5" s="119"/>
      <c r="M5" s="27"/>
    </row>
    <row r="6" spans="1:13">
      <c r="A6" s="119"/>
      <c r="B6" s="119" t="s">
        <v>499</v>
      </c>
      <c r="C6" s="119" t="str">
        <f>Innehåll!D79</f>
        <v xml:space="preserve"> 2023-01</v>
      </c>
      <c r="D6" s="119" t="str">
        <f>Innehåll!D80</f>
        <v xml:space="preserve"> 2022-01</v>
      </c>
      <c r="E6" s="119" t="str">
        <f>Innehåll!D81</f>
        <v>YTD  2023</v>
      </c>
      <c r="F6" s="119" t="str">
        <f>Innehåll!D82</f>
        <v>YTD  2022</v>
      </c>
      <c r="G6" s="119" t="str">
        <f>C6</f>
        <v xml:space="preserve"> 2023-01</v>
      </c>
      <c r="H6" s="119" t="str">
        <f>E6</f>
        <v>YTD  2023</v>
      </c>
      <c r="I6" s="119" t="str">
        <f>C6</f>
        <v xml:space="preserve"> 2023-01</v>
      </c>
      <c r="J6" s="119" t="str">
        <f>E6</f>
        <v>YTD  2023</v>
      </c>
      <c r="K6" s="119" t="str">
        <f>D6</f>
        <v xml:space="preserve"> 2022-01</v>
      </c>
      <c r="L6" s="119" t="str">
        <f>F6</f>
        <v>YTD  2022</v>
      </c>
      <c r="M6" s="27"/>
    </row>
    <row r="7" spans="1:13" ht="15" hidden="1" customHeight="1">
      <c r="A7" s="27" t="s">
        <v>33</v>
      </c>
      <c r="B7" s="27" t="s">
        <v>34</v>
      </c>
      <c r="C7" s="27" t="s">
        <v>35</v>
      </c>
      <c r="D7" s="27" t="s">
        <v>36</v>
      </c>
      <c r="E7" s="27" t="s">
        <v>37</v>
      </c>
      <c r="F7" s="27" t="s">
        <v>38</v>
      </c>
      <c r="G7" s="27" t="s">
        <v>39</v>
      </c>
      <c r="H7" s="27" t="s">
        <v>40</v>
      </c>
      <c r="I7" s="27" t="s">
        <v>41</v>
      </c>
      <c r="J7" s="27" t="s">
        <v>42</v>
      </c>
      <c r="K7" s="27" t="s">
        <v>43</v>
      </c>
      <c r="L7" s="27" t="s">
        <v>44</v>
      </c>
      <c r="M7" s="27"/>
    </row>
    <row r="8" spans="1:13">
      <c r="A8" s="27">
        <v>1</v>
      </c>
      <c r="B8" s="27" t="s">
        <v>658</v>
      </c>
      <c r="C8" s="67">
        <v>43</v>
      </c>
      <c r="D8" s="67">
        <v>19</v>
      </c>
      <c r="E8" s="67">
        <v>43</v>
      </c>
      <c r="F8" s="67">
        <v>19</v>
      </c>
      <c r="G8" s="27">
        <v>126.32</v>
      </c>
      <c r="H8" s="27">
        <v>126.32</v>
      </c>
      <c r="I8" s="27">
        <v>24.57</v>
      </c>
      <c r="J8" s="27">
        <v>24.57</v>
      </c>
      <c r="K8" s="27">
        <v>8.09</v>
      </c>
      <c r="L8" s="27">
        <v>8.09</v>
      </c>
      <c r="M8" s="27"/>
    </row>
    <row r="9" spans="1:13">
      <c r="A9" s="27">
        <v>2</v>
      </c>
      <c r="B9" s="27" t="s">
        <v>1061</v>
      </c>
      <c r="C9" s="67">
        <v>43</v>
      </c>
      <c r="D9" s="67">
        <v>18</v>
      </c>
      <c r="E9" s="67">
        <v>43</v>
      </c>
      <c r="F9" s="67">
        <v>18</v>
      </c>
      <c r="G9" s="27">
        <v>138.88999999999999</v>
      </c>
      <c r="H9" s="27">
        <v>138.88999999999999</v>
      </c>
      <c r="I9" s="27">
        <v>24.57</v>
      </c>
      <c r="J9" s="27">
        <v>24.57</v>
      </c>
      <c r="K9" s="27">
        <v>7.66</v>
      </c>
      <c r="L9" s="27">
        <v>7.66</v>
      </c>
      <c r="M9" s="27"/>
    </row>
    <row r="10" spans="1:13">
      <c r="A10" s="27">
        <v>3</v>
      </c>
      <c r="B10" s="27" t="s">
        <v>170</v>
      </c>
      <c r="C10" s="67">
        <v>17</v>
      </c>
      <c r="D10" s="67">
        <v>0</v>
      </c>
      <c r="E10" s="67">
        <v>17</v>
      </c>
      <c r="F10" s="67">
        <v>0</v>
      </c>
      <c r="G10" s="27">
        <v>0</v>
      </c>
      <c r="H10" s="27">
        <v>0</v>
      </c>
      <c r="I10" s="27">
        <v>9.7100000000000009</v>
      </c>
      <c r="J10" s="27">
        <v>9.7100000000000009</v>
      </c>
      <c r="K10" s="27">
        <v>0</v>
      </c>
      <c r="L10" s="27">
        <v>0</v>
      </c>
      <c r="M10" s="27"/>
    </row>
    <row r="11" spans="1:13">
      <c r="A11" s="27">
        <v>4</v>
      </c>
      <c r="B11" s="27" t="s">
        <v>657</v>
      </c>
      <c r="C11" s="67">
        <v>10</v>
      </c>
      <c r="D11" s="67">
        <v>40</v>
      </c>
      <c r="E11" s="67">
        <v>10</v>
      </c>
      <c r="F11" s="67">
        <v>40</v>
      </c>
      <c r="G11" s="27">
        <v>-75</v>
      </c>
      <c r="H11" s="27">
        <v>-75</v>
      </c>
      <c r="I11" s="27">
        <v>5.71</v>
      </c>
      <c r="J11" s="27">
        <v>5.71</v>
      </c>
      <c r="K11" s="27">
        <v>17.02</v>
      </c>
      <c r="L11" s="27">
        <v>17.02</v>
      </c>
      <c r="M11" s="27"/>
    </row>
    <row r="12" spans="1:13">
      <c r="A12" s="27">
        <v>5</v>
      </c>
      <c r="B12" s="27" t="s">
        <v>1062</v>
      </c>
      <c r="C12" s="67">
        <v>10</v>
      </c>
      <c r="D12" s="67">
        <v>0</v>
      </c>
      <c r="E12" s="67">
        <v>10</v>
      </c>
      <c r="F12" s="67">
        <v>0</v>
      </c>
      <c r="G12" s="27">
        <v>0</v>
      </c>
      <c r="H12" s="27">
        <v>0</v>
      </c>
      <c r="I12" s="27">
        <v>5.71</v>
      </c>
      <c r="J12" s="27">
        <v>5.71</v>
      </c>
      <c r="K12" s="27">
        <v>0</v>
      </c>
      <c r="L12" s="27">
        <v>0</v>
      </c>
      <c r="M12" s="27"/>
    </row>
    <row r="13" spans="1:13">
      <c r="A13" s="27">
        <v>6</v>
      </c>
      <c r="B13" s="27" t="s">
        <v>742</v>
      </c>
      <c r="C13" s="67">
        <v>10</v>
      </c>
      <c r="D13" s="67">
        <v>0</v>
      </c>
      <c r="E13" s="67">
        <v>10</v>
      </c>
      <c r="F13" s="67">
        <v>0</v>
      </c>
      <c r="G13" s="27">
        <v>0</v>
      </c>
      <c r="H13" s="27">
        <v>0</v>
      </c>
      <c r="I13" s="27">
        <v>5.71</v>
      </c>
      <c r="J13" s="27">
        <v>5.71</v>
      </c>
      <c r="K13" s="27">
        <v>0</v>
      </c>
      <c r="L13" s="27">
        <v>0</v>
      </c>
      <c r="M13" s="27"/>
    </row>
    <row r="14" spans="1:13">
      <c r="A14" s="27">
        <v>7</v>
      </c>
      <c r="B14" s="27" t="s">
        <v>660</v>
      </c>
      <c r="C14" s="67">
        <v>9</v>
      </c>
      <c r="D14" s="67">
        <v>0</v>
      </c>
      <c r="E14" s="67">
        <v>9</v>
      </c>
      <c r="F14" s="67">
        <v>0</v>
      </c>
      <c r="G14" s="27">
        <v>0</v>
      </c>
      <c r="H14" s="27">
        <v>0</v>
      </c>
      <c r="I14" s="27">
        <v>5.14</v>
      </c>
      <c r="J14" s="27">
        <v>5.14</v>
      </c>
      <c r="K14" s="27">
        <v>0</v>
      </c>
      <c r="L14" s="27">
        <v>0</v>
      </c>
      <c r="M14" s="27"/>
    </row>
    <row r="15" spans="1:13">
      <c r="A15" s="27">
        <v>8</v>
      </c>
      <c r="B15" s="27" t="s">
        <v>1026</v>
      </c>
      <c r="C15" s="67">
        <v>7</v>
      </c>
      <c r="D15" s="67">
        <v>3</v>
      </c>
      <c r="E15" s="67">
        <v>7</v>
      </c>
      <c r="F15" s="67">
        <v>3</v>
      </c>
      <c r="G15" s="66">
        <v>133.33000000000001</v>
      </c>
      <c r="H15" s="66">
        <v>133.33000000000001</v>
      </c>
      <c r="I15" s="27">
        <v>4</v>
      </c>
      <c r="J15" s="27">
        <v>4</v>
      </c>
      <c r="K15" s="27">
        <v>1.28</v>
      </c>
      <c r="L15" s="27">
        <v>1.28</v>
      </c>
      <c r="M15" s="27"/>
    </row>
    <row r="16" spans="1:13">
      <c r="A16" s="27">
        <v>9</v>
      </c>
      <c r="B16" s="27" t="s">
        <v>1090</v>
      </c>
      <c r="C16" s="67">
        <v>6</v>
      </c>
      <c r="D16" s="67">
        <v>0</v>
      </c>
      <c r="E16" s="67">
        <v>6</v>
      </c>
      <c r="F16" s="67">
        <v>0</v>
      </c>
      <c r="G16" s="27">
        <v>0</v>
      </c>
      <c r="H16" s="27">
        <v>0</v>
      </c>
      <c r="I16" s="27">
        <v>3.43</v>
      </c>
      <c r="J16" s="27">
        <v>3.43</v>
      </c>
      <c r="K16" s="27">
        <v>0</v>
      </c>
      <c r="L16" s="27">
        <v>0</v>
      </c>
      <c r="M16" s="27"/>
    </row>
    <row r="17" spans="1:13">
      <c r="A17" s="27">
        <v>10</v>
      </c>
      <c r="B17" s="27" t="s">
        <v>1034</v>
      </c>
      <c r="C17" s="67">
        <v>3</v>
      </c>
      <c r="D17" s="67">
        <v>0</v>
      </c>
      <c r="E17" s="67">
        <v>3</v>
      </c>
      <c r="F17" s="67">
        <v>0</v>
      </c>
      <c r="G17" s="86">
        <v>0</v>
      </c>
      <c r="H17" s="86">
        <v>0</v>
      </c>
      <c r="I17" s="27">
        <v>1.71</v>
      </c>
      <c r="J17" s="27">
        <v>1.71</v>
      </c>
      <c r="K17" s="27">
        <v>0</v>
      </c>
      <c r="L17" s="27">
        <v>0</v>
      </c>
      <c r="M17" s="27"/>
    </row>
    <row r="18" spans="1:13">
      <c r="A18" s="27">
        <v>11</v>
      </c>
      <c r="B18" s="27" t="s">
        <v>685</v>
      </c>
      <c r="C18" s="67">
        <v>2</v>
      </c>
      <c r="D18" s="67">
        <v>29</v>
      </c>
      <c r="E18" s="67">
        <v>2</v>
      </c>
      <c r="F18" s="67">
        <v>29</v>
      </c>
      <c r="G18" s="66">
        <v>-93.1</v>
      </c>
      <c r="H18" s="66">
        <v>-93.1</v>
      </c>
      <c r="I18" s="27">
        <v>1.1399999999999999</v>
      </c>
      <c r="J18" s="27">
        <v>1.1399999999999999</v>
      </c>
      <c r="K18" s="27">
        <v>12.34</v>
      </c>
      <c r="L18" s="27">
        <v>12.34</v>
      </c>
      <c r="M18" s="27"/>
    </row>
    <row r="19" spans="1:13">
      <c r="A19" s="27">
        <v>12</v>
      </c>
      <c r="B19" s="27" t="s">
        <v>1119</v>
      </c>
      <c r="C19" s="67">
        <v>2</v>
      </c>
      <c r="D19" s="67">
        <v>0</v>
      </c>
      <c r="E19" s="67">
        <v>2</v>
      </c>
      <c r="F19" s="67">
        <v>0</v>
      </c>
      <c r="G19" s="27">
        <v>0</v>
      </c>
      <c r="H19" s="27">
        <v>0</v>
      </c>
      <c r="I19" s="27">
        <v>1.1399999999999999</v>
      </c>
      <c r="J19" s="27">
        <v>1.1399999999999999</v>
      </c>
      <c r="K19" s="27">
        <v>0</v>
      </c>
      <c r="L19" s="27">
        <v>0</v>
      </c>
      <c r="M19" s="27"/>
    </row>
    <row r="20" spans="1:13">
      <c r="A20" s="27">
        <v>13</v>
      </c>
      <c r="B20" s="27" t="s">
        <v>454</v>
      </c>
      <c r="C20" s="67">
        <v>1</v>
      </c>
      <c r="D20" s="67">
        <v>20</v>
      </c>
      <c r="E20" s="67">
        <v>1</v>
      </c>
      <c r="F20" s="67">
        <v>20</v>
      </c>
      <c r="G20" s="27">
        <v>-95</v>
      </c>
      <c r="H20" s="27">
        <v>-95</v>
      </c>
      <c r="I20" s="27">
        <v>0.56999999999999995</v>
      </c>
      <c r="J20" s="27">
        <v>0.56999999999999995</v>
      </c>
      <c r="K20" s="27">
        <v>8.51</v>
      </c>
      <c r="L20" s="27">
        <v>8.51</v>
      </c>
      <c r="M20" s="27"/>
    </row>
    <row r="21" spans="1:13">
      <c r="A21" s="27">
        <v>14</v>
      </c>
      <c r="B21" s="27" t="s">
        <v>692</v>
      </c>
      <c r="C21" s="67">
        <v>1</v>
      </c>
      <c r="D21" s="67">
        <v>19</v>
      </c>
      <c r="E21" s="67">
        <v>1</v>
      </c>
      <c r="F21" s="67">
        <v>19</v>
      </c>
      <c r="G21" s="27">
        <v>-94.74</v>
      </c>
      <c r="H21" s="27">
        <v>-94.74</v>
      </c>
      <c r="I21" s="27">
        <v>0.56999999999999995</v>
      </c>
      <c r="J21" s="27">
        <v>0.56999999999999995</v>
      </c>
      <c r="K21" s="27">
        <v>8.09</v>
      </c>
      <c r="L21" s="27">
        <v>8.09</v>
      </c>
      <c r="M21" s="27"/>
    </row>
    <row r="22" spans="1:13">
      <c r="A22" s="27">
        <v>15</v>
      </c>
      <c r="B22" s="27" t="s">
        <v>661</v>
      </c>
      <c r="C22" s="67">
        <v>1</v>
      </c>
      <c r="D22" s="67">
        <v>15</v>
      </c>
      <c r="E22" s="67">
        <v>1</v>
      </c>
      <c r="F22" s="67">
        <v>15</v>
      </c>
      <c r="G22" s="27">
        <v>-93.33</v>
      </c>
      <c r="H22" s="27">
        <v>-93.33</v>
      </c>
      <c r="I22" s="27">
        <v>0.56999999999999995</v>
      </c>
      <c r="J22" s="27">
        <v>0.56999999999999995</v>
      </c>
      <c r="K22" s="27">
        <v>6.38</v>
      </c>
      <c r="L22" s="27">
        <v>6.38</v>
      </c>
      <c r="M22" s="27"/>
    </row>
    <row r="23" spans="1:13">
      <c r="A23" s="27">
        <v>16</v>
      </c>
      <c r="B23" s="27" t="s">
        <v>248</v>
      </c>
      <c r="C23" s="67">
        <v>0</v>
      </c>
      <c r="D23" s="67">
        <v>33</v>
      </c>
      <c r="E23" s="67">
        <v>0</v>
      </c>
      <c r="F23" s="67">
        <v>33</v>
      </c>
      <c r="G23" s="27">
        <v>-100</v>
      </c>
      <c r="H23" s="27">
        <v>-100</v>
      </c>
      <c r="I23" s="27">
        <v>0</v>
      </c>
      <c r="J23" s="27">
        <v>0</v>
      </c>
      <c r="K23" s="27">
        <v>14.04</v>
      </c>
      <c r="L23" s="27">
        <v>14.04</v>
      </c>
      <c r="M23" s="27"/>
    </row>
    <row r="24" spans="1:13">
      <c r="A24" s="27">
        <v>17</v>
      </c>
      <c r="B24" s="27" t="s">
        <v>693</v>
      </c>
      <c r="C24" s="67">
        <v>0</v>
      </c>
      <c r="D24" s="67">
        <v>10</v>
      </c>
      <c r="E24" s="67">
        <v>0</v>
      </c>
      <c r="F24" s="67">
        <v>10</v>
      </c>
      <c r="G24" s="27">
        <v>-100</v>
      </c>
      <c r="H24" s="27">
        <v>-100</v>
      </c>
      <c r="I24" s="27">
        <v>0</v>
      </c>
      <c r="J24" s="27">
        <v>0</v>
      </c>
      <c r="K24" s="27">
        <v>4.26</v>
      </c>
      <c r="L24" s="27">
        <v>4.26</v>
      </c>
      <c r="M24" s="27"/>
    </row>
    <row r="25" spans="1:13">
      <c r="A25" s="27">
        <v>18</v>
      </c>
      <c r="B25" s="27" t="s">
        <v>468</v>
      </c>
      <c r="C25" s="67">
        <v>0</v>
      </c>
      <c r="D25" s="67">
        <v>8</v>
      </c>
      <c r="E25" s="67">
        <v>0</v>
      </c>
      <c r="F25" s="67">
        <v>8</v>
      </c>
      <c r="G25" s="27">
        <v>-100</v>
      </c>
      <c r="H25" s="27">
        <v>-100</v>
      </c>
      <c r="I25" s="27">
        <v>0</v>
      </c>
      <c r="J25" s="27">
        <v>0</v>
      </c>
      <c r="K25" s="27">
        <v>3.4</v>
      </c>
      <c r="L25" s="27">
        <v>3.4</v>
      </c>
      <c r="M25" s="27"/>
    </row>
    <row r="26" spans="1:13">
      <c r="A26" s="27">
        <v>19</v>
      </c>
      <c r="B26" s="27" t="s">
        <v>686</v>
      </c>
      <c r="C26" s="67">
        <v>0</v>
      </c>
      <c r="D26" s="67">
        <v>6</v>
      </c>
      <c r="E26" s="67">
        <v>0</v>
      </c>
      <c r="F26" s="67">
        <v>6</v>
      </c>
      <c r="G26" s="27">
        <v>-100</v>
      </c>
      <c r="H26" s="27">
        <v>-100</v>
      </c>
      <c r="I26" s="27">
        <v>0</v>
      </c>
      <c r="J26" s="27">
        <v>0</v>
      </c>
      <c r="K26" s="27">
        <v>2.5499999999999998</v>
      </c>
      <c r="L26" s="27">
        <v>2.5499999999999998</v>
      </c>
      <c r="M26" s="27"/>
    </row>
    <row r="27" spans="1:13">
      <c r="A27" s="27">
        <v>20</v>
      </c>
      <c r="B27" s="27" t="s">
        <v>659</v>
      </c>
      <c r="C27" s="67">
        <v>0</v>
      </c>
      <c r="D27" s="67">
        <v>6</v>
      </c>
      <c r="E27" s="67">
        <v>0</v>
      </c>
      <c r="F27" s="67">
        <v>6</v>
      </c>
      <c r="G27" s="27">
        <v>-100</v>
      </c>
      <c r="H27" s="27">
        <v>-100</v>
      </c>
      <c r="I27" s="27">
        <v>0</v>
      </c>
      <c r="J27" s="27">
        <v>0</v>
      </c>
      <c r="K27" s="27">
        <v>2.5499999999999998</v>
      </c>
      <c r="L27" s="27">
        <v>2.5499999999999998</v>
      </c>
      <c r="M27" s="27"/>
    </row>
    <row r="28" spans="1:13">
      <c r="A28" s="173">
        <v>21</v>
      </c>
      <c r="B28" s="173" t="s">
        <v>663</v>
      </c>
      <c r="C28" s="174">
        <v>0</v>
      </c>
      <c r="D28" s="174">
        <v>2</v>
      </c>
      <c r="E28" s="174">
        <v>0</v>
      </c>
      <c r="F28" s="174">
        <v>2</v>
      </c>
      <c r="G28" s="173">
        <v>-100</v>
      </c>
      <c r="H28" s="173">
        <v>-100</v>
      </c>
      <c r="I28" s="173">
        <v>0</v>
      </c>
      <c r="J28" s="173">
        <v>0</v>
      </c>
      <c r="K28" s="173">
        <v>0.85</v>
      </c>
      <c r="L28" s="173">
        <v>0.85</v>
      </c>
      <c r="M28" s="27"/>
    </row>
    <row r="29" spans="1:13">
      <c r="A29" s="173">
        <v>22</v>
      </c>
      <c r="B29" s="173" t="s">
        <v>662</v>
      </c>
      <c r="C29" s="174">
        <v>0</v>
      </c>
      <c r="D29" s="174">
        <v>1</v>
      </c>
      <c r="E29" s="174">
        <v>0</v>
      </c>
      <c r="F29" s="174">
        <v>1</v>
      </c>
      <c r="G29" s="173">
        <v>-100</v>
      </c>
      <c r="H29" s="173">
        <v>-100</v>
      </c>
      <c r="I29" s="173">
        <v>0</v>
      </c>
      <c r="J29" s="173">
        <v>0</v>
      </c>
      <c r="K29" s="173">
        <v>0.43</v>
      </c>
      <c r="L29" s="173">
        <v>0.43</v>
      </c>
      <c r="M29" s="27"/>
    </row>
    <row r="30" spans="1:13">
      <c r="A30" s="173">
        <v>23</v>
      </c>
      <c r="B30" s="173" t="s">
        <v>536</v>
      </c>
      <c r="C30" s="174">
        <v>0</v>
      </c>
      <c r="D30" s="174">
        <v>1</v>
      </c>
      <c r="E30" s="174">
        <v>0</v>
      </c>
      <c r="F30" s="174">
        <v>1</v>
      </c>
      <c r="G30" s="173">
        <v>-100</v>
      </c>
      <c r="H30" s="173">
        <v>-100</v>
      </c>
      <c r="I30" s="173">
        <v>0</v>
      </c>
      <c r="J30" s="173">
        <v>0</v>
      </c>
      <c r="K30" s="173">
        <v>0.43</v>
      </c>
      <c r="L30" s="173">
        <v>0.43</v>
      </c>
      <c r="M30" s="27"/>
    </row>
    <row r="31" spans="1:13">
      <c r="A31" s="173">
        <v>24</v>
      </c>
      <c r="B31" s="173" t="s">
        <v>467</v>
      </c>
      <c r="C31" s="174">
        <v>10</v>
      </c>
      <c r="D31" s="174">
        <v>5</v>
      </c>
      <c r="E31" s="174">
        <v>10</v>
      </c>
      <c r="F31" s="174">
        <v>5</v>
      </c>
      <c r="G31" s="173">
        <v>100</v>
      </c>
      <c r="H31" s="173">
        <v>100</v>
      </c>
      <c r="I31" s="173">
        <v>5.71</v>
      </c>
      <c r="J31" s="173">
        <v>5.71</v>
      </c>
      <c r="K31" s="173">
        <v>2.13</v>
      </c>
      <c r="L31" s="173">
        <v>2.13</v>
      </c>
      <c r="M31" s="27"/>
    </row>
    <row r="32" spans="1:13">
      <c r="A32" s="173"/>
      <c r="B32" s="173" t="s">
        <v>485</v>
      </c>
      <c r="C32" s="174">
        <f>SUBTOTAL(109,Table_bdsql12_BDmodell_getAggModelsFuelTypeLB[antalPerioden])</f>
        <v>175</v>
      </c>
      <c r="D32" s="174">
        <f>SUBTOTAL(109,Table_bdsql12_BDmodell_getAggModelsFuelTypeLB[antalFGPeriod])</f>
        <v>235</v>
      </c>
      <c r="E32" s="174">
        <f>SUBTOTAL(109,Table_bdsql12_BDmodell_getAggModelsFuelTypeLB[antalÅret])</f>
        <v>175</v>
      </c>
      <c r="F32" s="174">
        <f>SUBTOTAL(109,Table_bdsql12_BDmodell_getAggModelsFuelTypeLB[antalFGAr])</f>
        <v>235</v>
      </c>
      <c r="G32" s="178">
        <f>IF(Table_bdsql12_BDmodell_getAggModelsFuelTypeLB[[#Totals],[antalFGPeriod]] &gt; 0,(Table_bdsql12_BDmodell_getAggModelsFuelTypeLB[[#Totals],[antalPerioden]] - Table_bdsql12_BDmodell_getAggModelsFuelTypeLB[[#Totals],[antalFGPeriod]]) / Table_bdsql12_BDmodell_getAggModelsFuelTypeLB[[#Totals],[antalFGPeriod]] *100,0)</f>
        <v>-25.531914893617021</v>
      </c>
      <c r="H32" s="178">
        <f>IF(Table_bdsql12_BDmodell_getAggModelsFuelTypeLB[[#Totals],[antalFGAr]] &gt; 0,(Table_bdsql12_BDmodell_getAggModelsFuelTypeLB[[#Totals],[antalÅret]] - Table_bdsql12_BDmodell_getAggModelsFuelTypeLB[[#Totals],[antalFGAr]]) / Table_bdsql12_BDmodell_getAggModelsFuelTypeLB[[#Totals],[antalFGAr]] * 100,0)</f>
        <v>-25.531914893617021</v>
      </c>
      <c r="I32" s="177" t="str">
        <f>TEXT(100,"0,0")</f>
        <v>100,0</v>
      </c>
      <c r="J32" s="177" t="str">
        <f>TEXT(100,"0,0")</f>
        <v>100,0</v>
      </c>
      <c r="K32" s="177" t="str">
        <f>TEXT(100,"0,0")</f>
        <v>100,0</v>
      </c>
      <c r="L32" s="177" t="str">
        <f>TEXT(100,"0,0")</f>
        <v>100,0</v>
      </c>
      <c r="M32" s="27"/>
    </row>
    <row r="33" spans="1:13">
      <c r="A33" s="173"/>
      <c r="B33" s="173"/>
      <c r="C33" s="174"/>
      <c r="D33" s="174"/>
      <c r="E33" s="174"/>
      <c r="F33" s="174"/>
      <c r="G33" s="178"/>
      <c r="H33" s="178"/>
      <c r="I33" s="177"/>
      <c r="J33" s="177"/>
      <c r="K33" s="177"/>
      <c r="L33" s="177"/>
      <c r="M33" s="27"/>
    </row>
    <row r="34" spans="1:13">
      <c r="A34" s="173"/>
      <c r="B34" s="173"/>
      <c r="C34" s="174"/>
      <c r="D34" s="174"/>
      <c r="E34" s="174"/>
      <c r="F34" s="174"/>
      <c r="G34" s="173"/>
      <c r="H34" s="173"/>
      <c r="I34" s="173"/>
      <c r="J34" s="173"/>
      <c r="K34" s="173"/>
      <c r="L34" s="173"/>
    </row>
    <row r="35" spans="1:13">
      <c r="A35" s="27" t="s">
        <v>716</v>
      </c>
      <c r="B35" s="173"/>
      <c r="C35" s="174"/>
      <c r="D35" s="174"/>
      <c r="E35" s="174"/>
      <c r="F35" s="174"/>
      <c r="G35" s="173"/>
      <c r="H35" s="173"/>
      <c r="I35" s="173"/>
      <c r="J35" s="173"/>
      <c r="K35" s="173"/>
      <c r="L35" s="173"/>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P2" sqref="P2"/>
    </sheetView>
  </sheetViews>
  <sheetFormatPr baseColWidth="10" defaultColWidth="8.83203125" defaultRowHeight="15"/>
  <sheetData>
    <row r="3" spans="16:22" ht="19.25" customHeight="1" thickBot="1">
      <c r="P3" s="27"/>
      <c r="Q3" s="74" t="s">
        <v>16</v>
      </c>
      <c r="R3" s="74"/>
      <c r="S3" s="74"/>
      <c r="T3" s="74"/>
      <c r="U3" s="74"/>
      <c r="V3" s="129"/>
    </row>
    <row r="4" spans="16:22">
      <c r="P4" s="27"/>
      <c r="Q4" s="27"/>
      <c r="R4" s="27"/>
      <c r="S4" s="27"/>
      <c r="T4" s="27"/>
      <c r="U4" s="27"/>
      <c r="V4" s="27"/>
    </row>
    <row r="5" spans="16:22" ht="16" thickBot="1">
      <c r="P5" s="27"/>
      <c r="Q5" s="20" t="s">
        <v>486</v>
      </c>
      <c r="R5" s="26">
        <v>2021</v>
      </c>
      <c r="S5" s="26">
        <v>2022</v>
      </c>
      <c r="T5" s="26">
        <v>2023</v>
      </c>
      <c r="U5" s="27"/>
      <c r="V5" s="27"/>
    </row>
    <row r="6" spans="16:22">
      <c r="P6" s="27"/>
      <c r="Q6" s="17" t="s">
        <v>2</v>
      </c>
      <c r="R6" s="27">
        <v>386</v>
      </c>
      <c r="S6" s="27">
        <v>289</v>
      </c>
      <c r="T6" s="27">
        <v>455</v>
      </c>
      <c r="U6" s="27"/>
      <c r="V6" s="27"/>
    </row>
    <row r="7" spans="16:22">
      <c r="P7" s="27"/>
      <c r="Q7" s="17" t="s">
        <v>3</v>
      </c>
      <c r="R7" s="27">
        <v>465</v>
      </c>
      <c r="S7" s="27">
        <v>356</v>
      </c>
      <c r="T7" s="27"/>
      <c r="U7" s="27"/>
      <c r="V7" s="27"/>
    </row>
    <row r="8" spans="16:22">
      <c r="P8" s="27"/>
      <c r="Q8" s="17" t="s">
        <v>4</v>
      </c>
      <c r="R8" s="27">
        <v>521</v>
      </c>
      <c r="S8" s="27">
        <v>491</v>
      </c>
      <c r="T8" s="27"/>
      <c r="U8" s="27"/>
      <c r="V8" s="27"/>
    </row>
    <row r="9" spans="16:22">
      <c r="P9" s="27"/>
      <c r="Q9" s="17" t="s">
        <v>5</v>
      </c>
      <c r="R9" s="27">
        <v>526</v>
      </c>
      <c r="S9" s="27">
        <v>478</v>
      </c>
      <c r="T9" s="27"/>
      <c r="U9" s="27"/>
      <c r="V9" s="27"/>
    </row>
    <row r="10" spans="16:22">
      <c r="P10" s="27"/>
      <c r="Q10" s="17" t="s">
        <v>6</v>
      </c>
      <c r="R10" s="27">
        <v>491</v>
      </c>
      <c r="S10" s="27">
        <v>510</v>
      </c>
      <c r="T10" s="27"/>
      <c r="U10" s="27"/>
      <c r="V10" s="27"/>
    </row>
    <row r="11" spans="16:22">
      <c r="P11" s="27"/>
      <c r="Q11" s="17" t="s">
        <v>7</v>
      </c>
      <c r="R11" s="27">
        <v>504</v>
      </c>
      <c r="S11" s="27">
        <v>498</v>
      </c>
      <c r="T11" s="27"/>
      <c r="U11" s="27"/>
      <c r="V11" s="27"/>
    </row>
    <row r="12" spans="16:22">
      <c r="P12" s="27"/>
      <c r="Q12" s="17" t="s">
        <v>8</v>
      </c>
      <c r="R12" s="27">
        <v>292</v>
      </c>
      <c r="S12" s="27">
        <v>227</v>
      </c>
      <c r="T12" s="27"/>
      <c r="U12" s="27"/>
      <c r="V12" s="27"/>
    </row>
    <row r="13" spans="16:22">
      <c r="P13" s="27"/>
      <c r="Q13" s="17" t="s">
        <v>9</v>
      </c>
      <c r="R13" s="27">
        <v>370</v>
      </c>
      <c r="S13" s="27">
        <v>399</v>
      </c>
      <c r="T13" s="27"/>
      <c r="U13" s="27"/>
      <c r="V13" s="27"/>
    </row>
    <row r="14" spans="16:22">
      <c r="P14" s="27"/>
      <c r="Q14" s="17" t="s">
        <v>10</v>
      </c>
      <c r="R14" s="27">
        <v>408</v>
      </c>
      <c r="S14" s="27">
        <v>543</v>
      </c>
      <c r="T14" s="27"/>
      <c r="U14" s="27"/>
      <c r="V14" s="27"/>
    </row>
    <row r="15" spans="16:22">
      <c r="P15" s="27"/>
      <c r="Q15" s="17" t="s">
        <v>11</v>
      </c>
      <c r="R15" s="27">
        <v>409</v>
      </c>
      <c r="S15" s="27">
        <v>508</v>
      </c>
      <c r="T15" s="27"/>
      <c r="U15" s="27"/>
      <c r="V15" s="27"/>
    </row>
    <row r="16" spans="16:22">
      <c r="P16" s="27"/>
      <c r="Q16" s="17" t="s">
        <v>12</v>
      </c>
      <c r="R16" s="27">
        <v>390</v>
      </c>
      <c r="S16" s="27">
        <v>575</v>
      </c>
      <c r="T16" s="27"/>
      <c r="U16" s="27"/>
      <c r="V16" s="27"/>
    </row>
    <row r="17" spans="16:22">
      <c r="P17" s="27"/>
      <c r="Q17" s="28" t="s">
        <v>13</v>
      </c>
      <c r="R17" s="29">
        <v>541</v>
      </c>
      <c r="S17" s="29">
        <v>618</v>
      </c>
      <c r="T17" s="29"/>
      <c r="U17" s="27"/>
      <c r="V17" s="27"/>
    </row>
    <row r="18" spans="16:22">
      <c r="P18" s="27"/>
      <c r="Q18" s="22" t="s">
        <v>570</v>
      </c>
      <c r="R18" s="49">
        <f>SUMIF(T6:T17,"&gt;0",R6:R17)</f>
        <v>386</v>
      </c>
      <c r="S18" s="49">
        <f>SUMIF(T6:T17,"&gt;0",S6:S17)</f>
        <v>289</v>
      </c>
      <c r="T18" s="27">
        <f>SUM(T6:T17)</f>
        <v>455</v>
      </c>
      <c r="U18" s="27"/>
      <c r="V18" s="27"/>
    </row>
    <row r="19" spans="16:22">
      <c r="P19" s="27"/>
      <c r="Q19" s="23" t="s">
        <v>569</v>
      </c>
      <c r="R19" s="27">
        <f>SUM(R6:R17)</f>
        <v>5303</v>
      </c>
      <c r="S19" s="27">
        <f>SUM(S6:S17)</f>
        <v>5492</v>
      </c>
      <c r="T19" s="24"/>
      <c r="U19" s="27"/>
      <c r="V19" s="27"/>
    </row>
    <row r="20" spans="16:22">
      <c r="P20" s="27"/>
      <c r="Q20" s="27"/>
      <c r="R20" s="27"/>
      <c r="S20" s="27"/>
      <c r="T20" s="27"/>
      <c r="U20" s="27"/>
      <c r="V20" s="27"/>
    </row>
    <row r="21" spans="16:22">
      <c r="P21" s="27"/>
      <c r="Q21" s="27"/>
      <c r="R21" s="27"/>
      <c r="S21" s="27"/>
      <c r="T21" s="27"/>
      <c r="U21" s="27"/>
      <c r="V21" s="27"/>
    </row>
    <row r="22" spans="16:22">
      <c r="P22" s="27"/>
      <c r="Q22" s="27"/>
      <c r="R22" s="27"/>
      <c r="S22" s="27"/>
      <c r="T22" s="27"/>
      <c r="U22" s="27"/>
      <c r="V22" s="27"/>
    </row>
    <row r="23" spans="16:22">
      <c r="P23" s="27"/>
      <c r="Q23" s="69" t="s">
        <v>483</v>
      </c>
      <c r="R23" s="27"/>
      <c r="S23" s="27"/>
      <c r="T23" s="27"/>
      <c r="U23" s="27"/>
      <c r="V23" s="27"/>
    </row>
    <row r="24" spans="16:22">
      <c r="P24" s="27"/>
      <c r="Q24" s="27"/>
      <c r="R24" s="27"/>
      <c r="S24" s="27"/>
      <c r="T24" s="27"/>
      <c r="U24" s="27"/>
      <c r="V24" s="27"/>
    </row>
    <row r="25" spans="16:22">
      <c r="P25" s="27"/>
      <c r="Q25" s="27"/>
      <c r="R25" s="27"/>
      <c r="S25" s="27"/>
      <c r="T25" s="27"/>
      <c r="U25" s="27"/>
      <c r="V25" s="27"/>
    </row>
    <row r="35" spans="16:24" ht="19.25" customHeight="1" thickBot="1">
      <c r="P35" s="27"/>
      <c r="Q35" s="74" t="s">
        <v>312</v>
      </c>
      <c r="R35" s="74"/>
      <c r="S35" s="74"/>
      <c r="T35" s="74"/>
      <c r="U35" s="74"/>
      <c r="V35" s="74"/>
      <c r="W35" s="74"/>
      <c r="X35" s="129"/>
    </row>
    <row r="36" spans="16:24">
      <c r="P36" s="27"/>
      <c r="Q36" s="27"/>
      <c r="R36" s="27"/>
      <c r="S36" s="27"/>
      <c r="T36" s="27"/>
      <c r="U36" s="27"/>
      <c r="V36" s="27"/>
      <c r="W36" s="27"/>
      <c r="X36" s="27"/>
    </row>
    <row r="37" spans="16:24">
      <c r="P37" s="27"/>
      <c r="Q37" s="106" t="s">
        <v>469</v>
      </c>
      <c r="R37" s="64">
        <v>-8.0952380952380949</v>
      </c>
      <c r="S37" s="27"/>
      <c r="T37" s="27"/>
      <c r="U37" s="27"/>
      <c r="V37" s="27"/>
      <c r="W37" s="27"/>
      <c r="X37" s="27"/>
    </row>
    <row r="38" spans="16:24">
      <c r="P38" s="27"/>
      <c r="Q38" s="104" t="s">
        <v>537</v>
      </c>
      <c r="R38" s="64">
        <v>10.189573459715639</v>
      </c>
      <c r="S38" s="27"/>
      <c r="T38" s="27"/>
      <c r="U38" s="27"/>
      <c r="V38" s="27"/>
      <c r="W38" s="27"/>
      <c r="X38" s="27"/>
    </row>
    <row r="39" spans="16:24">
      <c r="P39" s="27"/>
      <c r="Q39" s="104" t="s">
        <v>597</v>
      </c>
      <c r="R39" s="64">
        <v>3.373015873015873</v>
      </c>
      <c r="S39" s="27"/>
      <c r="T39" s="27"/>
      <c r="U39" s="27"/>
      <c r="V39" s="27"/>
      <c r="W39" s="27"/>
      <c r="X39" s="27"/>
    </row>
    <row r="40" spans="16:24">
      <c r="P40" s="27"/>
      <c r="Q40" s="104" t="s">
        <v>614</v>
      </c>
      <c r="R40" s="64">
        <v>16.62971175166297</v>
      </c>
      <c r="S40" s="27"/>
      <c r="T40" s="27"/>
      <c r="U40" s="27"/>
      <c r="V40" s="27"/>
      <c r="W40" s="27"/>
      <c r="X40" s="27"/>
    </row>
    <row r="41" spans="16:24">
      <c r="P41" s="27"/>
      <c r="Q41" s="104" t="s">
        <v>628</v>
      </c>
      <c r="R41" s="64">
        <v>29.210526315789476</v>
      </c>
      <c r="S41" s="27"/>
      <c r="T41" s="27"/>
      <c r="U41" s="27"/>
      <c r="V41" s="27"/>
      <c r="W41" s="27"/>
      <c r="X41" s="27"/>
    </row>
    <row r="42" spans="16:24">
      <c r="P42" s="27"/>
      <c r="Q42" s="104" t="s">
        <v>635</v>
      </c>
      <c r="R42" s="64">
        <v>36.95652173913043</v>
      </c>
      <c r="S42" s="27"/>
      <c r="T42" s="27"/>
      <c r="U42" s="27"/>
      <c r="V42" s="27"/>
      <c r="W42" s="27"/>
      <c r="X42" s="27"/>
    </row>
    <row r="43" spans="16:24">
      <c r="P43" s="27"/>
      <c r="Q43" s="104" t="s">
        <v>640</v>
      </c>
      <c r="R43" s="64">
        <v>18.699186991869919</v>
      </c>
      <c r="S43" s="27"/>
      <c r="T43" s="27"/>
      <c r="U43" s="27"/>
      <c r="V43" s="27"/>
      <c r="W43" s="27"/>
      <c r="X43" s="27"/>
    </row>
    <row r="44" spans="16:24">
      <c r="P44" s="27"/>
      <c r="Q44" s="104" t="s">
        <v>642</v>
      </c>
      <c r="R44" s="64">
        <v>13.846153846153847</v>
      </c>
      <c r="S44" s="27"/>
      <c r="T44" s="27"/>
      <c r="U44" s="27"/>
      <c r="V44" s="27"/>
      <c r="W44" s="27"/>
      <c r="X44" s="27"/>
    </row>
    <row r="45" spans="16:24">
      <c r="P45" s="27"/>
      <c r="Q45" s="104" t="s">
        <v>650</v>
      </c>
      <c r="R45" s="64">
        <v>-9.7345132743362832</v>
      </c>
      <c r="S45" s="27"/>
      <c r="T45" s="27"/>
      <c r="U45" s="27"/>
      <c r="V45" s="27"/>
      <c r="W45" s="27"/>
      <c r="X45" s="27"/>
    </row>
    <row r="46" spans="16:24">
      <c r="P46" s="27"/>
      <c r="Q46" s="104" t="s">
        <v>669</v>
      </c>
      <c r="R46" s="64">
        <v>-13.71308016877637</v>
      </c>
      <c r="S46" s="27"/>
      <c r="T46" s="27"/>
      <c r="U46" s="27"/>
      <c r="V46" s="27"/>
      <c r="W46" s="27"/>
      <c r="X46" s="27"/>
    </row>
    <row r="47" spans="16:24">
      <c r="P47" s="27"/>
      <c r="Q47" s="104" t="s">
        <v>678</v>
      </c>
      <c r="R47" s="64">
        <v>-19.753086419753085</v>
      </c>
      <c r="S47" s="27"/>
      <c r="T47" s="27"/>
      <c r="U47" s="27"/>
      <c r="V47" s="27"/>
      <c r="W47" s="27"/>
      <c r="X47" s="27"/>
    </row>
    <row r="48" spans="16:24">
      <c r="P48" s="27"/>
      <c r="Q48" s="104" t="s">
        <v>687</v>
      </c>
      <c r="R48" s="64">
        <v>25.231481481481481</v>
      </c>
      <c r="S48" s="27"/>
      <c r="T48" s="27"/>
      <c r="U48" s="27"/>
      <c r="V48" s="27"/>
      <c r="W48" s="27"/>
      <c r="X48" s="27"/>
    </row>
    <row r="49" spans="16:24">
      <c r="P49" s="27"/>
      <c r="Q49" s="104" t="s">
        <v>696</v>
      </c>
      <c r="R49" s="64">
        <f t="shared" ref="R49:R60" si="0">((S6-R6)/R6)*100</f>
        <v>-25.129533678756477</v>
      </c>
      <c r="S49" s="27"/>
      <c r="T49" s="27"/>
      <c r="U49" s="27"/>
      <c r="V49" s="27"/>
      <c r="W49" s="27"/>
      <c r="X49" s="27"/>
    </row>
    <row r="50" spans="16:24">
      <c r="P50" s="27"/>
      <c r="Q50" s="104" t="s">
        <v>711</v>
      </c>
      <c r="R50" s="64">
        <f t="shared" si="0"/>
        <v>-23.440860215053764</v>
      </c>
      <c r="S50" s="27"/>
      <c r="T50" s="27"/>
      <c r="U50" s="27"/>
      <c r="V50" s="27"/>
      <c r="W50" s="27"/>
      <c r="X50" s="27"/>
    </row>
    <row r="51" spans="16:24">
      <c r="P51" s="27"/>
      <c r="Q51" s="104" t="s">
        <v>730</v>
      </c>
      <c r="R51" s="64">
        <f t="shared" si="0"/>
        <v>-5.7581573896353166</v>
      </c>
      <c r="S51" s="27"/>
      <c r="T51" s="27"/>
      <c r="U51" s="27"/>
      <c r="V51" s="27"/>
      <c r="W51" s="27"/>
      <c r="X51" s="27"/>
    </row>
    <row r="52" spans="16:24">
      <c r="P52" s="27"/>
      <c r="Q52" s="104" t="s">
        <v>739</v>
      </c>
      <c r="R52" s="64">
        <f t="shared" si="0"/>
        <v>-9.1254752851711025</v>
      </c>
      <c r="S52" s="27"/>
      <c r="T52" s="27"/>
      <c r="U52" s="27"/>
      <c r="V52" s="27"/>
      <c r="W52" s="27"/>
      <c r="X52" s="27"/>
    </row>
    <row r="53" spans="16:24">
      <c r="P53" s="27"/>
      <c r="Q53" s="104" t="s">
        <v>745</v>
      </c>
      <c r="R53" s="64">
        <f t="shared" si="0"/>
        <v>3.8696537678207736</v>
      </c>
      <c r="S53" s="27"/>
      <c r="T53" s="27"/>
      <c r="U53" s="27"/>
      <c r="V53" s="27"/>
      <c r="W53" s="27"/>
      <c r="X53" s="27"/>
    </row>
    <row r="54" spans="16:24">
      <c r="P54" s="27"/>
      <c r="Q54" s="104" t="s">
        <v>748</v>
      </c>
      <c r="R54" s="64">
        <f t="shared" si="0"/>
        <v>-1.1904761904761905</v>
      </c>
      <c r="S54" s="27"/>
      <c r="T54" s="27"/>
      <c r="U54" s="27"/>
      <c r="V54" s="27"/>
      <c r="W54" s="27"/>
      <c r="X54" s="27"/>
    </row>
    <row r="55" spans="16:24">
      <c r="P55" s="27"/>
      <c r="Q55" s="104" t="s">
        <v>1027</v>
      </c>
      <c r="R55" s="64">
        <f t="shared" si="0"/>
        <v>-22.260273972602739</v>
      </c>
      <c r="S55" s="27"/>
      <c r="T55" s="27"/>
      <c r="U55" s="27"/>
      <c r="V55" s="27"/>
      <c r="W55" s="27"/>
      <c r="X55" s="27"/>
    </row>
    <row r="56" spans="16:24">
      <c r="P56" s="27"/>
      <c r="Q56" s="104" t="s">
        <v>1035</v>
      </c>
      <c r="R56" s="64">
        <f t="shared" si="0"/>
        <v>7.8378378378378386</v>
      </c>
      <c r="S56" s="27"/>
      <c r="T56" s="27"/>
      <c r="U56" s="27"/>
      <c r="V56" s="27"/>
      <c r="W56" s="27"/>
      <c r="X56" s="27"/>
    </row>
    <row r="57" spans="16:24">
      <c r="P57" s="27"/>
      <c r="Q57" s="104" t="s">
        <v>1053</v>
      </c>
      <c r="R57" s="64">
        <f t="shared" si="0"/>
        <v>33.088235294117645</v>
      </c>
      <c r="S57" s="27"/>
      <c r="T57" s="27"/>
      <c r="U57" s="27"/>
      <c r="V57" s="27"/>
      <c r="W57" s="27"/>
      <c r="X57" s="27"/>
    </row>
    <row r="58" spans="16:24">
      <c r="P58" s="27"/>
      <c r="Q58" s="104" t="s">
        <v>1064</v>
      </c>
      <c r="R58" s="64">
        <f t="shared" si="0"/>
        <v>24.205378973105134</v>
      </c>
      <c r="S58" s="27"/>
      <c r="T58" s="27"/>
      <c r="U58" s="27"/>
      <c r="V58" s="27"/>
      <c r="W58" s="27"/>
      <c r="X58" s="27"/>
    </row>
    <row r="59" spans="16:24">
      <c r="P59" s="27"/>
      <c r="Q59" s="104" t="s">
        <v>1076</v>
      </c>
      <c r="R59" s="64">
        <f t="shared" si="0"/>
        <v>47.435897435897431</v>
      </c>
      <c r="S59" s="27"/>
      <c r="T59" s="27"/>
      <c r="U59" s="27"/>
      <c r="V59" s="27"/>
      <c r="W59" s="27"/>
      <c r="X59" s="27"/>
    </row>
    <row r="60" spans="16:24">
      <c r="P60" s="27"/>
      <c r="Q60" s="104" t="s">
        <v>1093</v>
      </c>
      <c r="R60" s="64">
        <f t="shared" si="0"/>
        <v>14.232902033271719</v>
      </c>
      <c r="S60" s="27"/>
      <c r="T60" s="27"/>
      <c r="U60" s="27"/>
      <c r="V60" s="27"/>
      <c r="W60" s="27"/>
      <c r="X60" s="27"/>
    </row>
    <row r="61" spans="16:24">
      <c r="P61" s="27"/>
      <c r="Q61" s="104" t="s">
        <v>1131</v>
      </c>
      <c r="R61" s="64">
        <f>((T6-S6)/S6)*100</f>
        <v>57.439446366782008</v>
      </c>
      <c r="S61" s="27"/>
      <c r="T61" s="27"/>
      <c r="U61" s="27"/>
      <c r="V61" s="27"/>
      <c r="W61" s="27"/>
      <c r="X61" s="27"/>
    </row>
    <row r="62" spans="16:24">
      <c r="P62" s="27"/>
      <c r="R62" s="64"/>
      <c r="S62" s="27"/>
      <c r="T62" s="27"/>
      <c r="U62" s="27"/>
      <c r="V62" s="27"/>
      <c r="W62" s="27"/>
      <c r="X62" s="27"/>
    </row>
    <row r="63" spans="16:24">
      <c r="P63" s="27"/>
      <c r="R63" s="64"/>
      <c r="S63" s="27"/>
      <c r="T63" s="27"/>
      <c r="U63" s="27"/>
      <c r="V63" s="27"/>
      <c r="W63" s="27"/>
      <c r="X63" s="27"/>
    </row>
    <row r="64" spans="16:24">
      <c r="P64" s="27"/>
      <c r="R64" s="64"/>
      <c r="S64" s="27"/>
      <c r="T64" s="27"/>
      <c r="U64" s="27"/>
      <c r="V64" s="27"/>
      <c r="W64" s="27"/>
      <c r="X64" s="27"/>
    </row>
    <row r="65" spans="1:24">
      <c r="P65" s="27"/>
      <c r="R65" s="64"/>
      <c r="S65" s="27"/>
      <c r="T65" s="27"/>
      <c r="U65" s="27"/>
      <c r="V65" s="27"/>
      <c r="W65" s="27"/>
      <c r="X65" s="27"/>
    </row>
    <row r="66" spans="1:24">
      <c r="P66" s="27"/>
      <c r="R66" s="64"/>
      <c r="S66" s="27"/>
      <c r="T66" s="27"/>
      <c r="U66" s="27"/>
      <c r="V66" s="27"/>
      <c r="W66" s="27"/>
      <c r="X66" s="27"/>
    </row>
    <row r="67" spans="1:24">
      <c r="P67" s="27"/>
      <c r="R67" s="64"/>
      <c r="S67" s="27"/>
      <c r="T67" s="27"/>
      <c r="U67" s="27"/>
      <c r="V67" s="27"/>
      <c r="W67" s="27"/>
      <c r="X67" s="27"/>
    </row>
    <row r="68" spans="1:24">
      <c r="A68" s="27" t="s">
        <v>716</v>
      </c>
      <c r="P68" s="27"/>
      <c r="R68" s="64"/>
      <c r="S68" s="27"/>
      <c r="T68" s="27"/>
      <c r="U68" s="27"/>
      <c r="V68" s="27"/>
      <c r="W68" s="27"/>
      <c r="X68" s="27"/>
    </row>
    <row r="69" spans="1:24">
      <c r="P69" s="27"/>
      <c r="R69" s="64"/>
      <c r="S69" s="27"/>
      <c r="T69" s="27"/>
      <c r="U69" s="27"/>
      <c r="V69" s="27"/>
      <c r="W69" s="27"/>
      <c r="X69" s="27"/>
    </row>
    <row r="70" spans="1:24">
      <c r="P70" s="27"/>
      <c r="R70" s="64"/>
      <c r="S70" s="27"/>
      <c r="T70" s="27"/>
      <c r="U70" s="27"/>
      <c r="V70" s="27"/>
      <c r="W70" s="27"/>
      <c r="X70" s="27"/>
    </row>
    <row r="71" spans="1:24">
      <c r="P71" s="27"/>
      <c r="R71" s="64"/>
      <c r="S71" s="27"/>
      <c r="T71" s="27"/>
      <c r="U71" s="27"/>
      <c r="V71" s="27"/>
      <c r="W71" s="27"/>
      <c r="X71" s="27"/>
    </row>
    <row r="72" spans="1:24">
      <c r="P72" s="27"/>
      <c r="R72" s="64"/>
      <c r="S72" s="27"/>
      <c r="T72" s="27"/>
      <c r="U72" s="27"/>
      <c r="V72" s="27"/>
      <c r="W72" s="27"/>
      <c r="X72" s="27"/>
    </row>
    <row r="73" spans="1:24">
      <c r="P73" s="27"/>
      <c r="Q73" s="27"/>
      <c r="R73" s="64"/>
      <c r="S73" s="27"/>
      <c r="T73" s="27"/>
      <c r="U73" s="27"/>
      <c r="V73" s="27"/>
      <c r="W73" s="27"/>
      <c r="X73" s="27"/>
    </row>
    <row r="74" spans="1:24">
      <c r="P74" s="104"/>
      <c r="Q74" s="27"/>
      <c r="R74" s="64"/>
      <c r="S74" s="27"/>
      <c r="T74" s="27"/>
      <c r="U74" s="27"/>
      <c r="V74" s="27"/>
      <c r="W74" s="27"/>
      <c r="X74" s="27"/>
    </row>
    <row r="75" spans="1:24">
      <c r="P75" s="104"/>
      <c r="Q75" s="27"/>
      <c r="R75" s="64"/>
      <c r="S75" s="27"/>
      <c r="T75" s="27"/>
      <c r="U75" s="27"/>
      <c r="V75" s="27"/>
      <c r="W75" s="27"/>
      <c r="X75" s="27"/>
    </row>
    <row r="76" spans="1:24">
      <c r="P76" s="104"/>
      <c r="Q76" s="27"/>
      <c r="R76" s="64"/>
      <c r="S76" s="27"/>
      <c r="T76" s="27"/>
      <c r="U76" s="27"/>
      <c r="V76" s="27"/>
      <c r="W76" s="27"/>
      <c r="X76" s="27"/>
    </row>
    <row r="77" spans="1:24">
      <c r="P77" s="104"/>
      <c r="Q77" s="27"/>
      <c r="R77" s="64"/>
      <c r="S77" s="27"/>
      <c r="T77" s="27"/>
      <c r="U77" s="27"/>
      <c r="V77" s="27"/>
      <c r="W77" s="27"/>
      <c r="X77" s="27"/>
    </row>
    <row r="78" spans="1:24">
      <c r="P78" s="104"/>
      <c r="Q78" s="27"/>
      <c r="R78" s="64"/>
      <c r="S78" s="27"/>
      <c r="T78" s="27"/>
      <c r="U78" s="27"/>
      <c r="V78" s="27"/>
      <c r="W78" s="27"/>
      <c r="X78" s="27"/>
    </row>
    <row r="79" spans="1:24">
      <c r="P79" s="104"/>
      <c r="Q79" s="27"/>
      <c r="R79" s="64"/>
      <c r="S79" s="27"/>
      <c r="T79" s="27"/>
      <c r="U79" s="27"/>
      <c r="V79" s="27"/>
      <c r="W79" s="27"/>
      <c r="X79" s="27"/>
    </row>
    <row r="80" spans="1:24">
      <c r="P80" s="104"/>
      <c r="Q80" s="27"/>
      <c r="R80" s="64"/>
      <c r="S80" s="27"/>
      <c r="T80" s="27"/>
      <c r="U80" s="27"/>
      <c r="V80" s="27"/>
      <c r="W80" s="27"/>
      <c r="X80" s="27"/>
    </row>
    <row r="81" spans="16:24">
      <c r="P81" s="104"/>
      <c r="Q81" s="27"/>
      <c r="R81" s="64"/>
      <c r="S81" s="27"/>
      <c r="T81" s="27"/>
      <c r="U81" s="27"/>
      <c r="V81" s="27"/>
      <c r="W81" s="27"/>
      <c r="X81" s="27"/>
    </row>
    <row r="82" spans="16:24">
      <c r="P82" s="16"/>
      <c r="R82" s="9"/>
    </row>
    <row r="83" spans="16:24">
      <c r="P83" s="16"/>
      <c r="R83" s="9"/>
    </row>
    <row r="84" spans="16:24">
      <c r="P84" s="16"/>
      <c r="R84" s="9"/>
    </row>
    <row r="85" spans="16:24">
      <c r="P85" s="16"/>
      <c r="Q85"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A17" sqref="A17"/>
    </sheetView>
  </sheetViews>
  <sheetFormatPr baseColWidth="10" defaultColWidth="8.83203125" defaultRowHeight="15"/>
  <cols>
    <col min="1" max="1" width="21.33203125" customWidth="1"/>
    <col min="2" max="9" width="10.33203125" customWidth="1"/>
  </cols>
  <sheetData>
    <row r="2" spans="1:10" ht="19.25" customHeight="1" thickBot="1">
      <c r="B2" s="61" t="s">
        <v>500</v>
      </c>
      <c r="C2" s="61"/>
      <c r="D2" s="61"/>
      <c r="E2" s="61"/>
      <c r="F2" s="61"/>
      <c r="G2" s="61"/>
    </row>
    <row r="4" spans="1:10">
      <c r="A4" s="8" t="s">
        <v>599</v>
      </c>
      <c r="B4" s="27"/>
      <c r="C4" s="27"/>
      <c r="D4" s="27"/>
      <c r="E4" s="287" t="s">
        <v>483</v>
      </c>
      <c r="F4" s="287"/>
      <c r="G4" s="287"/>
      <c r="H4" s="287"/>
      <c r="I4" s="287"/>
      <c r="J4" s="27"/>
    </row>
    <row r="5" spans="1:10">
      <c r="A5" s="119"/>
      <c r="B5" s="119" t="s">
        <v>571</v>
      </c>
      <c r="C5" s="119"/>
      <c r="D5" s="119" t="s">
        <v>571</v>
      </c>
      <c r="E5" s="119"/>
      <c r="F5" s="119" t="s">
        <v>572</v>
      </c>
      <c r="G5" s="119"/>
      <c r="H5" s="119" t="s">
        <v>573</v>
      </c>
      <c r="I5" s="119"/>
      <c r="J5" s="27"/>
    </row>
    <row r="6" spans="1:10">
      <c r="A6" s="119" t="s">
        <v>494</v>
      </c>
      <c r="B6" s="119" t="str">
        <f>Innehåll!D79</f>
        <v xml:space="preserve"> 2023-01</v>
      </c>
      <c r="C6" s="119" t="str">
        <f>Innehåll!D80</f>
        <v xml:space="preserve"> 2022-01</v>
      </c>
      <c r="D6" s="119" t="str">
        <f>Innehåll!D81</f>
        <v>YTD  2023</v>
      </c>
      <c r="E6" s="119" t="str">
        <f>Innehåll!D82</f>
        <v>YTD  2022</v>
      </c>
      <c r="F6" s="119" t="str">
        <f>B6</f>
        <v xml:space="preserve"> 2023-01</v>
      </c>
      <c r="G6" s="119" t="str">
        <f>D6</f>
        <v>YTD  2023</v>
      </c>
      <c r="H6" s="119" t="str">
        <f>D6</f>
        <v>YTD  2023</v>
      </c>
      <c r="I6" s="119"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319</v>
      </c>
      <c r="B8" s="67">
        <v>11</v>
      </c>
      <c r="C8" s="67">
        <v>4</v>
      </c>
      <c r="D8" s="67">
        <v>11</v>
      </c>
      <c r="E8" s="67">
        <v>4</v>
      </c>
      <c r="F8" s="27">
        <v>175</v>
      </c>
      <c r="G8" s="27">
        <v>175</v>
      </c>
      <c r="H8" s="27">
        <v>2.4</v>
      </c>
      <c r="I8" s="27">
        <v>1.4</v>
      </c>
      <c r="J8" s="27"/>
    </row>
    <row r="9" spans="1:10">
      <c r="A9" s="27" t="s">
        <v>290</v>
      </c>
      <c r="B9" s="67">
        <v>10</v>
      </c>
      <c r="C9" s="67">
        <v>6</v>
      </c>
      <c r="D9" s="67">
        <v>10</v>
      </c>
      <c r="E9" s="67">
        <v>6</v>
      </c>
      <c r="F9" s="27">
        <v>66.7</v>
      </c>
      <c r="G9" s="27">
        <v>66.7</v>
      </c>
      <c r="H9" s="27">
        <v>2.2000000000000002</v>
      </c>
      <c r="I9" s="27">
        <v>2.1</v>
      </c>
      <c r="J9" s="27"/>
    </row>
    <row r="10" spans="1:10">
      <c r="A10" s="27" t="s">
        <v>501</v>
      </c>
      <c r="B10" s="67">
        <v>39</v>
      </c>
      <c r="C10" s="67">
        <v>15</v>
      </c>
      <c r="D10" s="67">
        <v>39</v>
      </c>
      <c r="E10" s="67">
        <v>15</v>
      </c>
      <c r="F10" s="27">
        <v>160</v>
      </c>
      <c r="G10" s="27">
        <v>160</v>
      </c>
      <c r="H10" s="27">
        <v>8.6</v>
      </c>
      <c r="I10" s="27">
        <v>5.2</v>
      </c>
      <c r="J10" s="27"/>
    </row>
    <row r="11" spans="1:10">
      <c r="A11" s="27" t="s">
        <v>502</v>
      </c>
      <c r="B11" s="67">
        <v>189</v>
      </c>
      <c r="C11" s="67">
        <v>112</v>
      </c>
      <c r="D11" s="67">
        <v>189</v>
      </c>
      <c r="E11" s="67">
        <v>112</v>
      </c>
      <c r="F11" s="27">
        <v>68.8</v>
      </c>
      <c r="G11" s="27">
        <v>68.8</v>
      </c>
      <c r="H11" s="27">
        <v>41.5</v>
      </c>
      <c r="I11" s="27">
        <v>38.799999999999997</v>
      </c>
      <c r="J11" s="27"/>
    </row>
    <row r="12" spans="1:10">
      <c r="A12" s="27" t="s">
        <v>308</v>
      </c>
      <c r="B12" s="67">
        <v>206</v>
      </c>
      <c r="C12" s="67">
        <v>148</v>
      </c>
      <c r="D12" s="67">
        <v>206</v>
      </c>
      <c r="E12" s="67">
        <v>148</v>
      </c>
      <c r="F12" s="27">
        <v>39.200000000000003</v>
      </c>
      <c r="G12" s="27">
        <v>39.200000000000003</v>
      </c>
      <c r="H12" s="27">
        <v>45.3</v>
      </c>
      <c r="I12" s="27">
        <v>51.2</v>
      </c>
      <c r="J12" s="27"/>
    </row>
    <row r="13" spans="1:10">
      <c r="A13" s="27" t="s">
        <v>309</v>
      </c>
      <c r="B13" s="67">
        <v>0</v>
      </c>
      <c r="C13" s="67">
        <v>4</v>
      </c>
      <c r="D13" s="67">
        <v>0</v>
      </c>
      <c r="E13" s="67">
        <v>4</v>
      </c>
      <c r="F13" s="27">
        <v>-100</v>
      </c>
      <c r="G13" s="27">
        <v>-100</v>
      </c>
      <c r="H13" s="27">
        <v>0</v>
      </c>
      <c r="I13" s="27">
        <v>1.4</v>
      </c>
      <c r="J13" s="27"/>
    </row>
    <row r="14" spans="1:10">
      <c r="A14" s="173" t="s">
        <v>485</v>
      </c>
      <c r="B14" s="174">
        <f>SUBTOTAL(109,Table_ExternalData_1[antalPerioden])</f>
        <v>455</v>
      </c>
      <c r="C14" s="174">
        <f>SUBTOTAL(109,Table_ExternalData_1[antalPeriodenFG])</f>
        <v>289</v>
      </c>
      <c r="D14" s="174">
        <f>SUBTOTAL(109,Table_ExternalData_1[antalAret])</f>
        <v>455</v>
      </c>
      <c r="E14" s="174">
        <f>SUBTOTAL(109,Table_ExternalData_1[antalAretFG])</f>
        <v>289</v>
      </c>
      <c r="F14" s="175">
        <f>IF(Table_ExternalData_1[[#Totals],[antalPeriodenFG]] &gt; 0,( Table_ExternalData_1[[#Totals],[antalPerioden]] - Table_ExternalData_1[[#Totals],[antalPeriodenFG]] ) / Table_ExternalData_1[[#Totals],[antalPeriodenFG]] * 100,0)</f>
        <v>57.439446366782008</v>
      </c>
      <c r="G14" s="175">
        <f>IF(Table_ExternalData_1[[#Totals],[antalAretFG]] &gt; 0,( Table_ExternalData_1[[#Totals],[antalAret]] - Table_ExternalData_1[[#Totals],[antalAretFG]] ) / Table_ExternalData_1[[#Totals],[antalAretFG]] * 100,0)</f>
        <v>57.439446366782008</v>
      </c>
      <c r="H14" s="177" t="str">
        <f>TEXT(100,"0,0")</f>
        <v>100,0</v>
      </c>
      <c r="I14" s="177" t="str">
        <f>TEXT(100,"0,0")</f>
        <v>100,0</v>
      </c>
      <c r="J14" s="27"/>
    </row>
    <row r="15" spans="1:10" s="6" customFormat="1">
      <c r="A15" s="173"/>
      <c r="B15" s="174"/>
      <c r="C15" s="174"/>
      <c r="D15" s="174"/>
      <c r="E15" s="174"/>
      <c r="F15" s="175"/>
      <c r="G15" s="175"/>
      <c r="H15" s="177"/>
      <c r="I15" s="177"/>
      <c r="J15" s="43"/>
    </row>
    <row r="16" spans="1:10">
      <c r="A16" s="27"/>
      <c r="B16" s="67"/>
      <c r="C16" s="67"/>
      <c r="D16" s="67"/>
      <c r="E16" s="67"/>
      <c r="F16" s="64"/>
      <c r="G16" s="64"/>
      <c r="H16" s="27"/>
      <c r="I16" s="27"/>
      <c r="J16" s="27"/>
    </row>
    <row r="17" spans="1:10">
      <c r="A17" s="27" t="s">
        <v>716</v>
      </c>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B20" s="67"/>
      <c r="C20" s="27"/>
      <c r="D20" s="67"/>
      <c r="E20" s="27"/>
      <c r="F20" s="27"/>
      <c r="G20" s="27"/>
      <c r="H20" s="27"/>
      <c r="I20" s="27"/>
      <c r="J20" s="27"/>
    </row>
    <row r="21" spans="1:10">
      <c r="A21" s="27"/>
      <c r="B21" s="27"/>
      <c r="C21" s="27"/>
      <c r="D21" s="27"/>
      <c r="E21" s="27"/>
      <c r="F21" s="27"/>
      <c r="G21" s="27"/>
      <c r="H21" s="27"/>
      <c r="I21" s="27"/>
      <c r="J21" s="27"/>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M41" sqref="M41"/>
    </sheetView>
  </sheetViews>
  <sheetFormatPr baseColWidth="10" defaultColWidth="8.83203125" defaultRowHeight="15"/>
  <cols>
    <col min="1" max="1" width="18.33203125" customWidth="1"/>
    <col min="2" max="9" width="10.33203125" customWidth="1"/>
  </cols>
  <sheetData>
    <row r="2" spans="1:9" ht="19.25" customHeight="1" thickBot="1">
      <c r="C2" s="61" t="s">
        <v>600</v>
      </c>
      <c r="D2" s="61"/>
      <c r="E2" s="61"/>
      <c r="F2" s="61"/>
    </row>
    <row r="4" spans="1:9">
      <c r="A4" s="8" t="s">
        <v>482</v>
      </c>
      <c r="B4" s="27"/>
      <c r="C4" s="27"/>
      <c r="D4" s="27"/>
      <c r="E4" s="287" t="s">
        <v>483</v>
      </c>
      <c r="F4" s="287"/>
      <c r="G4" s="287"/>
      <c r="H4" s="287"/>
      <c r="I4" s="287"/>
    </row>
    <row r="5" spans="1:9">
      <c r="A5" s="119"/>
      <c r="B5" s="290" t="s">
        <v>571</v>
      </c>
      <c r="C5" s="291"/>
      <c r="D5" s="290" t="s">
        <v>571</v>
      </c>
      <c r="E5" s="291"/>
      <c r="F5" s="303" t="s">
        <v>572</v>
      </c>
      <c r="G5" s="304"/>
      <c r="H5" s="288" t="s">
        <v>573</v>
      </c>
      <c r="I5" s="289"/>
    </row>
    <row r="6" spans="1:9">
      <c r="A6" s="119" t="s">
        <v>494</v>
      </c>
      <c r="B6" s="133" t="str">
        <f>Innehåll!D79</f>
        <v xml:space="preserve"> 2023-01</v>
      </c>
      <c r="C6" s="133" t="str">
        <f>Innehåll!D80</f>
        <v xml:space="preserve"> 2022-01</v>
      </c>
      <c r="D6" s="133" t="str">
        <f>Innehåll!D81</f>
        <v>YTD  2023</v>
      </c>
      <c r="E6" s="133" t="str">
        <f>Innehåll!D82</f>
        <v>YTD  2022</v>
      </c>
      <c r="F6" s="156" t="str">
        <f>B6</f>
        <v xml:space="preserve"> 2023-01</v>
      </c>
      <c r="G6" s="134" t="str">
        <f>D6</f>
        <v>YTD  2023</v>
      </c>
      <c r="H6" s="133" t="str">
        <f>D6</f>
        <v>YTD  2023</v>
      </c>
      <c r="I6" s="157" t="str">
        <f>E6</f>
        <v>YTD  2022</v>
      </c>
    </row>
    <row r="7" spans="1:9" ht="15" hidden="1" customHeight="1">
      <c r="A7" s="27"/>
      <c r="B7" s="27"/>
      <c r="C7" s="27"/>
      <c r="D7" s="27"/>
      <c r="E7" s="27"/>
      <c r="F7" s="27"/>
      <c r="G7" s="27"/>
      <c r="H7" s="27"/>
      <c r="I7" s="27"/>
    </row>
    <row r="8" spans="1:9" ht="15" hidden="1" customHeight="1">
      <c r="A8" s="27" t="s">
        <v>255</v>
      </c>
      <c r="B8" s="27" t="s">
        <v>35</v>
      </c>
      <c r="C8" s="27" t="s">
        <v>313</v>
      </c>
      <c r="D8" s="27" t="s">
        <v>314</v>
      </c>
      <c r="E8" s="27" t="s">
        <v>315</v>
      </c>
      <c r="F8" s="27" t="s">
        <v>316</v>
      </c>
      <c r="G8" s="27" t="s">
        <v>40</v>
      </c>
      <c r="H8" s="27" t="s">
        <v>317</v>
      </c>
      <c r="I8" s="27" t="s">
        <v>318</v>
      </c>
    </row>
    <row r="9" spans="1:9">
      <c r="A9" s="27" t="s">
        <v>501</v>
      </c>
      <c r="B9" s="67">
        <v>22</v>
      </c>
      <c r="C9" s="67">
        <v>8</v>
      </c>
      <c r="D9" s="67">
        <v>22</v>
      </c>
      <c r="E9" s="67">
        <v>8</v>
      </c>
      <c r="F9" s="64">
        <v>175</v>
      </c>
      <c r="G9" s="64">
        <v>175</v>
      </c>
      <c r="H9" s="64">
        <v>45.8</v>
      </c>
      <c r="I9" s="64">
        <v>13.3</v>
      </c>
    </row>
    <row r="10" spans="1:9">
      <c r="A10" s="27" t="s">
        <v>506</v>
      </c>
      <c r="B10" s="67">
        <v>9</v>
      </c>
      <c r="C10" s="67">
        <v>0</v>
      </c>
      <c r="D10" s="67">
        <v>9</v>
      </c>
      <c r="E10" s="67">
        <v>0</v>
      </c>
      <c r="F10" s="64">
        <v>0</v>
      </c>
      <c r="G10" s="64">
        <v>0</v>
      </c>
      <c r="H10" s="64">
        <v>18.8</v>
      </c>
      <c r="I10" s="64">
        <v>0</v>
      </c>
    </row>
    <row r="11" spans="1:9">
      <c r="A11" s="27" t="s">
        <v>290</v>
      </c>
      <c r="B11" s="67">
        <v>5</v>
      </c>
      <c r="C11" s="67">
        <v>4</v>
      </c>
      <c r="D11" s="67">
        <v>5</v>
      </c>
      <c r="E11" s="67">
        <v>4</v>
      </c>
      <c r="F11" s="64">
        <v>25</v>
      </c>
      <c r="G11" s="64">
        <v>25</v>
      </c>
      <c r="H11" s="64">
        <v>10.4</v>
      </c>
      <c r="I11" s="64">
        <v>6.7</v>
      </c>
    </row>
    <row r="12" spans="1:9">
      <c r="A12" s="27" t="s">
        <v>280</v>
      </c>
      <c r="B12" s="67">
        <v>4</v>
      </c>
      <c r="C12" s="67">
        <v>0</v>
      </c>
      <c r="D12" s="67">
        <v>4</v>
      </c>
      <c r="E12" s="67">
        <v>0</v>
      </c>
      <c r="F12" s="64">
        <v>0</v>
      </c>
      <c r="G12" s="64">
        <v>0</v>
      </c>
      <c r="H12" s="64">
        <v>8.3000000000000007</v>
      </c>
      <c r="I12" s="64">
        <v>0</v>
      </c>
    </row>
    <row r="13" spans="1:9">
      <c r="A13" s="27" t="s">
        <v>308</v>
      </c>
      <c r="B13" s="67">
        <v>4</v>
      </c>
      <c r="C13" s="67">
        <v>2</v>
      </c>
      <c r="D13" s="67">
        <v>4</v>
      </c>
      <c r="E13" s="67">
        <v>2</v>
      </c>
      <c r="F13" s="64">
        <v>100</v>
      </c>
      <c r="G13" s="64">
        <v>100</v>
      </c>
      <c r="H13" s="64">
        <v>8.3000000000000007</v>
      </c>
      <c r="I13" s="64">
        <v>3.3</v>
      </c>
    </row>
    <row r="14" spans="1:9">
      <c r="A14" s="27" t="s">
        <v>283</v>
      </c>
      <c r="B14" s="67">
        <v>2</v>
      </c>
      <c r="C14" s="67">
        <v>4</v>
      </c>
      <c r="D14" s="67">
        <v>2</v>
      </c>
      <c r="E14" s="67">
        <v>4</v>
      </c>
      <c r="F14" s="64">
        <v>-50</v>
      </c>
      <c r="G14" s="64">
        <v>-50</v>
      </c>
      <c r="H14" s="64">
        <v>4.2</v>
      </c>
      <c r="I14" s="64">
        <v>6.7</v>
      </c>
    </row>
    <row r="15" spans="1:9">
      <c r="A15" s="27" t="s">
        <v>747</v>
      </c>
      <c r="B15" s="67">
        <v>1</v>
      </c>
      <c r="C15" s="67">
        <v>0</v>
      </c>
      <c r="D15" s="67">
        <v>1</v>
      </c>
      <c r="E15" s="67">
        <v>0</v>
      </c>
      <c r="F15" s="64">
        <v>0</v>
      </c>
      <c r="G15" s="64">
        <v>0</v>
      </c>
      <c r="H15" s="64">
        <v>2.1</v>
      </c>
      <c r="I15" s="64">
        <v>0</v>
      </c>
    </row>
    <row r="16" spans="1:9">
      <c r="A16" s="27" t="s">
        <v>502</v>
      </c>
      <c r="B16" s="67">
        <v>0</v>
      </c>
      <c r="C16" s="67">
        <v>33</v>
      </c>
      <c r="D16" s="67">
        <v>0</v>
      </c>
      <c r="E16" s="67">
        <v>33</v>
      </c>
      <c r="F16" s="64">
        <v>-100</v>
      </c>
      <c r="G16" s="64">
        <v>-100</v>
      </c>
      <c r="H16" s="64">
        <v>0</v>
      </c>
      <c r="I16" s="64">
        <v>55</v>
      </c>
    </row>
    <row r="17" spans="1:9">
      <c r="A17" s="27" t="s">
        <v>309</v>
      </c>
      <c r="B17" s="67">
        <v>1</v>
      </c>
      <c r="C17" s="67">
        <v>9</v>
      </c>
      <c r="D17" s="67">
        <v>1</v>
      </c>
      <c r="E17" s="67">
        <v>9</v>
      </c>
      <c r="F17" s="64">
        <v>-88.9</v>
      </c>
      <c r="G17" s="64">
        <v>-88.9</v>
      </c>
      <c r="H17" s="64">
        <v>2.1</v>
      </c>
      <c r="I17" s="64">
        <v>15</v>
      </c>
    </row>
    <row r="18" spans="1:9">
      <c r="A18" s="173" t="s">
        <v>379</v>
      </c>
      <c r="B18" s="174">
        <f>SUBTOTAL(109,getAggBussAll[antalPerioden])</f>
        <v>48</v>
      </c>
      <c r="C18" s="174">
        <f>SUBTOTAL(109,getAggBussAll[antalPeriodenFG])</f>
        <v>60</v>
      </c>
      <c r="D18" s="174">
        <f>SUBTOTAL(109,getAggBussAll[antalAret])</f>
        <v>48</v>
      </c>
      <c r="E18" s="174">
        <f>SUBTOTAL(109,getAggBussAll[antalAretFG])</f>
        <v>60</v>
      </c>
      <c r="F18" s="175">
        <f>IF(getAggBussAll[[#Totals],[antalPeriodenFG]] &gt; 0,( getAggBussAll[[#Totals],[antalPerioden]] - getAggBussAll[[#Totals],[antalPeriodenFG]] ) / getAggBussAll[[#Totals],[antalPeriodenFG]] * 100,0)</f>
        <v>-20</v>
      </c>
      <c r="G18" s="175">
        <f>IF(getAggBussAll[[#Totals],[antalAretFG]] &gt; 0,( getAggBussAll[[#Totals],[antalAret]] - getAggBussAll[[#Totals],[antalAretFG]] ) / getAggBussAll[[#Totals],[antalAretFG]] * 100,0)</f>
        <v>-20</v>
      </c>
      <c r="H18" s="179" t="str">
        <f>TEXT(100,"0,0")</f>
        <v>100,0</v>
      </c>
      <c r="I18" s="179" t="str">
        <f>TEXT(100,"0,0")</f>
        <v>100,0</v>
      </c>
    </row>
    <row r="19" spans="1:9">
      <c r="A19" s="173"/>
      <c r="B19" s="174"/>
      <c r="C19" s="174"/>
      <c r="D19" s="174"/>
      <c r="E19" s="174"/>
      <c r="F19" s="175"/>
      <c r="G19" s="175"/>
      <c r="H19" s="179"/>
      <c r="I19" s="179"/>
    </row>
    <row r="20" spans="1:9">
      <c r="A20" s="173"/>
      <c r="B20" s="174"/>
      <c r="C20" s="174"/>
      <c r="D20" s="174"/>
      <c r="E20" s="174"/>
      <c r="F20" s="175"/>
      <c r="G20" s="175"/>
      <c r="H20" s="175"/>
      <c r="I20" s="175"/>
    </row>
    <row r="21" spans="1:9">
      <c r="A21" s="173"/>
      <c r="B21" s="174"/>
      <c r="C21" s="174"/>
      <c r="D21" s="174"/>
      <c r="E21" s="174"/>
      <c r="F21" s="175"/>
      <c r="G21" s="175"/>
      <c r="H21" s="175"/>
      <c r="I21" s="175"/>
    </row>
    <row r="22" spans="1:9">
      <c r="A22" s="173"/>
      <c r="B22" s="174"/>
      <c r="C22" s="174"/>
      <c r="D22" s="174"/>
      <c r="E22" s="174"/>
      <c r="F22" s="175"/>
      <c r="G22" s="175"/>
      <c r="H22" s="175"/>
      <c r="I22" s="175"/>
    </row>
    <row r="23" spans="1:9">
      <c r="A23" s="173"/>
      <c r="B23" s="174"/>
      <c r="C23" s="174"/>
      <c r="D23" s="174"/>
      <c r="E23" s="174"/>
      <c r="F23" s="175"/>
      <c r="G23" s="175"/>
      <c r="H23" s="175"/>
      <c r="I23" s="175"/>
    </row>
    <row r="24" spans="1:9">
      <c r="A24" s="27"/>
      <c r="B24" s="67"/>
      <c r="C24" s="67"/>
      <c r="D24" s="67"/>
      <c r="E24" s="67"/>
      <c r="F24" s="64"/>
      <c r="G24" s="64"/>
      <c r="H24" s="107"/>
      <c r="I24" s="107"/>
    </row>
    <row r="25" spans="1:9">
      <c r="A25" s="27"/>
      <c r="B25" s="67"/>
      <c r="C25" s="67"/>
      <c r="D25" s="67"/>
      <c r="E25" s="67"/>
      <c r="F25" s="64"/>
      <c r="G25" s="64"/>
      <c r="H25" s="107"/>
      <c r="I25" s="107"/>
    </row>
    <row r="26" spans="1:9" ht="19.25" customHeight="1" thickBot="1">
      <c r="A26" s="27"/>
      <c r="B26" s="27"/>
      <c r="C26" s="61" t="s">
        <v>601</v>
      </c>
      <c r="D26" s="61"/>
      <c r="E26" s="61"/>
      <c r="F26" s="61"/>
      <c r="G26" s="27"/>
      <c r="H26" s="27"/>
      <c r="I26" s="27"/>
    </row>
    <row r="27" spans="1:9">
      <c r="A27" s="27"/>
      <c r="B27" s="27"/>
      <c r="C27" s="27"/>
      <c r="D27" s="27"/>
      <c r="E27" s="27"/>
      <c r="F27" s="27"/>
      <c r="G27" s="27"/>
      <c r="H27" s="27"/>
      <c r="I27" s="27"/>
    </row>
    <row r="28" spans="1:9" s="6" customFormat="1">
      <c r="A28" s="8" t="s">
        <v>482</v>
      </c>
      <c r="B28" s="27"/>
      <c r="C28" s="27"/>
      <c r="D28" s="27"/>
      <c r="E28" s="287" t="s">
        <v>483</v>
      </c>
      <c r="F28" s="287"/>
      <c r="G28" s="287"/>
      <c r="H28" s="287"/>
      <c r="I28" s="287"/>
    </row>
    <row r="29" spans="1:9">
      <c r="A29" s="119"/>
      <c r="B29" s="119" t="s">
        <v>571</v>
      </c>
      <c r="C29" s="119"/>
      <c r="D29" s="119" t="s">
        <v>571</v>
      </c>
      <c r="E29" s="119"/>
      <c r="F29" s="119" t="s">
        <v>572</v>
      </c>
      <c r="G29" s="119"/>
      <c r="H29" s="119" t="s">
        <v>573</v>
      </c>
      <c r="I29" s="119"/>
    </row>
    <row r="30" spans="1:9">
      <c r="A30" s="119" t="s">
        <v>494</v>
      </c>
      <c r="B30" s="119" t="str">
        <f>Innehåll!D79</f>
        <v xml:space="preserve"> 2023-01</v>
      </c>
      <c r="C30" s="119" t="str">
        <f>Innehåll!D80</f>
        <v xml:space="preserve"> 2022-01</v>
      </c>
      <c r="D30" s="119" t="str">
        <f>Innehåll!D81</f>
        <v>YTD  2023</v>
      </c>
      <c r="E30" s="119" t="str">
        <f>Innehåll!D82</f>
        <v>YTD  2022</v>
      </c>
      <c r="F30" s="119" t="str">
        <f>B30</f>
        <v xml:space="preserve"> 2023-01</v>
      </c>
      <c r="G30" s="119" t="str">
        <f>D30</f>
        <v>YTD  2023</v>
      </c>
      <c r="H30" s="119" t="str">
        <f>D30</f>
        <v>YTD  2023</v>
      </c>
      <c r="I30" s="119" t="str">
        <f>E30</f>
        <v>YTD  2022</v>
      </c>
    </row>
    <row r="31" spans="1:9" ht="15" hidden="1" customHeight="1">
      <c r="A31" s="27" t="s">
        <v>255</v>
      </c>
      <c r="B31" s="27" t="s">
        <v>35</v>
      </c>
      <c r="C31" s="27" t="s">
        <v>313</v>
      </c>
      <c r="D31" s="27" t="s">
        <v>314</v>
      </c>
      <c r="E31" s="27" t="s">
        <v>315</v>
      </c>
      <c r="F31" s="27" t="s">
        <v>316</v>
      </c>
      <c r="G31" s="27" t="s">
        <v>40</v>
      </c>
      <c r="H31" s="27" t="s">
        <v>317</v>
      </c>
      <c r="I31" s="27" t="s">
        <v>318</v>
      </c>
    </row>
    <row r="32" spans="1:9">
      <c r="A32" s="27" t="s">
        <v>501</v>
      </c>
      <c r="B32" s="67">
        <v>13</v>
      </c>
      <c r="C32" s="67">
        <v>1</v>
      </c>
      <c r="D32" s="67">
        <v>13</v>
      </c>
      <c r="E32" s="67">
        <v>1</v>
      </c>
      <c r="F32" s="64">
        <v>1200</v>
      </c>
      <c r="G32" s="64">
        <v>1200</v>
      </c>
      <c r="H32" s="64">
        <v>38.200000000000003</v>
      </c>
      <c r="I32" s="64">
        <v>2.1</v>
      </c>
    </row>
    <row r="33" spans="1:9">
      <c r="A33" s="27" t="s">
        <v>506</v>
      </c>
      <c r="B33" s="67">
        <v>9</v>
      </c>
      <c r="C33" s="67">
        <v>0</v>
      </c>
      <c r="D33" s="67">
        <v>9</v>
      </c>
      <c r="E33" s="67">
        <v>0</v>
      </c>
      <c r="F33" s="64">
        <v>0</v>
      </c>
      <c r="G33" s="64">
        <v>0</v>
      </c>
      <c r="H33" s="64">
        <v>26.5</v>
      </c>
      <c r="I33" s="64">
        <v>0</v>
      </c>
    </row>
    <row r="34" spans="1:9">
      <c r="A34" s="27" t="s">
        <v>290</v>
      </c>
      <c r="B34" s="67">
        <v>5</v>
      </c>
      <c r="C34" s="67">
        <v>2</v>
      </c>
      <c r="D34" s="67">
        <v>5</v>
      </c>
      <c r="E34" s="67">
        <v>2</v>
      </c>
      <c r="F34" s="64">
        <v>150</v>
      </c>
      <c r="G34" s="64">
        <v>150</v>
      </c>
      <c r="H34" s="64">
        <v>14.7</v>
      </c>
      <c r="I34" s="64">
        <v>4.3</v>
      </c>
    </row>
    <row r="35" spans="1:9">
      <c r="A35" s="27" t="s">
        <v>308</v>
      </c>
      <c r="B35" s="67">
        <v>4</v>
      </c>
      <c r="C35" s="67">
        <v>2</v>
      </c>
      <c r="D35" s="67">
        <v>4</v>
      </c>
      <c r="E35" s="67">
        <v>2</v>
      </c>
      <c r="F35" s="64">
        <v>100</v>
      </c>
      <c r="G35" s="64">
        <v>100</v>
      </c>
      <c r="H35" s="64">
        <v>11.8</v>
      </c>
      <c r="I35" s="64">
        <v>4.3</v>
      </c>
    </row>
    <row r="36" spans="1:9" ht="15" customHeight="1">
      <c r="A36" s="27" t="s">
        <v>283</v>
      </c>
      <c r="B36" s="67">
        <v>1</v>
      </c>
      <c r="C36" s="67">
        <v>0</v>
      </c>
      <c r="D36" s="67">
        <v>1</v>
      </c>
      <c r="E36" s="67">
        <v>0</v>
      </c>
      <c r="F36" s="64">
        <v>0</v>
      </c>
      <c r="G36" s="64">
        <v>0</v>
      </c>
      <c r="H36" s="64">
        <v>2.9</v>
      </c>
      <c r="I36" s="64">
        <v>0</v>
      </c>
    </row>
    <row r="37" spans="1:9">
      <c r="A37" s="27" t="s">
        <v>747</v>
      </c>
      <c r="B37" s="67">
        <v>1</v>
      </c>
      <c r="C37" s="67">
        <v>0</v>
      </c>
      <c r="D37" s="67">
        <v>1</v>
      </c>
      <c r="E37" s="67">
        <v>0</v>
      </c>
      <c r="F37" s="64">
        <v>0</v>
      </c>
      <c r="G37" s="64">
        <v>0</v>
      </c>
      <c r="H37" s="64">
        <v>2.9</v>
      </c>
      <c r="I37" s="64">
        <v>0</v>
      </c>
    </row>
    <row r="38" spans="1:9">
      <c r="A38" s="27" t="s">
        <v>502</v>
      </c>
      <c r="B38" s="67">
        <v>0</v>
      </c>
      <c r="C38" s="67">
        <v>33</v>
      </c>
      <c r="D38" s="67">
        <v>0</v>
      </c>
      <c r="E38" s="67">
        <v>33</v>
      </c>
      <c r="F38" s="64">
        <v>-100</v>
      </c>
      <c r="G38" s="64">
        <v>-100</v>
      </c>
      <c r="H38" s="64">
        <v>0</v>
      </c>
      <c r="I38" s="64">
        <v>70.2</v>
      </c>
    </row>
    <row r="39" spans="1:9">
      <c r="A39" s="173" t="s">
        <v>309</v>
      </c>
      <c r="B39" s="174">
        <v>1</v>
      </c>
      <c r="C39" s="174">
        <v>9</v>
      </c>
      <c r="D39" s="174">
        <v>1</v>
      </c>
      <c r="E39" s="174">
        <v>9</v>
      </c>
      <c r="F39" s="175">
        <v>-88.9</v>
      </c>
      <c r="G39" s="175">
        <v>-88.9</v>
      </c>
      <c r="H39" s="175">
        <v>2.9</v>
      </c>
      <c r="I39" s="175">
        <v>19.100000000000001</v>
      </c>
    </row>
    <row r="40" spans="1:9">
      <c r="A40" s="173" t="s">
        <v>379</v>
      </c>
      <c r="B40" s="174">
        <f>SUBTOTAL(109,getAggBuss[antalPerioden])</f>
        <v>34</v>
      </c>
      <c r="C40" s="174">
        <f>SUBTOTAL(109,getAggBuss[antalPeriodenFG])</f>
        <v>47</v>
      </c>
      <c r="D40" s="174">
        <f>SUBTOTAL(109,getAggBuss[antalAret])</f>
        <v>34</v>
      </c>
      <c r="E40" s="174">
        <f>SUBTOTAL(109,getAggBuss[antalAretFG])</f>
        <v>47</v>
      </c>
      <c r="F40" s="175">
        <f>IF(getAggBuss[[#Totals],[antalPeriodenFG]] &gt; 0,( getAggBuss[[#Totals],[antalPerioden]] - getAggBuss[[#Totals],[antalPeriodenFG]] ) / getAggBuss[[#Totals],[antalPeriodenFG]] * 100,0)</f>
        <v>-27.659574468085108</v>
      </c>
      <c r="G40" s="175">
        <f>IF(getAggBuss[[#Totals],[antalAretFG]] &gt; 0,( getAggBuss[[#Totals],[antalAret]] - getAggBuss[[#Totals],[antalAretFG]] ) / getAggBuss[[#Totals],[antalAretFG]] * 100,0)</f>
        <v>-27.659574468085108</v>
      </c>
      <c r="H40" s="179" t="str">
        <f>TEXT(100,"0,0")</f>
        <v>100,0</v>
      </c>
      <c r="I40" s="179" t="str">
        <f>TEXT(100,"0,0")</f>
        <v>100,0</v>
      </c>
    </row>
    <row r="41" spans="1:9">
      <c r="A41" s="173"/>
      <c r="B41" s="174"/>
      <c r="C41" s="174"/>
      <c r="D41" s="174"/>
      <c r="E41" s="174"/>
      <c r="F41" s="175"/>
      <c r="G41" s="175"/>
      <c r="H41" s="179"/>
      <c r="I41" s="179"/>
    </row>
    <row r="42" spans="1:9">
      <c r="A42" s="173"/>
      <c r="B42" s="174"/>
      <c r="C42" s="174"/>
      <c r="D42" s="174"/>
      <c r="E42" s="174"/>
      <c r="F42" s="175"/>
      <c r="G42" s="175"/>
      <c r="H42" s="175"/>
      <c r="I42" s="175"/>
    </row>
    <row r="43" spans="1:9">
      <c r="A43" s="27"/>
      <c r="B43" s="27"/>
      <c r="C43" s="27"/>
      <c r="D43" s="27"/>
      <c r="E43" s="27"/>
      <c r="F43" s="27"/>
      <c r="G43" s="27"/>
      <c r="H43" s="27"/>
      <c r="I43" s="27"/>
    </row>
    <row r="44" spans="1:9">
      <c r="A44" s="27" t="s">
        <v>716</v>
      </c>
      <c r="B44" s="27"/>
      <c r="C44" s="27"/>
      <c r="D44" s="27"/>
      <c r="E44" s="27"/>
      <c r="F44" s="27"/>
      <c r="G44" s="27"/>
      <c r="H44" s="27"/>
      <c r="I44" s="27"/>
    </row>
    <row r="45" spans="1:9">
      <c r="A45" s="27"/>
      <c r="B45" s="27"/>
      <c r="C45" s="27"/>
      <c r="D45" s="27"/>
      <c r="E45" s="27"/>
      <c r="F45" s="27"/>
      <c r="G45" s="27"/>
      <c r="H45" s="27"/>
      <c r="I45" s="27"/>
    </row>
    <row r="46" spans="1:9">
      <c r="A46" s="27"/>
      <c r="B46" s="27"/>
      <c r="C46" s="27"/>
      <c r="D46" s="27"/>
      <c r="E46" s="27"/>
      <c r="F46" s="27"/>
      <c r="G46" s="27"/>
      <c r="H46" s="27"/>
      <c r="I46" s="27"/>
    </row>
    <row r="47" spans="1:9">
      <c r="A47" s="27"/>
      <c r="B47" s="27"/>
      <c r="C47" s="27"/>
      <c r="D47" s="27"/>
      <c r="E47" s="27"/>
      <c r="F47" s="27"/>
      <c r="G47" s="27"/>
      <c r="H47" s="27"/>
      <c r="I47" s="27"/>
    </row>
    <row r="48" spans="1:9">
      <c r="A48" s="27"/>
      <c r="B48" s="27"/>
      <c r="C48" s="27"/>
      <c r="D48" s="27"/>
      <c r="E48" s="27"/>
      <c r="F48" s="27"/>
      <c r="G48" s="27"/>
      <c r="H48" s="27"/>
      <c r="I48" s="27"/>
    </row>
    <row r="49" spans="1:9">
      <c r="A49" s="27"/>
      <c r="B49" s="27"/>
      <c r="C49" s="27"/>
      <c r="D49" s="27"/>
      <c r="E49" s="27"/>
      <c r="F49" s="27"/>
      <c r="G49" s="27"/>
      <c r="H49" s="27"/>
      <c r="I49" s="27"/>
    </row>
    <row r="50" spans="1:9">
      <c r="A50" s="27"/>
      <c r="B50" s="27"/>
      <c r="C50" s="27"/>
      <c r="D50" s="27"/>
      <c r="E50" s="27"/>
      <c r="F50" s="27"/>
      <c r="G50" s="27"/>
      <c r="H50" s="27"/>
      <c r="I50" s="27"/>
    </row>
    <row r="51" spans="1:9">
      <c r="A51" s="27"/>
      <c r="B51" s="27"/>
      <c r="C51" s="27"/>
      <c r="D51" s="27"/>
      <c r="E51" s="27"/>
      <c r="F51" s="27"/>
      <c r="G51" s="27"/>
      <c r="H51" s="27"/>
      <c r="I51" s="27"/>
    </row>
    <row r="52" spans="1:9">
      <c r="A52" s="27"/>
      <c r="B52" s="27"/>
      <c r="C52" s="27"/>
      <c r="D52" s="27"/>
      <c r="E52" s="27"/>
      <c r="F52" s="27"/>
      <c r="G52" s="27"/>
      <c r="H52" s="27"/>
      <c r="I52" s="27"/>
    </row>
    <row r="53" spans="1:9">
      <c r="A53" s="27"/>
      <c r="B53" s="27"/>
      <c r="C53" s="27"/>
      <c r="D53" s="27"/>
      <c r="E53" s="27"/>
      <c r="F53" s="27"/>
      <c r="G53" s="27"/>
      <c r="H53" s="27"/>
      <c r="I53" s="27"/>
    </row>
    <row r="54" spans="1:9">
      <c r="A54" s="27"/>
      <c r="B54" s="27"/>
      <c r="C54" s="27"/>
      <c r="D54" s="27"/>
      <c r="E54" s="27"/>
      <c r="F54" s="27"/>
      <c r="G54" s="27"/>
      <c r="H54" s="27"/>
      <c r="I54" s="27"/>
    </row>
    <row r="55" spans="1:9">
      <c r="A55" s="27"/>
      <c r="B55" s="27"/>
      <c r="C55" s="27"/>
      <c r="D55" s="27"/>
      <c r="E55" s="27"/>
      <c r="F55" s="27"/>
      <c r="G55" s="27"/>
      <c r="H55" s="27"/>
      <c r="I55" s="27"/>
    </row>
    <row r="56" spans="1:9">
      <c r="A56" s="27"/>
      <c r="B56" s="27"/>
      <c r="C56" s="27"/>
      <c r="D56" s="27"/>
      <c r="E56" s="27"/>
      <c r="F56" s="27"/>
      <c r="G56" s="27"/>
      <c r="H56" s="27"/>
      <c r="I56" s="27"/>
    </row>
    <row r="57" spans="1:9">
      <c r="A57" s="27"/>
      <c r="B57" s="27"/>
      <c r="C57" s="27"/>
      <c r="D57" s="27"/>
      <c r="E57" s="27"/>
      <c r="F57" s="27"/>
      <c r="G57" s="27"/>
      <c r="H57" s="27"/>
      <c r="I57" s="27"/>
    </row>
    <row r="58" spans="1:9">
      <c r="A58" s="27"/>
      <c r="B58" s="27"/>
      <c r="C58" s="27"/>
      <c r="D58" s="27"/>
      <c r="E58" s="27"/>
      <c r="F58" s="27"/>
      <c r="G58" s="27"/>
      <c r="H58" s="27"/>
      <c r="I58" s="27"/>
    </row>
    <row r="59" spans="1:9">
      <c r="A59" s="27"/>
      <c r="B59" s="27"/>
      <c r="C59" s="27"/>
      <c r="D59" s="27"/>
      <c r="E59" s="27"/>
      <c r="F59" s="27"/>
      <c r="G59" s="27"/>
      <c r="H59" s="27"/>
      <c r="I59" s="27"/>
    </row>
    <row r="60" spans="1:9">
      <c r="A60" s="27"/>
      <c r="B60" s="27"/>
      <c r="C60" s="27"/>
      <c r="D60" s="27"/>
      <c r="E60" s="27"/>
      <c r="F60" s="27"/>
      <c r="G60" s="27"/>
      <c r="H60" s="27"/>
      <c r="I60" s="27"/>
    </row>
    <row r="61" spans="1:9">
      <c r="A61" s="27"/>
      <c r="B61" s="27"/>
      <c r="C61" s="27"/>
      <c r="D61" s="27"/>
      <c r="E61" s="27"/>
      <c r="F61" s="27"/>
      <c r="G61" s="27"/>
      <c r="H61" s="27"/>
      <c r="I61" s="27"/>
    </row>
    <row r="62" spans="1:9">
      <c r="A62" s="27"/>
      <c r="B62" s="27"/>
      <c r="C62" s="27"/>
      <c r="D62" s="27"/>
      <c r="E62" s="27"/>
      <c r="F62" s="27"/>
      <c r="G62" s="27"/>
      <c r="H62" s="27"/>
      <c r="I62" s="27"/>
    </row>
    <row r="63" spans="1:9">
      <c r="A63" s="27"/>
      <c r="B63" s="27"/>
      <c r="C63" s="27"/>
      <c r="D63" s="27"/>
      <c r="E63" s="27"/>
      <c r="F63" s="27"/>
      <c r="G63" s="27"/>
      <c r="H63" s="27"/>
      <c r="I63" s="27"/>
    </row>
    <row r="64" spans="1:9">
      <c r="A64" s="27"/>
      <c r="B64" s="27"/>
      <c r="C64" s="27"/>
      <c r="D64" s="27"/>
      <c r="E64" s="27"/>
      <c r="F64" s="27"/>
      <c r="G64" s="27"/>
      <c r="H64" s="27"/>
      <c r="I64" s="27"/>
    </row>
    <row r="65" spans="1:9">
      <c r="A65" s="27"/>
      <c r="B65" s="27"/>
      <c r="C65" s="27"/>
      <c r="D65" s="27"/>
      <c r="E65" s="27"/>
      <c r="F65" s="27"/>
      <c r="G65" s="27"/>
      <c r="H65" s="27"/>
      <c r="I65" s="27"/>
    </row>
    <row r="66" spans="1:9">
      <c r="A66" s="27"/>
      <c r="B66" s="27"/>
      <c r="C66" s="27"/>
      <c r="D66" s="27"/>
      <c r="E66" s="27"/>
      <c r="F66" s="27"/>
      <c r="G66" s="27"/>
      <c r="H66" s="27"/>
      <c r="I66" s="27"/>
    </row>
    <row r="67" spans="1:9">
      <c r="A67" s="27"/>
      <c r="B67" s="27"/>
      <c r="C67" s="27"/>
      <c r="D67" s="27"/>
      <c r="E67" s="27"/>
      <c r="F67" s="27"/>
      <c r="G67" s="27"/>
      <c r="H67" s="27"/>
      <c r="I67" s="27"/>
    </row>
    <row r="68" spans="1:9">
      <c r="A68" s="27"/>
      <c r="B68" s="27"/>
      <c r="C68" s="27"/>
      <c r="D68" s="27"/>
      <c r="E68" s="27"/>
      <c r="F68" s="27"/>
      <c r="G68" s="27"/>
      <c r="H68" s="27"/>
      <c r="I68" s="27"/>
    </row>
    <row r="69" spans="1:9">
      <c r="A69" s="27"/>
      <c r="B69" s="27"/>
      <c r="C69" s="27"/>
      <c r="D69" s="27"/>
      <c r="E69" s="27"/>
      <c r="F69" s="27"/>
      <c r="G69" s="27"/>
      <c r="H69" s="27"/>
      <c r="I69" s="27"/>
    </row>
    <row r="70" spans="1:9">
      <c r="A70" s="27"/>
      <c r="B70" s="27"/>
      <c r="C70" s="27"/>
      <c r="D70" s="27"/>
      <c r="E70" s="27"/>
      <c r="F70" s="27"/>
      <c r="G70" s="27"/>
      <c r="H70" s="27"/>
      <c r="I70" s="27"/>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63" sqref="O63"/>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74" t="s">
        <v>509</v>
      </c>
      <c r="R3" s="74"/>
      <c r="S3" s="74"/>
      <c r="T3" s="74"/>
      <c r="U3" s="108"/>
    </row>
    <row r="4" spans="17:21">
      <c r="Q4" s="27"/>
      <c r="R4" s="27"/>
      <c r="S4" s="27"/>
      <c r="T4" s="27"/>
      <c r="U4" s="27"/>
    </row>
    <row r="5" spans="17:21" ht="16" thickBot="1">
      <c r="Q5" s="20" t="s">
        <v>486</v>
      </c>
      <c r="R5" s="20">
        <v>2021</v>
      </c>
      <c r="S5" s="20">
        <v>2022</v>
      </c>
      <c r="T5" s="20">
        <v>2023</v>
      </c>
      <c r="U5" s="27"/>
    </row>
    <row r="6" spans="17:21">
      <c r="Q6" s="35" t="s">
        <v>2</v>
      </c>
      <c r="R6" s="35">
        <v>20573</v>
      </c>
      <c r="S6" s="35">
        <v>19893</v>
      </c>
      <c r="T6" s="35">
        <v>14601</v>
      </c>
      <c r="U6" s="27"/>
    </row>
    <row r="7" spans="17:21">
      <c r="Q7" s="35" t="s">
        <v>3</v>
      </c>
      <c r="R7" s="35">
        <v>22837</v>
      </c>
      <c r="S7" s="35">
        <v>21136</v>
      </c>
      <c r="T7" s="35"/>
      <c r="U7" s="27"/>
    </row>
    <row r="8" spans="17:21">
      <c r="Q8" s="35" t="s">
        <v>4</v>
      </c>
      <c r="R8" s="35">
        <v>47460</v>
      </c>
      <c r="S8" s="35">
        <v>28710</v>
      </c>
      <c r="T8" s="35"/>
      <c r="U8" s="27"/>
    </row>
    <row r="9" spans="17:21">
      <c r="Q9" s="35" t="s">
        <v>5</v>
      </c>
      <c r="R9" s="35">
        <v>21871</v>
      </c>
      <c r="S9" s="35">
        <v>21942</v>
      </c>
      <c r="T9" s="35"/>
      <c r="U9" s="27"/>
    </row>
    <row r="10" spans="17:21">
      <c r="Q10" s="35" t="s">
        <v>6</v>
      </c>
      <c r="R10" s="35">
        <v>24327</v>
      </c>
      <c r="S10" s="35">
        <v>26413</v>
      </c>
      <c r="T10" s="35"/>
      <c r="U10" s="27"/>
    </row>
    <row r="11" spans="17:21">
      <c r="Q11" s="35" t="s">
        <v>7</v>
      </c>
      <c r="R11" s="35">
        <v>36095</v>
      </c>
      <c r="S11" s="35">
        <v>26088</v>
      </c>
      <c r="T11" s="35"/>
      <c r="U11" s="27"/>
    </row>
    <row r="12" spans="17:21">
      <c r="Q12" s="35" t="s">
        <v>8</v>
      </c>
      <c r="R12" s="35">
        <v>16778</v>
      </c>
      <c r="S12" s="35">
        <v>17834</v>
      </c>
      <c r="T12" s="35"/>
      <c r="U12" s="27"/>
    </row>
    <row r="13" spans="17:21">
      <c r="Q13" s="35" t="s">
        <v>9</v>
      </c>
      <c r="R13" s="35">
        <v>19808</v>
      </c>
      <c r="S13" s="35">
        <v>20576</v>
      </c>
      <c r="T13" s="35"/>
      <c r="U13" s="27"/>
    </row>
    <row r="14" spans="17:21">
      <c r="Q14" s="35" t="s">
        <v>10</v>
      </c>
      <c r="R14" s="35">
        <v>22634</v>
      </c>
      <c r="S14" s="35">
        <v>22048</v>
      </c>
      <c r="T14" s="35"/>
      <c r="U14" s="27"/>
    </row>
    <row r="15" spans="17:21">
      <c r="Q15" s="35" t="s">
        <v>11</v>
      </c>
      <c r="R15" s="35">
        <v>19962</v>
      </c>
      <c r="S15" s="35">
        <v>22383</v>
      </c>
      <c r="T15" s="35"/>
      <c r="U15" s="27"/>
    </row>
    <row r="16" spans="17:21">
      <c r="Q16" s="35" t="s">
        <v>12</v>
      </c>
      <c r="R16" s="35">
        <v>21056</v>
      </c>
      <c r="S16" s="35">
        <v>25588</v>
      </c>
      <c r="T16" s="35"/>
      <c r="U16" s="27"/>
    </row>
    <row r="17" spans="17:21">
      <c r="Q17" s="35" t="s">
        <v>13</v>
      </c>
      <c r="R17" s="35">
        <v>27582</v>
      </c>
      <c r="S17" s="35">
        <v>35476</v>
      </c>
      <c r="T17" s="35"/>
      <c r="U17" s="27"/>
    </row>
    <row r="18" spans="17:21">
      <c r="Q18" s="32" t="s">
        <v>570</v>
      </c>
      <c r="R18" s="32">
        <f>SUMIF(T6:T17,"&gt;0",R6:R17)</f>
        <v>20573</v>
      </c>
      <c r="S18" s="32">
        <f>SUMIF(T6:T17,"&gt;0",S6:S17)</f>
        <v>19893</v>
      </c>
      <c r="T18" s="32">
        <f>SUM(T6:T17)</f>
        <v>14601</v>
      </c>
      <c r="U18" s="27"/>
    </row>
    <row r="19" spans="17:21">
      <c r="Q19" s="37" t="s">
        <v>569</v>
      </c>
      <c r="R19" s="37">
        <f>SUM(R6:R17)</f>
        <v>300983</v>
      </c>
      <c r="S19" s="37">
        <f>SUM(S6:S17)</f>
        <v>288087</v>
      </c>
      <c r="T19" s="37"/>
      <c r="U19" s="27"/>
    </row>
    <row r="20" spans="17:21">
      <c r="Q20" s="27"/>
      <c r="R20" s="27"/>
      <c r="S20" s="27"/>
      <c r="T20" s="27"/>
      <c r="U20" s="27"/>
    </row>
    <row r="21" spans="17:21">
      <c r="Q21" s="35" t="s">
        <v>483</v>
      </c>
      <c r="R21" s="27"/>
      <c r="S21" s="27"/>
      <c r="T21" s="27"/>
      <c r="U21" s="27"/>
    </row>
    <row r="22" spans="17:21">
      <c r="Q22" s="27"/>
      <c r="R22" s="27"/>
      <c r="S22" s="27"/>
      <c r="T22" s="27"/>
      <c r="U22" s="27"/>
    </row>
    <row r="23" spans="17:21" ht="17" thickBot="1">
      <c r="Q23" s="74" t="s">
        <v>582</v>
      </c>
      <c r="R23" s="74"/>
      <c r="S23" s="74"/>
      <c r="T23" s="74"/>
      <c r="U23" s="74"/>
    </row>
    <row r="24" spans="17:21">
      <c r="Q24" s="27"/>
      <c r="R24" s="27"/>
      <c r="S24" s="27"/>
      <c r="T24" s="27"/>
      <c r="U24" s="27"/>
    </row>
    <row r="25" spans="17:21">
      <c r="Q25" s="109" t="s">
        <v>579</v>
      </c>
      <c r="R25" s="110" t="s">
        <v>558</v>
      </c>
      <c r="S25" s="110" t="str">
        <f>[0]!Manaden</f>
        <v>Januari</v>
      </c>
      <c r="T25" s="110" t="s">
        <v>570</v>
      </c>
      <c r="U25" s="27"/>
    </row>
    <row r="26" spans="17:21">
      <c r="Q26" s="60" t="s">
        <v>580</v>
      </c>
      <c r="R26" s="60">
        <v>2023</v>
      </c>
      <c r="S26" s="60">
        <v>462</v>
      </c>
      <c r="T26" s="60">
        <v>462</v>
      </c>
      <c r="U26" s="27"/>
    </row>
    <row r="27" spans="17:21">
      <c r="Q27" s="60" t="s">
        <v>580</v>
      </c>
      <c r="R27" s="60">
        <v>2022</v>
      </c>
      <c r="S27" s="60">
        <v>478</v>
      </c>
      <c r="T27" s="60">
        <v>478</v>
      </c>
      <c r="U27" s="27"/>
    </row>
    <row r="28" spans="17:21">
      <c r="Q28" s="60" t="s">
        <v>581</v>
      </c>
      <c r="R28" s="60">
        <v>2023</v>
      </c>
      <c r="S28" s="60">
        <v>56</v>
      </c>
      <c r="T28" s="60">
        <v>56</v>
      </c>
      <c r="U28" s="27"/>
    </row>
    <row r="29" spans="17:21">
      <c r="Q29" s="60" t="s">
        <v>581</v>
      </c>
      <c r="R29" s="60">
        <v>2022</v>
      </c>
      <c r="S29" s="60">
        <v>55</v>
      </c>
      <c r="T29" s="60">
        <v>55</v>
      </c>
      <c r="U29" s="27"/>
    </row>
    <row r="30" spans="17:21">
      <c r="Q30" s="27"/>
      <c r="R30" s="27"/>
      <c r="S30" s="27"/>
      <c r="T30" s="27"/>
      <c r="U30" s="27"/>
    </row>
    <row r="31" spans="17:21">
      <c r="Q31" s="35" t="s">
        <v>583</v>
      </c>
      <c r="R31" s="27"/>
      <c r="S31" s="27"/>
      <c r="T31" s="27"/>
      <c r="U31" s="27"/>
    </row>
    <row r="32" spans="17:21">
      <c r="Q32" s="27"/>
      <c r="R32" s="27"/>
      <c r="S32" s="27"/>
      <c r="T32" s="27"/>
      <c r="U32" s="27"/>
    </row>
    <row r="33" spans="14:22">
      <c r="Q33" s="27"/>
      <c r="R33" s="27"/>
      <c r="S33" s="27"/>
      <c r="T33" s="27"/>
      <c r="U33" s="27"/>
    </row>
    <row r="34" spans="14:22">
      <c r="Q34" s="27"/>
      <c r="R34" s="27"/>
      <c r="S34" s="27"/>
      <c r="T34" s="27"/>
      <c r="U34" s="27"/>
    </row>
    <row r="35" spans="14:22" ht="21" thickBot="1">
      <c r="Q35" s="74" t="s">
        <v>14</v>
      </c>
      <c r="R35" s="74"/>
      <c r="S35" s="74"/>
      <c r="T35" s="74"/>
      <c r="U35" s="74"/>
      <c r="V35" s="10"/>
    </row>
    <row r="36" spans="14:22">
      <c r="Q36" s="27"/>
      <c r="R36" s="27"/>
      <c r="S36" s="27"/>
      <c r="T36" s="27"/>
      <c r="U36" s="27"/>
    </row>
    <row r="37" spans="14:22">
      <c r="Q37" s="35" t="s">
        <v>469</v>
      </c>
      <c r="R37" s="63">
        <f>((T6-S6)/S6)*100</f>
        <v>-26.602322424973607</v>
      </c>
      <c r="S37" s="27"/>
      <c r="T37" s="27"/>
      <c r="U37" s="27"/>
    </row>
    <row r="38" spans="14:22">
      <c r="Q38" s="35" t="s">
        <v>537</v>
      </c>
      <c r="R38" s="63">
        <f t="shared" ref="R38:R48" si="0">((S7-R7)/R7)*100</f>
        <v>-7.4484389368130666</v>
      </c>
      <c r="S38" s="27"/>
      <c r="T38" s="27"/>
      <c r="U38" s="27"/>
    </row>
    <row r="39" spans="14:22">
      <c r="Q39" s="35" t="s">
        <v>597</v>
      </c>
      <c r="R39" s="63">
        <f t="shared" si="0"/>
        <v>-39.506953223767383</v>
      </c>
      <c r="S39" s="27"/>
      <c r="T39" s="27"/>
      <c r="U39" s="27"/>
    </row>
    <row r="40" spans="14:22">
      <c r="Q40" s="35" t="s">
        <v>614</v>
      </c>
      <c r="R40" s="63">
        <f t="shared" si="0"/>
        <v>0.32463078963010383</v>
      </c>
      <c r="S40" s="27"/>
      <c r="T40" s="27"/>
      <c r="U40" s="27"/>
    </row>
    <row r="41" spans="14:22">
      <c r="Q41" s="35" t="s">
        <v>628</v>
      </c>
      <c r="R41" s="63">
        <f t="shared" si="0"/>
        <v>8.5748345459777209</v>
      </c>
      <c r="S41" s="27"/>
      <c r="T41" s="27"/>
      <c r="U41" s="27"/>
    </row>
    <row r="42" spans="14:22">
      <c r="Q42" s="35" t="s">
        <v>635</v>
      </c>
      <c r="R42" s="63">
        <f t="shared" si="0"/>
        <v>-27.724061504363483</v>
      </c>
      <c r="S42" s="27"/>
      <c r="T42" s="27"/>
      <c r="U42" s="27"/>
    </row>
    <row r="43" spans="14:22">
      <c r="N43" s="40"/>
      <c r="Q43" s="35" t="s">
        <v>640</v>
      </c>
      <c r="R43" s="63">
        <f t="shared" si="0"/>
        <v>6.2939563714387887</v>
      </c>
      <c r="S43" s="27"/>
      <c r="T43" s="27"/>
      <c r="U43" s="27"/>
    </row>
    <row r="44" spans="14:22">
      <c r="Q44" s="35" t="s">
        <v>642</v>
      </c>
      <c r="R44" s="63">
        <f t="shared" si="0"/>
        <v>3.877221324717286</v>
      </c>
      <c r="S44" s="27"/>
      <c r="T44" s="27"/>
      <c r="U44" s="27"/>
    </row>
    <row r="45" spans="14:22">
      <c r="Q45" s="35" t="s">
        <v>650</v>
      </c>
      <c r="R45" s="63">
        <f t="shared" si="0"/>
        <v>-2.5890253600777591</v>
      </c>
      <c r="S45" s="27"/>
      <c r="T45" s="27"/>
      <c r="U45" s="27"/>
    </row>
    <row r="46" spans="14:22">
      <c r="Q46" s="35" t="s">
        <v>669</v>
      </c>
      <c r="R46" s="63">
        <f t="shared" si="0"/>
        <v>12.128043282236249</v>
      </c>
      <c r="S46" s="27"/>
      <c r="T46" s="27"/>
      <c r="U46" s="27"/>
    </row>
    <row r="47" spans="14:22">
      <c r="Q47" s="35" t="s">
        <v>678</v>
      </c>
      <c r="R47" s="63">
        <f t="shared" si="0"/>
        <v>21.523556231003038</v>
      </c>
      <c r="S47" s="27"/>
      <c r="T47" s="27"/>
      <c r="U47" s="27"/>
    </row>
    <row r="48" spans="14:22">
      <c r="Q48" s="35" t="s">
        <v>687</v>
      </c>
      <c r="R48" s="63">
        <f t="shared" si="0"/>
        <v>28.620114567471539</v>
      </c>
      <c r="S48" s="27"/>
      <c r="T48" s="27"/>
      <c r="U48" s="27"/>
    </row>
    <row r="49" spans="17:21">
      <c r="Q49" s="35" t="s">
        <v>696</v>
      </c>
      <c r="R49" s="63">
        <f t="shared" ref="R49:R50" si="1">((S6-R6)/R6)*100</f>
        <v>-3.3053030671268169</v>
      </c>
      <c r="S49" s="27"/>
      <c r="T49" s="27"/>
      <c r="U49" s="27"/>
    </row>
    <row r="50" spans="17:21">
      <c r="Q50" s="35" t="s">
        <v>711</v>
      </c>
      <c r="R50" s="63">
        <f t="shared" si="1"/>
        <v>-7.4484389368130666</v>
      </c>
      <c r="S50" s="27"/>
      <c r="T50" s="27"/>
      <c r="U50" s="27"/>
    </row>
    <row r="51" spans="17:21">
      <c r="Q51" s="104" t="s">
        <v>730</v>
      </c>
      <c r="R51" s="63">
        <f>((S8-R8)/R8)*100</f>
        <v>-39.506953223767383</v>
      </c>
      <c r="S51" s="27"/>
      <c r="T51" s="27"/>
      <c r="U51" s="27"/>
    </row>
    <row r="52" spans="17:21">
      <c r="Q52" s="104" t="s">
        <v>739</v>
      </c>
      <c r="R52" s="63">
        <f t="shared" ref="R52:R60" si="2">((S9-R9)/R9)*100</f>
        <v>0.32463078963010383</v>
      </c>
      <c r="S52" s="27"/>
      <c r="T52" s="27"/>
      <c r="U52" s="27"/>
    </row>
    <row r="53" spans="17:21">
      <c r="Q53" s="104" t="s">
        <v>745</v>
      </c>
      <c r="R53" s="63">
        <f t="shared" si="2"/>
        <v>8.5748345459777209</v>
      </c>
      <c r="S53" s="27"/>
      <c r="T53" s="27"/>
      <c r="U53" s="27"/>
    </row>
    <row r="54" spans="17:21">
      <c r="Q54" s="104" t="s">
        <v>748</v>
      </c>
      <c r="R54" s="63">
        <f t="shared" si="2"/>
        <v>-27.724061504363483</v>
      </c>
      <c r="S54" s="27"/>
      <c r="T54" s="27"/>
      <c r="U54" s="27"/>
    </row>
    <row r="55" spans="17:21">
      <c r="Q55" s="104" t="s">
        <v>1027</v>
      </c>
      <c r="R55" s="63">
        <f t="shared" si="2"/>
        <v>6.2939563714387887</v>
      </c>
      <c r="S55" s="27"/>
      <c r="T55" s="27"/>
      <c r="U55" s="27"/>
    </row>
    <row r="56" spans="17:21">
      <c r="Q56" s="104" t="s">
        <v>1035</v>
      </c>
      <c r="R56" s="63">
        <f t="shared" si="2"/>
        <v>3.877221324717286</v>
      </c>
      <c r="S56" s="27"/>
      <c r="T56" s="27"/>
      <c r="U56" s="27"/>
    </row>
    <row r="57" spans="17:21">
      <c r="Q57" s="104" t="s">
        <v>1053</v>
      </c>
      <c r="R57" s="63">
        <f t="shared" si="2"/>
        <v>-2.5890253600777591</v>
      </c>
      <c r="S57" s="27"/>
      <c r="T57" s="27"/>
      <c r="U57" s="27"/>
    </row>
    <row r="58" spans="17:21">
      <c r="Q58" s="104" t="s">
        <v>1064</v>
      </c>
      <c r="R58" s="63">
        <f t="shared" si="2"/>
        <v>12.128043282236249</v>
      </c>
      <c r="S58" s="27"/>
      <c r="T58" s="27"/>
      <c r="U58" s="27"/>
    </row>
    <row r="59" spans="17:21">
      <c r="Q59" s="104" t="s">
        <v>1076</v>
      </c>
      <c r="R59" s="63">
        <f t="shared" si="2"/>
        <v>21.523556231003038</v>
      </c>
      <c r="S59" s="27"/>
      <c r="T59" s="27"/>
      <c r="U59" s="27"/>
    </row>
    <row r="60" spans="17:21">
      <c r="Q60" s="104" t="s">
        <v>1093</v>
      </c>
      <c r="R60" s="63">
        <f t="shared" si="2"/>
        <v>28.620114567471539</v>
      </c>
      <c r="S60" s="27"/>
      <c r="T60" s="27"/>
      <c r="U60" s="27"/>
    </row>
    <row r="61" spans="17:21">
      <c r="Q61" s="104" t="s">
        <v>1131</v>
      </c>
      <c r="R61" s="63">
        <f>((T6-S6)/S6)*100</f>
        <v>-26.602322424973607</v>
      </c>
      <c r="S61" s="27"/>
      <c r="T61" s="27"/>
      <c r="U61" s="27"/>
    </row>
    <row r="62" spans="17:21">
      <c r="S62" s="27"/>
      <c r="T62" s="27"/>
      <c r="U62" s="27"/>
    </row>
    <row r="63" spans="17:21">
      <c r="S63" s="27"/>
      <c r="T63" s="27"/>
      <c r="U63" s="27"/>
    </row>
    <row r="64" spans="17:21">
      <c r="S64" s="27"/>
      <c r="T64" s="27"/>
      <c r="U64" s="27"/>
    </row>
    <row r="65" spans="1:21">
      <c r="S65" s="27"/>
      <c r="T65" s="27"/>
      <c r="U65" s="27"/>
    </row>
    <row r="66" spans="1:21">
      <c r="S66" s="27"/>
      <c r="T66" s="27"/>
      <c r="U66" s="27"/>
    </row>
    <row r="67" spans="1:21">
      <c r="S67" s="27"/>
      <c r="T67" s="27"/>
      <c r="U67" s="27"/>
    </row>
    <row r="68" spans="1:21">
      <c r="A68" s="111" t="s">
        <v>716</v>
      </c>
      <c r="S68" s="27"/>
      <c r="T68" s="27"/>
      <c r="U68" s="27"/>
    </row>
    <row r="69" spans="1:21">
      <c r="S69" s="27"/>
      <c r="T69" s="27"/>
      <c r="U69" s="27"/>
    </row>
    <row r="70" spans="1:21">
      <c r="S70" s="27"/>
      <c r="T70" s="27"/>
      <c r="U70" s="27"/>
    </row>
    <row r="71" spans="1:21">
      <c r="S71" s="27"/>
      <c r="T71" s="27"/>
      <c r="U71" s="27"/>
    </row>
    <row r="72" spans="1:21">
      <c r="S72" s="27"/>
      <c r="T72" s="27"/>
      <c r="U72" s="27"/>
    </row>
    <row r="73" spans="1:21">
      <c r="Q73" s="27"/>
      <c r="R73" s="64"/>
      <c r="S73" s="27"/>
      <c r="T73" s="27"/>
      <c r="U73" s="27"/>
    </row>
    <row r="74" spans="1:21">
      <c r="Q74" s="27"/>
      <c r="R74" s="64"/>
      <c r="S74" s="27"/>
      <c r="T74" s="27"/>
      <c r="U74" s="27"/>
    </row>
    <row r="75" spans="1:21">
      <c r="Q75" s="27"/>
      <c r="R75" s="27"/>
      <c r="S75" s="27"/>
      <c r="T75" s="27"/>
      <c r="U75" s="27"/>
    </row>
    <row r="76" spans="1:21">
      <c r="Q76" s="27"/>
      <c r="R76" s="27"/>
      <c r="S76" s="27"/>
      <c r="T76" s="27"/>
      <c r="U76" s="27"/>
    </row>
    <row r="77" spans="1:21">
      <c r="Q77" s="27"/>
      <c r="R77" s="27"/>
      <c r="S77" s="27"/>
      <c r="T77" s="27"/>
      <c r="U77" s="27"/>
    </row>
    <row r="78" spans="1:21">
      <c r="A78" s="19"/>
      <c r="Q78" s="27"/>
      <c r="R78" s="27"/>
      <c r="S78" s="27"/>
      <c r="T78" s="27"/>
      <c r="U78" s="27"/>
    </row>
    <row r="88" spans="17:18">
      <c r="Q88" s="9"/>
      <c r="R88" s="9"/>
    </row>
    <row r="89" spans="17:18">
      <c r="Q89" s="9"/>
      <c r="R89" s="9"/>
    </row>
    <row r="90" spans="17:18">
      <c r="Q90" s="9"/>
      <c r="R90" s="9"/>
    </row>
    <row r="91" spans="17:18">
      <c r="Q91" s="9"/>
      <c r="R91" s="9"/>
    </row>
    <row r="92" spans="17:18">
      <c r="Q92" s="9"/>
      <c r="R92" s="9"/>
    </row>
    <row r="93" spans="17:18">
      <c r="Q93" s="9"/>
      <c r="R93" s="9"/>
    </row>
    <row r="94" spans="17:18">
      <c r="R94" s="9"/>
    </row>
    <row r="95" spans="17:18">
      <c r="R95" s="9"/>
    </row>
    <row r="96" spans="17:18">
      <c r="R96" s="9"/>
    </row>
    <row r="97" spans="18:18">
      <c r="R97" s="9"/>
    </row>
    <row r="98" spans="18:18">
      <c r="R98" s="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L13" sqref="L13"/>
    </sheetView>
  </sheetViews>
  <sheetFormatPr baseColWidth="10" defaultColWidth="8.83203125" defaultRowHeight="15"/>
  <cols>
    <col min="1" max="1" width="15.33203125" customWidth="1"/>
    <col min="2" max="9" width="10.33203125" customWidth="1"/>
  </cols>
  <sheetData>
    <row r="1" spans="1:10">
      <c r="A1" s="27"/>
      <c r="B1" s="27"/>
      <c r="C1" s="27"/>
      <c r="D1" s="27"/>
      <c r="E1" s="27"/>
      <c r="F1" s="27"/>
      <c r="G1" s="27"/>
      <c r="H1" s="27"/>
      <c r="I1" s="27"/>
      <c r="J1" s="27"/>
    </row>
    <row r="2" spans="1:10" ht="19.25" customHeight="1" thickBot="1">
      <c r="A2" s="27"/>
      <c r="B2" s="27"/>
      <c r="C2" s="61" t="s">
        <v>602</v>
      </c>
      <c r="D2" s="61"/>
      <c r="E2" s="61"/>
      <c r="F2" s="61"/>
      <c r="G2" s="61"/>
      <c r="H2" s="27"/>
      <c r="I2" s="27"/>
      <c r="J2" s="27"/>
    </row>
    <row r="3" spans="1:10">
      <c r="A3" s="27"/>
      <c r="B3" s="27"/>
      <c r="C3" s="27"/>
      <c r="D3" s="27"/>
      <c r="E3" s="27"/>
      <c r="F3" s="27"/>
      <c r="G3" s="27"/>
      <c r="H3" s="27"/>
      <c r="I3" s="27"/>
      <c r="J3" s="27"/>
    </row>
    <row r="4" spans="1:10">
      <c r="A4" s="8" t="s">
        <v>482</v>
      </c>
      <c r="B4" s="27"/>
      <c r="C4" s="27"/>
      <c r="D4" s="27"/>
      <c r="E4" s="287" t="s">
        <v>483</v>
      </c>
      <c r="F4" s="287"/>
      <c r="G4" s="287"/>
      <c r="H4" s="287"/>
      <c r="I4" s="287"/>
      <c r="J4" s="27"/>
    </row>
    <row r="5" spans="1:10">
      <c r="A5" s="119"/>
      <c r="B5" s="290" t="s">
        <v>571</v>
      </c>
      <c r="C5" s="291"/>
      <c r="D5" s="290" t="s">
        <v>571</v>
      </c>
      <c r="E5" s="291"/>
      <c r="F5" s="303" t="s">
        <v>572</v>
      </c>
      <c r="G5" s="304"/>
      <c r="H5" s="288" t="s">
        <v>573</v>
      </c>
      <c r="I5" s="289"/>
      <c r="J5" s="27"/>
    </row>
    <row r="6" spans="1:10">
      <c r="A6" s="119" t="s">
        <v>494</v>
      </c>
      <c r="B6" s="133" t="str">
        <f>Innehåll!D79</f>
        <v xml:space="preserve"> 2023-01</v>
      </c>
      <c r="C6" s="133" t="str">
        <f>Innehåll!D80</f>
        <v xml:space="preserve"> 2022-01</v>
      </c>
      <c r="D6" s="133" t="str">
        <f>Innehåll!D81</f>
        <v>YTD  2023</v>
      </c>
      <c r="E6" s="133" t="str">
        <f>Innehåll!D82</f>
        <v>YTD  2022</v>
      </c>
      <c r="F6" s="156" t="str">
        <f>B6</f>
        <v xml:space="preserve"> 2023-01</v>
      </c>
      <c r="G6" s="134" t="str">
        <f>D6</f>
        <v>YTD  2023</v>
      </c>
      <c r="H6" s="133" t="str">
        <f>D6</f>
        <v>YTD  2023</v>
      </c>
      <c r="I6" s="157" t="str">
        <f>E6</f>
        <v>YTD  2022</v>
      </c>
      <c r="J6" s="27"/>
    </row>
    <row r="7" spans="1:10" ht="15" hidden="1" customHeight="1">
      <c r="A7" s="27" t="s">
        <v>255</v>
      </c>
      <c r="B7" s="27" t="s">
        <v>35</v>
      </c>
      <c r="C7" s="27" t="s">
        <v>313</v>
      </c>
      <c r="D7" s="27" t="s">
        <v>314</v>
      </c>
      <c r="E7" s="27" t="s">
        <v>315</v>
      </c>
      <c r="F7" s="27" t="s">
        <v>316</v>
      </c>
      <c r="G7" s="27" t="s">
        <v>40</v>
      </c>
      <c r="H7" s="27" t="s">
        <v>317</v>
      </c>
      <c r="I7" s="27" t="s">
        <v>318</v>
      </c>
      <c r="J7" s="27"/>
    </row>
    <row r="8" spans="1:10">
      <c r="A8" s="27" t="s">
        <v>502</v>
      </c>
      <c r="B8" s="27">
        <v>0</v>
      </c>
      <c r="C8" s="27">
        <v>1</v>
      </c>
      <c r="D8" s="27">
        <v>0</v>
      </c>
      <c r="E8" s="27">
        <v>1</v>
      </c>
      <c r="F8" s="27">
        <v>-100</v>
      </c>
      <c r="G8" s="27">
        <v>-100</v>
      </c>
      <c r="H8" s="27">
        <v>0</v>
      </c>
      <c r="I8" s="27">
        <v>10</v>
      </c>
      <c r="J8" s="27"/>
    </row>
    <row r="9" spans="1:10">
      <c r="A9" s="27" t="s">
        <v>309</v>
      </c>
      <c r="B9" s="27">
        <v>1</v>
      </c>
      <c r="C9" s="27">
        <v>9</v>
      </c>
      <c r="D9" s="27">
        <v>1</v>
      </c>
      <c r="E9" s="27">
        <v>9</v>
      </c>
      <c r="F9" s="64">
        <v>-88.9</v>
      </c>
      <c r="G9" s="64">
        <v>-88.9</v>
      </c>
      <c r="H9" s="27">
        <v>100</v>
      </c>
      <c r="I9" s="27">
        <v>90</v>
      </c>
      <c r="J9" s="27"/>
    </row>
    <row r="10" spans="1:10">
      <c r="A10" s="173" t="s">
        <v>485</v>
      </c>
      <c r="B10" s="173">
        <f>SUBTOTAL(109,Table_bdsql12_BDnewRegistrations_getAggBussEL[antalPerioden])</f>
        <v>1</v>
      </c>
      <c r="C10" s="173">
        <f>SUBTOTAL(109,Table_bdsql12_BDnewRegistrations_getAggBussEL[antalPeriodenFG])</f>
        <v>10</v>
      </c>
      <c r="D10" s="173">
        <f>SUBTOTAL(109,Table_bdsql12_BDnewRegistrations_getAggBussEL[antalAret])</f>
        <v>1</v>
      </c>
      <c r="E10" s="173">
        <f>SUBTOTAL(109,Table_bdsql12_BDnewRegistrations_getAggBussEL[antalAretFG])</f>
        <v>10</v>
      </c>
      <c r="F10" s="175">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-90</v>
      </c>
      <c r="G10" s="175">
        <f>IF(Table_bdsql12_BDnewRegistrations_getAggBussEL[[#Totals],[antalAretFG]] &gt; 0,( Table_bdsql12_BDnewRegistrations_getAggBussEL[[#Totals],[antalAret]] - Table_bdsql12_BDnewRegistrations_getAggBussEL[[#Totals],[antalAretFG]] ) / Table_bdsql12_BDnewRegistrations_getAggBussEL[[#Totals],[antalAretFG]] * 100,0)</f>
        <v>-90</v>
      </c>
      <c r="H10" s="177" t="str">
        <f>TEXT(100,"0,0")</f>
        <v>100,0</v>
      </c>
      <c r="I10" s="177" t="str">
        <f>TEXT(100,"0,0")</f>
        <v>100,0</v>
      </c>
      <c r="J10" s="27"/>
    </row>
    <row r="11" spans="1:10">
      <c r="A11" s="173"/>
      <c r="B11" s="173"/>
      <c r="C11" s="173"/>
      <c r="D11" s="173"/>
      <c r="E11" s="173"/>
      <c r="F11" s="175"/>
      <c r="G11" s="175"/>
      <c r="H11" s="177"/>
      <c r="I11" s="177"/>
      <c r="J11" s="27"/>
    </row>
    <row r="12" spans="1:10">
      <c r="A12" s="27"/>
      <c r="B12" s="27"/>
      <c r="C12" s="27"/>
      <c r="D12" s="27"/>
      <c r="E12" s="27"/>
      <c r="F12" s="64"/>
      <c r="G12" s="64"/>
      <c r="H12" s="27"/>
      <c r="I12" s="27"/>
      <c r="J12" s="27"/>
    </row>
    <row r="13" spans="1:10">
      <c r="A13" s="27" t="s">
        <v>716</v>
      </c>
      <c r="B13" s="174"/>
      <c r="C13" s="173"/>
      <c r="D13" s="174"/>
      <c r="E13" s="173"/>
      <c r="F13" s="173"/>
      <c r="G13" s="173"/>
      <c r="H13" s="173"/>
      <c r="I13" s="173"/>
      <c r="J13" s="27"/>
    </row>
    <row r="14" spans="1:10" s="6" customFormat="1">
      <c r="A14" s="173"/>
      <c r="B14" s="173"/>
      <c r="C14" s="173"/>
      <c r="D14" s="173"/>
      <c r="E14" s="173"/>
      <c r="F14" s="173"/>
      <c r="G14" s="173"/>
      <c r="H14" s="173"/>
      <c r="I14" s="173"/>
      <c r="J14" s="43"/>
    </row>
    <row r="15" spans="1:10">
      <c r="A15" s="173"/>
      <c r="B15" s="173"/>
      <c r="C15" s="173"/>
      <c r="D15" s="173"/>
      <c r="E15" s="173"/>
      <c r="F15" s="173"/>
      <c r="G15" s="173"/>
      <c r="H15" s="173"/>
      <c r="I15" s="173"/>
      <c r="J15" s="27"/>
    </row>
    <row r="16" spans="1:10">
      <c r="A16" s="27"/>
      <c r="B16" s="27"/>
      <c r="C16" s="27"/>
      <c r="D16" s="27"/>
      <c r="E16" s="27"/>
      <c r="F16" s="27"/>
      <c r="G16" s="27"/>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B20" s="27"/>
      <c r="C20" s="27"/>
      <c r="D20" s="27"/>
      <c r="E20" s="27"/>
      <c r="F20" s="27"/>
      <c r="G20" s="27"/>
      <c r="H20" s="27"/>
      <c r="I20" s="27"/>
      <c r="J20" s="27"/>
    </row>
    <row r="21" spans="1:10">
      <c r="A21" s="27"/>
      <c r="B21" s="27"/>
      <c r="C21" s="27"/>
      <c r="D21" s="27"/>
      <c r="E21" s="27"/>
      <c r="F21" s="27"/>
      <c r="G21" s="27"/>
      <c r="H21" s="27"/>
      <c r="I21" s="27"/>
      <c r="J21" s="27"/>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activeCell="Q2" sqref="Q2"/>
    </sheetView>
  </sheetViews>
  <sheetFormatPr baseColWidth="10" defaultColWidth="8.83203125" defaultRowHeight="15"/>
  <cols>
    <col min="1" max="1" width="9.83203125" customWidth="1"/>
    <col min="2" max="2" width="8.1640625" customWidth="1"/>
    <col min="3" max="3" width="9.5" customWidth="1"/>
    <col min="4" max="15" width="5.6640625" customWidth="1"/>
  </cols>
  <sheetData>
    <row r="2" spans="1:17" ht="19.25" customHeight="1" thickBot="1">
      <c r="D2" s="61" t="s">
        <v>560</v>
      </c>
      <c r="E2" s="61"/>
      <c r="F2" s="61"/>
      <c r="G2" s="61"/>
      <c r="H2" s="61"/>
      <c r="I2" s="61"/>
      <c r="J2" s="61"/>
      <c r="K2" s="61"/>
      <c r="L2" s="61"/>
    </row>
    <row r="3" spans="1:17" ht="20.25" customHeight="1"/>
    <row r="4" spans="1:17">
      <c r="A4" s="60" t="s">
        <v>559</v>
      </c>
      <c r="B4" s="27"/>
      <c r="C4" s="27"/>
      <c r="D4" s="27"/>
      <c r="E4" s="94"/>
      <c r="F4" s="94"/>
      <c r="G4" s="287" t="s">
        <v>483</v>
      </c>
      <c r="H4" s="287"/>
      <c r="I4" s="287"/>
      <c r="J4" s="287"/>
      <c r="K4" s="287"/>
      <c r="L4" s="287"/>
      <c r="M4" s="287"/>
      <c r="N4" s="287"/>
      <c r="O4" s="287"/>
      <c r="P4" s="27"/>
      <c r="Q4" s="27"/>
    </row>
    <row r="5" spans="1:17">
      <c r="A5" s="119" t="s">
        <v>494</v>
      </c>
      <c r="B5" s="119" t="s">
        <v>558</v>
      </c>
      <c r="C5" s="240" t="s">
        <v>570</v>
      </c>
      <c r="D5" s="240" t="s">
        <v>2</v>
      </c>
      <c r="E5" s="240" t="s">
        <v>3</v>
      </c>
      <c r="F5" s="240" t="s">
        <v>557</v>
      </c>
      <c r="G5" s="240" t="s">
        <v>556</v>
      </c>
      <c r="H5" s="240" t="s">
        <v>6</v>
      </c>
      <c r="I5" s="240" t="s">
        <v>555</v>
      </c>
      <c r="J5" s="240" t="s">
        <v>554</v>
      </c>
      <c r="K5" s="240" t="s">
        <v>9</v>
      </c>
      <c r="L5" s="240" t="s">
        <v>10</v>
      </c>
      <c r="M5" s="240" t="s">
        <v>11</v>
      </c>
      <c r="N5" s="240" t="s">
        <v>12</v>
      </c>
      <c r="O5" s="240" t="s">
        <v>13</v>
      </c>
      <c r="P5" s="27"/>
      <c r="Q5" s="27"/>
    </row>
    <row r="6" spans="1:17" hidden="1">
      <c r="A6" s="173"/>
      <c r="B6" s="173"/>
      <c r="C6" s="173" t="s">
        <v>553</v>
      </c>
      <c r="D6" s="173" t="s">
        <v>552</v>
      </c>
      <c r="E6" s="173" t="s">
        <v>551</v>
      </c>
      <c r="F6" s="173" t="s">
        <v>550</v>
      </c>
      <c r="G6" s="173" t="s">
        <v>549</v>
      </c>
      <c r="H6" s="173" t="s">
        <v>548</v>
      </c>
      <c r="I6" s="173" t="s">
        <v>547</v>
      </c>
      <c r="J6" s="173" t="s">
        <v>546</v>
      </c>
      <c r="K6" s="173" t="s">
        <v>545</v>
      </c>
      <c r="L6" s="173" t="s">
        <v>544</v>
      </c>
      <c r="M6" s="173" t="s">
        <v>543</v>
      </c>
      <c r="N6" s="173" t="s">
        <v>542</v>
      </c>
      <c r="O6" s="173" t="s">
        <v>541</v>
      </c>
      <c r="P6" s="27"/>
      <c r="Q6" s="27"/>
    </row>
    <row r="7" spans="1:17">
      <c r="A7" s="192" t="s">
        <v>744</v>
      </c>
      <c r="B7" s="173"/>
      <c r="C7" s="174"/>
      <c r="D7" s="173"/>
      <c r="E7" s="173"/>
      <c r="F7" s="173"/>
      <c r="G7" s="173"/>
      <c r="H7" s="173"/>
      <c r="I7" s="173"/>
      <c r="J7" s="173"/>
      <c r="K7" s="173"/>
      <c r="L7" s="173"/>
      <c r="M7" s="173"/>
      <c r="N7" s="173"/>
      <c r="O7" s="173"/>
      <c r="P7" s="27"/>
      <c r="Q7" s="27"/>
    </row>
    <row r="8" spans="1:17">
      <c r="A8" s="173"/>
      <c r="B8" s="192">
        <v>2022</v>
      </c>
      <c r="C8" s="174">
        <v>0</v>
      </c>
      <c r="D8" s="173">
        <v>0</v>
      </c>
      <c r="E8" s="173">
        <v>0</v>
      </c>
      <c r="F8" s="173">
        <v>0</v>
      </c>
      <c r="G8" s="173">
        <v>0</v>
      </c>
      <c r="H8" s="173">
        <v>1</v>
      </c>
      <c r="I8" s="173">
        <v>0</v>
      </c>
      <c r="J8" s="173">
        <v>0</v>
      </c>
      <c r="K8" s="173">
        <v>0</v>
      </c>
      <c r="L8" s="173">
        <v>0</v>
      </c>
      <c r="M8" s="173">
        <v>0</v>
      </c>
      <c r="N8" s="173">
        <v>0</v>
      </c>
      <c r="O8" s="173">
        <v>0</v>
      </c>
      <c r="P8" s="27"/>
      <c r="Q8" s="27"/>
    </row>
    <row r="9" spans="1:17">
      <c r="A9" s="192"/>
      <c r="B9" s="173"/>
      <c r="C9" s="174"/>
      <c r="D9" s="173"/>
      <c r="E9" s="173"/>
      <c r="F9" s="173"/>
      <c r="G9" s="173"/>
      <c r="H9" s="173"/>
      <c r="I9" s="173"/>
      <c r="J9" s="173"/>
      <c r="K9" s="173"/>
      <c r="L9" s="173"/>
      <c r="M9" s="173"/>
      <c r="N9" s="173"/>
      <c r="O9" s="173"/>
      <c r="P9" s="27"/>
      <c r="Q9" s="27"/>
    </row>
    <row r="10" spans="1:17">
      <c r="A10" s="192" t="s">
        <v>283</v>
      </c>
      <c r="B10" s="173"/>
      <c r="C10" s="174"/>
      <c r="D10" s="173"/>
      <c r="E10" s="173"/>
      <c r="F10" s="173"/>
      <c r="G10" s="173"/>
      <c r="H10" s="173"/>
      <c r="I10" s="173"/>
      <c r="J10" s="173"/>
      <c r="K10" s="173"/>
      <c r="L10" s="173"/>
      <c r="M10" s="173"/>
      <c r="N10" s="173"/>
      <c r="O10" s="173"/>
      <c r="P10" s="27"/>
      <c r="Q10" s="27"/>
    </row>
    <row r="11" spans="1:17">
      <c r="A11" s="173"/>
      <c r="B11" s="192">
        <v>2022</v>
      </c>
      <c r="C11" s="174">
        <v>0</v>
      </c>
      <c r="D11" s="173">
        <v>0</v>
      </c>
      <c r="E11" s="173">
        <v>1</v>
      </c>
      <c r="F11" s="173">
        <v>0</v>
      </c>
      <c r="G11" s="173">
        <v>1</v>
      </c>
      <c r="H11" s="173">
        <v>0</v>
      </c>
      <c r="I11" s="173">
        <v>0</v>
      </c>
      <c r="J11" s="173">
        <v>0</v>
      </c>
      <c r="K11" s="173">
        <v>0</v>
      </c>
      <c r="L11" s="173">
        <v>0</v>
      </c>
      <c r="M11" s="173">
        <v>0</v>
      </c>
      <c r="N11" s="173">
        <v>0</v>
      </c>
      <c r="O11" s="173">
        <v>0</v>
      </c>
      <c r="P11" s="27"/>
      <c r="Q11" s="27"/>
    </row>
    <row r="12" spans="1:17">
      <c r="A12" s="192"/>
      <c r="B12" s="173"/>
      <c r="C12" s="174"/>
      <c r="D12" s="173"/>
      <c r="E12" s="173"/>
      <c r="F12" s="173"/>
      <c r="G12" s="173"/>
      <c r="H12" s="173"/>
      <c r="I12" s="173"/>
      <c r="J12" s="173"/>
      <c r="K12" s="173"/>
      <c r="L12" s="173"/>
      <c r="M12" s="173"/>
      <c r="N12" s="173"/>
      <c r="O12" s="173"/>
      <c r="P12" s="27"/>
      <c r="Q12" s="27"/>
    </row>
    <row r="13" spans="1:17">
      <c r="A13" s="192" t="s">
        <v>290</v>
      </c>
      <c r="B13" s="173"/>
      <c r="C13" s="174"/>
      <c r="D13" s="173"/>
      <c r="E13" s="173"/>
      <c r="F13" s="173"/>
      <c r="G13" s="173"/>
      <c r="H13" s="173"/>
      <c r="I13" s="173"/>
      <c r="J13" s="173"/>
      <c r="K13" s="173"/>
      <c r="L13" s="173"/>
      <c r="M13" s="173"/>
      <c r="N13" s="173"/>
      <c r="O13" s="173"/>
      <c r="P13" s="27"/>
      <c r="Q13" s="27"/>
    </row>
    <row r="14" spans="1:17">
      <c r="A14" s="173"/>
      <c r="B14" s="192">
        <v>2022</v>
      </c>
      <c r="C14" s="174">
        <v>0</v>
      </c>
      <c r="D14" s="173">
        <v>0</v>
      </c>
      <c r="E14" s="173">
        <v>0</v>
      </c>
      <c r="F14" s="173">
        <v>0</v>
      </c>
      <c r="G14" s="173">
        <v>0</v>
      </c>
      <c r="H14" s="173">
        <v>0</v>
      </c>
      <c r="I14" s="173">
        <v>0</v>
      </c>
      <c r="J14" s="173">
        <v>0</v>
      </c>
      <c r="K14" s="173">
        <v>0</v>
      </c>
      <c r="L14" s="173">
        <v>1</v>
      </c>
      <c r="M14" s="173">
        <v>0</v>
      </c>
      <c r="N14" s="173">
        <v>0</v>
      </c>
      <c r="O14" s="173">
        <v>0</v>
      </c>
      <c r="P14" s="27"/>
      <c r="Q14" s="27"/>
    </row>
    <row r="15" spans="1:17">
      <c r="A15" s="192"/>
      <c r="B15" s="173"/>
      <c r="C15" s="174"/>
      <c r="D15" s="173"/>
      <c r="E15" s="173"/>
      <c r="F15" s="173"/>
      <c r="G15" s="173"/>
      <c r="H15" s="173"/>
      <c r="I15" s="173"/>
      <c r="J15" s="173"/>
      <c r="K15" s="173"/>
      <c r="L15" s="173"/>
      <c r="M15" s="173"/>
      <c r="N15" s="173"/>
      <c r="O15" s="173"/>
      <c r="P15" s="27"/>
      <c r="Q15" s="27"/>
    </row>
    <row r="16" spans="1:17">
      <c r="A16" s="192" t="s">
        <v>404</v>
      </c>
      <c r="B16" s="173"/>
      <c r="C16" s="174"/>
      <c r="D16" s="173"/>
      <c r="E16" s="173"/>
      <c r="F16" s="173"/>
      <c r="G16" s="173"/>
      <c r="H16" s="173"/>
      <c r="I16" s="173"/>
      <c r="J16" s="173"/>
      <c r="K16" s="173"/>
      <c r="L16" s="173"/>
      <c r="M16" s="173"/>
      <c r="N16" s="173"/>
      <c r="O16" s="173"/>
      <c r="P16" s="27"/>
      <c r="Q16" s="27"/>
    </row>
    <row r="17" spans="1:17">
      <c r="A17" s="173"/>
      <c r="B17" s="192">
        <v>2022</v>
      </c>
      <c r="C17" s="174">
        <v>1</v>
      </c>
      <c r="D17" s="173">
        <v>1</v>
      </c>
      <c r="E17" s="173">
        <v>0</v>
      </c>
      <c r="F17" s="173">
        <v>2</v>
      </c>
      <c r="G17" s="173">
        <v>1</v>
      </c>
      <c r="H17" s="173">
        <v>1</v>
      </c>
      <c r="I17" s="173">
        <v>1</v>
      </c>
      <c r="J17" s="173">
        <v>1</v>
      </c>
      <c r="K17" s="173">
        <v>0</v>
      </c>
      <c r="L17" s="173">
        <v>0</v>
      </c>
      <c r="M17" s="173">
        <v>3</v>
      </c>
      <c r="N17" s="173">
        <v>0</v>
      </c>
      <c r="O17" s="173">
        <v>0</v>
      </c>
      <c r="P17" s="27"/>
      <c r="Q17" s="27"/>
    </row>
    <row r="18" spans="1:17">
      <c r="A18" s="192"/>
      <c r="B18" s="173"/>
      <c r="C18" s="174"/>
      <c r="D18" s="173"/>
      <c r="E18" s="173"/>
      <c r="F18" s="173"/>
      <c r="G18" s="173"/>
      <c r="H18" s="173"/>
      <c r="I18" s="173"/>
      <c r="J18" s="173"/>
      <c r="K18" s="173"/>
      <c r="L18" s="173"/>
      <c r="M18" s="173"/>
      <c r="N18" s="173"/>
      <c r="O18" s="173"/>
      <c r="P18" s="27"/>
      <c r="Q18" s="27"/>
    </row>
    <row r="19" spans="1:17">
      <c r="A19" s="192" t="s">
        <v>502</v>
      </c>
      <c r="B19" s="173"/>
      <c r="C19" s="174"/>
      <c r="D19" s="173"/>
      <c r="E19" s="173"/>
      <c r="F19" s="173"/>
      <c r="G19" s="173"/>
      <c r="H19" s="173"/>
      <c r="I19" s="173"/>
      <c r="J19" s="173"/>
      <c r="K19" s="173"/>
      <c r="L19" s="173"/>
      <c r="M19" s="173"/>
      <c r="N19" s="173"/>
      <c r="O19" s="173"/>
      <c r="P19" s="27"/>
      <c r="Q19" s="27"/>
    </row>
    <row r="20" spans="1:17">
      <c r="A20" s="173"/>
      <c r="B20" s="192">
        <v>2023</v>
      </c>
      <c r="C20" s="174">
        <v>2</v>
      </c>
      <c r="D20" s="173">
        <v>2</v>
      </c>
      <c r="E20" s="173">
        <v>0</v>
      </c>
      <c r="F20" s="173">
        <v>0</v>
      </c>
      <c r="G20" s="173">
        <v>0</v>
      </c>
      <c r="H20" s="173">
        <v>0</v>
      </c>
      <c r="I20" s="173">
        <v>0</v>
      </c>
      <c r="J20" s="173">
        <v>0</v>
      </c>
      <c r="K20" s="173">
        <v>0</v>
      </c>
      <c r="L20" s="173">
        <v>0</v>
      </c>
      <c r="M20" s="173">
        <v>0</v>
      </c>
      <c r="N20" s="173">
        <v>0</v>
      </c>
      <c r="O20" s="173">
        <v>0</v>
      </c>
      <c r="P20" s="27"/>
      <c r="Q20" s="27"/>
    </row>
    <row r="21" spans="1:17">
      <c r="A21" s="173"/>
      <c r="B21" s="192">
        <v>2022</v>
      </c>
      <c r="C21" s="174">
        <v>0</v>
      </c>
      <c r="D21" s="173">
        <v>0</v>
      </c>
      <c r="E21" s="173">
        <v>0</v>
      </c>
      <c r="F21" s="173">
        <v>0</v>
      </c>
      <c r="G21" s="173">
        <v>1</v>
      </c>
      <c r="H21" s="173">
        <v>0</v>
      </c>
      <c r="I21" s="173">
        <v>0</v>
      </c>
      <c r="J21" s="173">
        <v>0</v>
      </c>
      <c r="K21" s="173">
        <v>0</v>
      </c>
      <c r="L21" s="173">
        <v>0</v>
      </c>
      <c r="M21" s="173">
        <v>0</v>
      </c>
      <c r="N21" s="173">
        <v>6</v>
      </c>
      <c r="O21" s="173">
        <v>5</v>
      </c>
      <c r="P21" s="27"/>
      <c r="Q21" s="27"/>
    </row>
    <row r="22" spans="1:17">
      <c r="A22" s="192"/>
      <c r="B22" s="173"/>
      <c r="C22" s="174"/>
      <c r="D22" s="173"/>
      <c r="E22" s="173"/>
      <c r="F22" s="173"/>
      <c r="G22" s="173"/>
      <c r="H22" s="173"/>
      <c r="I22" s="173"/>
      <c r="J22" s="173"/>
      <c r="K22" s="173"/>
      <c r="L22" s="173"/>
      <c r="M22" s="173"/>
      <c r="N22" s="173"/>
      <c r="O22" s="173"/>
      <c r="P22" s="27"/>
      <c r="Q22" s="27"/>
    </row>
    <row r="23" spans="1:17">
      <c r="A23" s="192" t="s">
        <v>539</v>
      </c>
      <c r="B23" s="173"/>
      <c r="C23" s="174"/>
      <c r="D23" s="173"/>
      <c r="E23" s="173"/>
      <c r="F23" s="173"/>
      <c r="G23" s="173"/>
      <c r="H23" s="173"/>
      <c r="I23" s="173"/>
      <c r="J23" s="173"/>
      <c r="K23" s="173"/>
      <c r="L23" s="173"/>
      <c r="M23" s="173"/>
      <c r="N23" s="173"/>
      <c r="O23" s="173"/>
      <c r="P23" s="27"/>
      <c r="Q23" s="27"/>
    </row>
    <row r="24" spans="1:17">
      <c r="A24" s="173"/>
      <c r="B24" s="192">
        <v>2022</v>
      </c>
      <c r="C24" s="174">
        <v>1</v>
      </c>
      <c r="D24" s="173">
        <v>1</v>
      </c>
      <c r="E24" s="173">
        <v>0</v>
      </c>
      <c r="F24" s="173">
        <v>0</v>
      </c>
      <c r="G24" s="173">
        <v>0</v>
      </c>
      <c r="H24" s="173">
        <v>1</v>
      </c>
      <c r="I24" s="173">
        <v>0</v>
      </c>
      <c r="J24" s="173">
        <v>0</v>
      </c>
      <c r="K24" s="173">
        <v>0</v>
      </c>
      <c r="L24" s="173">
        <v>1</v>
      </c>
      <c r="M24" s="173">
        <v>0</v>
      </c>
      <c r="N24" s="173">
        <v>0</v>
      </c>
      <c r="O24" s="173">
        <v>0</v>
      </c>
      <c r="P24" s="27"/>
      <c r="Q24" s="27"/>
    </row>
    <row r="25" spans="1:17">
      <c r="A25" s="192"/>
      <c r="B25" s="173"/>
      <c r="C25" s="174"/>
      <c r="D25" s="173"/>
      <c r="E25" s="173"/>
      <c r="F25" s="173"/>
      <c r="G25" s="173"/>
      <c r="H25" s="173"/>
      <c r="I25" s="173"/>
      <c r="J25" s="173"/>
      <c r="K25" s="173"/>
      <c r="L25" s="173"/>
      <c r="M25" s="173"/>
      <c r="N25" s="173"/>
      <c r="O25" s="173"/>
      <c r="P25" s="27"/>
      <c r="Q25" s="27"/>
    </row>
    <row r="26" spans="1:17">
      <c r="A26" s="192" t="s">
        <v>308</v>
      </c>
      <c r="B26" s="173"/>
      <c r="C26" s="174"/>
      <c r="D26" s="173"/>
      <c r="E26" s="173"/>
      <c r="F26" s="173"/>
      <c r="G26" s="173"/>
      <c r="H26" s="173"/>
      <c r="I26" s="173"/>
      <c r="J26" s="173"/>
      <c r="K26" s="173"/>
      <c r="L26" s="173"/>
      <c r="M26" s="173"/>
      <c r="N26" s="173"/>
      <c r="O26" s="173"/>
      <c r="P26" s="27"/>
      <c r="Q26" s="27"/>
    </row>
    <row r="27" spans="1:17">
      <c r="A27" s="173"/>
      <c r="B27" s="192">
        <v>2023</v>
      </c>
      <c r="C27" s="174">
        <v>5</v>
      </c>
      <c r="D27" s="173">
        <v>5</v>
      </c>
      <c r="E27" s="173">
        <v>0</v>
      </c>
      <c r="F27" s="173">
        <v>0</v>
      </c>
      <c r="G27" s="173">
        <v>0</v>
      </c>
      <c r="H27" s="173">
        <v>0</v>
      </c>
      <c r="I27" s="173">
        <v>0</v>
      </c>
      <c r="J27" s="173">
        <v>0</v>
      </c>
      <c r="K27" s="173">
        <v>0</v>
      </c>
      <c r="L27" s="173">
        <v>0</v>
      </c>
      <c r="M27" s="173">
        <v>0</v>
      </c>
      <c r="N27" s="173">
        <v>0</v>
      </c>
      <c r="O27" s="173">
        <v>0</v>
      </c>
      <c r="P27" s="27"/>
      <c r="Q27" s="27"/>
    </row>
    <row r="28" spans="1:17">
      <c r="A28" s="173"/>
      <c r="B28" s="192">
        <v>2022</v>
      </c>
      <c r="C28" s="174">
        <v>4</v>
      </c>
      <c r="D28" s="173">
        <v>4</v>
      </c>
      <c r="E28" s="173">
        <v>6</v>
      </c>
      <c r="F28" s="173">
        <v>3</v>
      </c>
      <c r="G28" s="173">
        <v>14</v>
      </c>
      <c r="H28" s="173">
        <v>8</v>
      </c>
      <c r="I28" s="173">
        <v>5</v>
      </c>
      <c r="J28" s="173">
        <v>2</v>
      </c>
      <c r="K28" s="173">
        <v>8</v>
      </c>
      <c r="L28" s="173">
        <v>0</v>
      </c>
      <c r="M28" s="173">
        <v>3</v>
      </c>
      <c r="N28" s="173">
        <v>4</v>
      </c>
      <c r="O28" s="173">
        <v>8</v>
      </c>
      <c r="P28" s="27"/>
      <c r="Q28" s="27"/>
    </row>
    <row r="29" spans="1:17">
      <c r="A29" s="192"/>
      <c r="B29" s="173"/>
      <c r="C29" s="174"/>
      <c r="D29" s="173"/>
      <c r="E29" s="173"/>
      <c r="F29" s="173"/>
      <c r="G29" s="173"/>
      <c r="H29" s="173"/>
      <c r="I29" s="173"/>
      <c r="J29" s="173"/>
      <c r="K29" s="173"/>
      <c r="L29" s="173"/>
      <c r="M29" s="173"/>
      <c r="N29" s="173"/>
      <c r="O29" s="173"/>
      <c r="P29" s="27"/>
      <c r="Q29" s="27"/>
    </row>
    <row r="30" spans="1:17">
      <c r="A30" s="192" t="s">
        <v>309</v>
      </c>
      <c r="B30" s="173"/>
      <c r="C30" s="174"/>
      <c r="D30" s="173"/>
      <c r="E30" s="173"/>
      <c r="F30" s="173"/>
      <c r="G30" s="173"/>
      <c r="H30" s="173"/>
      <c r="I30" s="173"/>
      <c r="J30" s="173"/>
      <c r="K30" s="173"/>
      <c r="L30" s="173"/>
      <c r="M30" s="173"/>
      <c r="N30" s="173"/>
      <c r="O30" s="173"/>
      <c r="P30" s="27"/>
      <c r="Q30" s="27"/>
    </row>
    <row r="31" spans="1:17">
      <c r="A31" s="173"/>
      <c r="B31" s="192">
        <v>2022</v>
      </c>
      <c r="C31" s="174">
        <v>1</v>
      </c>
      <c r="D31" s="173">
        <v>1</v>
      </c>
      <c r="E31" s="173">
        <v>1</v>
      </c>
      <c r="F31" s="173">
        <v>1</v>
      </c>
      <c r="G31" s="173">
        <v>0</v>
      </c>
      <c r="H31" s="173">
        <v>2</v>
      </c>
      <c r="I31" s="173">
        <v>0</v>
      </c>
      <c r="J31" s="173">
        <v>0</v>
      </c>
      <c r="K31" s="173">
        <v>1</v>
      </c>
      <c r="L31" s="173">
        <v>0</v>
      </c>
      <c r="M31" s="173">
        <v>1</v>
      </c>
      <c r="N31" s="173">
        <v>1</v>
      </c>
      <c r="O31" s="173">
        <v>1</v>
      </c>
      <c r="P31" s="27"/>
      <c r="Q31" s="27"/>
    </row>
    <row r="32" spans="1:17">
      <c r="A32" s="192"/>
      <c r="B32" s="173"/>
      <c r="C32" s="174"/>
      <c r="D32" s="173"/>
      <c r="E32" s="173"/>
      <c r="F32" s="173"/>
      <c r="G32" s="173"/>
      <c r="H32" s="173"/>
      <c r="I32" s="173"/>
      <c r="J32" s="173"/>
      <c r="K32" s="173"/>
      <c r="L32" s="173"/>
      <c r="M32" s="173"/>
      <c r="N32" s="173"/>
      <c r="O32" s="173"/>
      <c r="P32" s="27"/>
      <c r="Q32" s="27"/>
    </row>
    <row r="33" spans="1:17">
      <c r="A33" s="192" t="s">
        <v>538</v>
      </c>
      <c r="B33" s="173"/>
      <c r="C33" s="174"/>
      <c r="D33" s="173"/>
      <c r="E33" s="173"/>
      <c r="F33" s="173"/>
      <c r="G33" s="173"/>
      <c r="H33" s="173"/>
      <c r="I33" s="173"/>
      <c r="J33" s="173"/>
      <c r="K33" s="173"/>
      <c r="L33" s="173"/>
      <c r="M33" s="173"/>
      <c r="N33" s="173"/>
      <c r="O33" s="173"/>
      <c r="P33" s="27"/>
      <c r="Q33" s="27"/>
    </row>
    <row r="34" spans="1:17">
      <c r="A34" s="173"/>
      <c r="B34" s="192">
        <v>2023</v>
      </c>
      <c r="C34" s="174">
        <v>7</v>
      </c>
      <c r="D34" s="173">
        <v>7</v>
      </c>
      <c r="E34" s="173">
        <v>0</v>
      </c>
      <c r="F34" s="173">
        <v>0</v>
      </c>
      <c r="G34" s="173">
        <v>0</v>
      </c>
      <c r="H34" s="173">
        <v>0</v>
      </c>
      <c r="I34" s="173">
        <v>0</v>
      </c>
      <c r="J34" s="173">
        <v>0</v>
      </c>
      <c r="K34" s="173">
        <v>0</v>
      </c>
      <c r="L34" s="173">
        <v>0</v>
      </c>
      <c r="M34" s="173">
        <v>0</v>
      </c>
      <c r="N34" s="173">
        <v>0</v>
      </c>
      <c r="O34" s="173">
        <v>0</v>
      </c>
      <c r="P34" s="27"/>
      <c r="Q34" s="27"/>
    </row>
    <row r="35" spans="1:17">
      <c r="A35" s="173"/>
      <c r="B35" s="192">
        <v>2022</v>
      </c>
      <c r="C35" s="174">
        <v>7</v>
      </c>
      <c r="D35" s="173">
        <v>7</v>
      </c>
      <c r="E35" s="173">
        <v>8</v>
      </c>
      <c r="F35" s="173">
        <v>6</v>
      </c>
      <c r="G35" s="173">
        <v>17</v>
      </c>
      <c r="H35" s="173">
        <v>13</v>
      </c>
      <c r="I35" s="173">
        <v>6</v>
      </c>
      <c r="J35" s="173">
        <v>3</v>
      </c>
      <c r="K35" s="173">
        <v>9</v>
      </c>
      <c r="L35" s="173">
        <v>2</v>
      </c>
      <c r="M35" s="173">
        <v>7</v>
      </c>
      <c r="N35" s="173">
        <v>11</v>
      </c>
      <c r="O35" s="173">
        <v>14</v>
      </c>
      <c r="P35" s="27"/>
      <c r="Q35" s="27"/>
    </row>
    <row r="36" spans="1:17">
      <c r="A36" s="192"/>
      <c r="B36" s="173"/>
      <c r="C36" s="174"/>
      <c r="D36" s="173"/>
      <c r="E36" s="173"/>
      <c r="F36" s="173"/>
      <c r="G36" s="173"/>
      <c r="H36" s="173"/>
      <c r="I36" s="173"/>
      <c r="J36" s="173"/>
      <c r="K36" s="173"/>
      <c r="L36" s="173"/>
      <c r="M36" s="173"/>
      <c r="N36" s="173"/>
      <c r="O36" s="173"/>
      <c r="P36" s="27"/>
      <c r="Q36" s="27"/>
    </row>
    <row r="37" spans="1:17">
      <c r="P37" s="27"/>
      <c r="Q37" s="27"/>
    </row>
    <row r="38" spans="1:17">
      <c r="A38" s="27" t="s">
        <v>716</v>
      </c>
      <c r="P38" s="27"/>
      <c r="Q38" s="27"/>
    </row>
    <row r="39" spans="1:17">
      <c r="P39" s="27"/>
      <c r="Q39" s="27"/>
    </row>
    <row r="40" spans="1:17">
      <c r="P40" s="27"/>
      <c r="Q40" s="27"/>
    </row>
    <row r="41" spans="1:17">
      <c r="P41" s="27"/>
      <c r="Q41" s="27"/>
    </row>
    <row r="42" spans="1:17">
      <c r="P42" s="27"/>
      <c r="Q42" s="27"/>
    </row>
    <row r="43" spans="1:17">
      <c r="P43" s="27"/>
      <c r="Q43" s="27"/>
    </row>
    <row r="44" spans="1:17">
      <c r="P44" s="27"/>
      <c r="Q44" s="27"/>
    </row>
    <row r="45" spans="1:17">
      <c r="P45" s="27"/>
      <c r="Q45" s="27"/>
    </row>
    <row r="46" spans="1:17">
      <c r="P46" s="27"/>
      <c r="Q46" s="27"/>
    </row>
    <row r="47" spans="1:17">
      <c r="P47" s="27"/>
      <c r="Q47" s="27"/>
    </row>
    <row r="48" spans="1:17">
      <c r="P48" s="27"/>
      <c r="Q48" s="27"/>
    </row>
    <row r="49" spans="1:17">
      <c r="P49" s="27"/>
      <c r="Q49" s="27"/>
    </row>
    <row r="50" spans="1:17">
      <c r="P50" s="27"/>
      <c r="Q50" s="27"/>
    </row>
    <row r="51" spans="1:17">
      <c r="B51" s="27"/>
      <c r="C51" s="27"/>
      <c r="D51" s="27"/>
      <c r="E51" s="27"/>
      <c r="F51" s="27"/>
      <c r="G51" s="27"/>
      <c r="H51" s="27"/>
      <c r="I51" s="27"/>
      <c r="J51" s="27"/>
      <c r="K51" s="27"/>
      <c r="L51" s="27"/>
      <c r="M51" s="27"/>
      <c r="N51" s="27"/>
      <c r="O51" s="27"/>
      <c r="P51" s="27"/>
      <c r="Q51" s="27"/>
    </row>
    <row r="52" spans="1:17">
      <c r="A52" s="27"/>
      <c r="B52" s="27"/>
      <c r="C52" s="27"/>
      <c r="D52" s="27"/>
      <c r="E52" s="27"/>
      <c r="F52" s="27"/>
      <c r="G52" s="27"/>
      <c r="H52" s="27"/>
      <c r="I52" s="27"/>
      <c r="J52" s="27"/>
      <c r="K52" s="27"/>
      <c r="L52" s="27"/>
      <c r="M52" s="27"/>
      <c r="N52" s="27"/>
      <c r="O52" s="27"/>
      <c r="P52" s="27"/>
      <c r="Q52" s="27"/>
    </row>
    <row r="53" spans="1:17">
      <c r="A53" s="27"/>
      <c r="B53" s="27"/>
      <c r="C53" s="27"/>
      <c r="D53" s="27"/>
      <c r="E53" s="27"/>
      <c r="F53" s="27"/>
      <c r="G53" s="27"/>
      <c r="H53" s="27"/>
      <c r="I53" s="27"/>
      <c r="J53" s="27"/>
      <c r="K53" s="27"/>
      <c r="L53" s="27"/>
      <c r="M53" s="27"/>
      <c r="N53" s="27"/>
      <c r="O53" s="27"/>
      <c r="P53" s="27"/>
      <c r="Q53" s="27"/>
    </row>
    <row r="54" spans="1:17">
      <c r="A54" s="27"/>
      <c r="B54" s="27"/>
      <c r="C54" s="27"/>
      <c r="D54" s="27"/>
      <c r="E54" s="27"/>
      <c r="F54" s="27"/>
      <c r="G54" s="27"/>
      <c r="H54" s="27"/>
      <c r="I54" s="27"/>
      <c r="J54" s="27"/>
      <c r="K54" s="27"/>
      <c r="L54" s="27"/>
      <c r="M54" s="27"/>
      <c r="N54" s="27"/>
      <c r="O54" s="27"/>
      <c r="P54" s="27"/>
      <c r="Q54" s="27"/>
    </row>
    <row r="55" spans="1:17">
      <c r="A55" s="27"/>
      <c r="B55" s="27"/>
      <c r="C55" s="27"/>
      <c r="D55" s="27"/>
      <c r="E55" s="27"/>
      <c r="F55" s="27"/>
      <c r="G55" s="27"/>
      <c r="H55" s="27"/>
      <c r="I55" s="27"/>
      <c r="J55" s="27"/>
      <c r="K55" s="27"/>
      <c r="L55" s="27"/>
      <c r="M55" s="27"/>
      <c r="N55" s="27"/>
      <c r="O55" s="27"/>
      <c r="P55" s="27"/>
      <c r="Q55" s="27"/>
    </row>
    <row r="56" spans="1:17">
      <c r="A56" s="27"/>
      <c r="B56" s="27"/>
      <c r="C56" s="27"/>
      <c r="D56" s="27"/>
      <c r="E56" s="27"/>
      <c r="F56" s="27"/>
      <c r="G56" s="27"/>
      <c r="H56" s="27"/>
      <c r="I56" s="27"/>
      <c r="J56" s="27"/>
      <c r="K56" s="27"/>
      <c r="L56" s="27"/>
      <c r="M56" s="27"/>
      <c r="N56" s="27"/>
      <c r="O56" s="27"/>
      <c r="P56" s="27"/>
      <c r="Q56" s="27"/>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8" activePane="bottomLeft" state="frozen"/>
      <selection activeCell="D49" sqref="D49"/>
      <selection pane="bottomLeft" activeCell="A31" sqref="A31"/>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61" t="s">
        <v>481</v>
      </c>
      <c r="D2" s="61"/>
      <c r="E2" s="61"/>
      <c r="F2" s="61"/>
      <c r="G2" s="61"/>
    </row>
    <row r="4" spans="1:12">
      <c r="A4" s="8" t="s">
        <v>482</v>
      </c>
      <c r="B4" s="60"/>
      <c r="C4" s="70"/>
      <c r="D4" s="70"/>
      <c r="E4" s="27"/>
      <c r="F4" s="27"/>
      <c r="G4" s="27"/>
      <c r="H4" s="257" t="s">
        <v>483</v>
      </c>
      <c r="I4" s="257"/>
      <c r="J4" s="257"/>
      <c r="K4" s="257"/>
      <c r="L4" s="257"/>
    </row>
    <row r="5" spans="1:12">
      <c r="A5" s="112"/>
      <c r="B5" s="113"/>
      <c r="C5" s="260" t="s">
        <v>571</v>
      </c>
      <c r="D5" s="259"/>
      <c r="E5" s="260" t="s">
        <v>571</v>
      </c>
      <c r="F5" s="259"/>
      <c r="G5" s="261" t="s">
        <v>572</v>
      </c>
      <c r="H5" s="262"/>
      <c r="I5" s="258" t="s">
        <v>573</v>
      </c>
      <c r="J5" s="259"/>
      <c r="K5" s="258" t="s">
        <v>573</v>
      </c>
      <c r="L5" s="259"/>
    </row>
    <row r="6" spans="1:12">
      <c r="A6" s="112"/>
      <c r="B6" s="113" t="s">
        <v>484</v>
      </c>
      <c r="C6" s="114" t="str">
        <f>Innehåll!D79</f>
        <v xml:space="preserve"> 2023-01</v>
      </c>
      <c r="D6" s="114" t="str">
        <f>Innehåll!D80</f>
        <v xml:space="preserve"> 2022-01</v>
      </c>
      <c r="E6" s="114" t="str">
        <f>Innehåll!D81</f>
        <v>YTD  2023</v>
      </c>
      <c r="F6" s="114" t="str">
        <f>Innehåll!D82</f>
        <v>YTD  2022</v>
      </c>
      <c r="G6" s="115" t="str">
        <f>C6</f>
        <v xml:space="preserve"> 2023-01</v>
      </c>
      <c r="H6" s="116" t="str">
        <f>E6</f>
        <v>YTD  2023</v>
      </c>
      <c r="I6" s="114" t="str">
        <f>C6</f>
        <v xml:space="preserve"> 2023-01</v>
      </c>
      <c r="J6" s="117" t="str">
        <f>E6</f>
        <v>YTD  2023</v>
      </c>
      <c r="K6" s="118" t="str">
        <f>D6</f>
        <v xml:space="preserve"> 2022-01</v>
      </c>
      <c r="L6" s="118" t="str">
        <f>F6</f>
        <v>YTD  2022</v>
      </c>
    </row>
    <row r="7" spans="1:12" ht="15" hidden="1" customHeight="1">
      <c r="A7" s="60" t="s">
        <v>33</v>
      </c>
      <c r="B7" s="60" t="s">
        <v>34</v>
      </c>
      <c r="C7" s="60" t="s">
        <v>35</v>
      </c>
      <c r="D7" s="60" t="s">
        <v>36</v>
      </c>
      <c r="E7" s="60" t="s">
        <v>37</v>
      </c>
      <c r="F7" s="60" t="s">
        <v>38</v>
      </c>
      <c r="G7" s="60" t="s">
        <v>39</v>
      </c>
      <c r="H7" s="60" t="s">
        <v>40</v>
      </c>
      <c r="I7" s="60" t="s">
        <v>41</v>
      </c>
      <c r="J7" s="60" t="s">
        <v>42</v>
      </c>
      <c r="K7" s="60" t="s">
        <v>43</v>
      </c>
      <c r="L7" s="60" t="s">
        <v>44</v>
      </c>
    </row>
    <row r="8" spans="1:12">
      <c r="A8" s="60">
        <v>1</v>
      </c>
      <c r="B8" s="60" t="s">
        <v>52</v>
      </c>
      <c r="C8" s="60">
        <v>882</v>
      </c>
      <c r="D8" s="60">
        <v>1355</v>
      </c>
      <c r="E8" s="60">
        <v>882</v>
      </c>
      <c r="F8" s="60">
        <v>1355</v>
      </c>
      <c r="G8" s="60">
        <v>-34.909999999999997</v>
      </c>
      <c r="H8" s="60">
        <v>-34.909999999999997</v>
      </c>
      <c r="I8" s="60">
        <v>6.04</v>
      </c>
      <c r="J8" s="60">
        <v>6.04</v>
      </c>
      <c r="K8" s="60">
        <v>6.81</v>
      </c>
      <c r="L8" s="60">
        <v>6.81</v>
      </c>
    </row>
    <row r="9" spans="1:12">
      <c r="A9" s="60">
        <v>2</v>
      </c>
      <c r="B9" s="60" t="s">
        <v>48</v>
      </c>
      <c r="C9" s="60">
        <v>792</v>
      </c>
      <c r="D9" s="60">
        <v>884</v>
      </c>
      <c r="E9" s="60">
        <v>792</v>
      </c>
      <c r="F9" s="60">
        <v>884</v>
      </c>
      <c r="G9" s="60">
        <v>-10.41</v>
      </c>
      <c r="H9" s="60">
        <v>-10.41</v>
      </c>
      <c r="I9" s="60">
        <v>5.42</v>
      </c>
      <c r="J9" s="60">
        <v>5.42</v>
      </c>
      <c r="K9" s="60">
        <v>4.4400000000000004</v>
      </c>
      <c r="L9" s="60">
        <v>4.4400000000000004</v>
      </c>
    </row>
    <row r="10" spans="1:12">
      <c r="A10" s="60">
        <v>3</v>
      </c>
      <c r="B10" s="60" t="s">
        <v>45</v>
      </c>
      <c r="C10" s="60">
        <v>656</v>
      </c>
      <c r="D10" s="60">
        <v>849</v>
      </c>
      <c r="E10" s="60">
        <v>656</v>
      </c>
      <c r="F10" s="60">
        <v>849</v>
      </c>
      <c r="G10" s="60">
        <v>-22.73</v>
      </c>
      <c r="H10" s="60">
        <v>-22.73</v>
      </c>
      <c r="I10" s="60">
        <v>4.49</v>
      </c>
      <c r="J10" s="60">
        <v>4.49</v>
      </c>
      <c r="K10" s="60">
        <v>4.2699999999999996</v>
      </c>
      <c r="L10" s="60">
        <v>4.2699999999999996</v>
      </c>
    </row>
    <row r="11" spans="1:12">
      <c r="A11" s="60">
        <v>4</v>
      </c>
      <c r="B11" s="60" t="s">
        <v>666</v>
      </c>
      <c r="C11" s="60">
        <v>425</v>
      </c>
      <c r="D11" s="60">
        <v>293</v>
      </c>
      <c r="E11" s="60">
        <v>425</v>
      </c>
      <c r="F11" s="60">
        <v>293</v>
      </c>
      <c r="G11" s="60">
        <v>45.05</v>
      </c>
      <c r="H11" s="60">
        <v>45.05</v>
      </c>
      <c r="I11" s="60">
        <v>2.91</v>
      </c>
      <c r="J11" s="60">
        <v>2.91</v>
      </c>
      <c r="K11" s="60">
        <v>1.47</v>
      </c>
      <c r="L11" s="60">
        <v>1.47</v>
      </c>
    </row>
    <row r="12" spans="1:12">
      <c r="A12" s="60">
        <v>5</v>
      </c>
      <c r="B12" s="60" t="s">
        <v>670</v>
      </c>
      <c r="C12" s="60">
        <v>372</v>
      </c>
      <c r="D12" s="60">
        <v>67</v>
      </c>
      <c r="E12" s="60">
        <v>372</v>
      </c>
      <c r="F12" s="60">
        <v>67</v>
      </c>
      <c r="G12" s="60">
        <v>455.22</v>
      </c>
      <c r="H12" s="60">
        <v>455.22</v>
      </c>
      <c r="I12" s="60">
        <v>2.5499999999999998</v>
      </c>
      <c r="J12" s="60">
        <v>2.5499999999999998</v>
      </c>
      <c r="K12" s="60">
        <v>0.34</v>
      </c>
      <c r="L12" s="60">
        <v>0.34</v>
      </c>
    </row>
    <row r="13" spans="1:12">
      <c r="A13" s="60">
        <v>6</v>
      </c>
      <c r="B13" s="60" t="s">
        <v>1058</v>
      </c>
      <c r="C13" s="60">
        <v>330</v>
      </c>
      <c r="D13" s="60">
        <v>0</v>
      </c>
      <c r="E13" s="60">
        <v>330</v>
      </c>
      <c r="F13" s="60">
        <v>0</v>
      </c>
      <c r="G13" s="60">
        <v>0</v>
      </c>
      <c r="H13" s="60">
        <v>0</v>
      </c>
      <c r="I13" s="60">
        <v>2.2599999999999998</v>
      </c>
      <c r="J13" s="60">
        <v>2.2599999999999998</v>
      </c>
      <c r="K13" s="60">
        <v>0</v>
      </c>
      <c r="L13" s="60">
        <v>0</v>
      </c>
    </row>
    <row r="14" spans="1:12">
      <c r="A14" s="60">
        <v>7</v>
      </c>
      <c r="B14" s="60" t="s">
        <v>665</v>
      </c>
      <c r="C14" s="60">
        <v>306</v>
      </c>
      <c r="D14" s="60">
        <v>270</v>
      </c>
      <c r="E14" s="60">
        <v>306</v>
      </c>
      <c r="F14" s="60">
        <v>270</v>
      </c>
      <c r="G14" s="60">
        <v>13.33</v>
      </c>
      <c r="H14" s="60">
        <v>13.33</v>
      </c>
      <c r="I14" s="60">
        <v>2.1</v>
      </c>
      <c r="J14" s="60">
        <v>2.1</v>
      </c>
      <c r="K14" s="60">
        <v>1.36</v>
      </c>
      <c r="L14" s="60">
        <v>1.36</v>
      </c>
    </row>
    <row r="15" spans="1:12">
      <c r="A15" s="60">
        <v>8</v>
      </c>
      <c r="B15" s="60" t="s">
        <v>95</v>
      </c>
      <c r="C15" s="60">
        <v>303</v>
      </c>
      <c r="D15" s="60">
        <v>9</v>
      </c>
      <c r="E15" s="60">
        <v>303</v>
      </c>
      <c r="F15" s="60">
        <v>9</v>
      </c>
      <c r="G15" s="60">
        <v>3266.67</v>
      </c>
      <c r="H15" s="60">
        <v>3266.67</v>
      </c>
      <c r="I15" s="60">
        <v>2.08</v>
      </c>
      <c r="J15" s="60">
        <v>2.08</v>
      </c>
      <c r="K15" s="60">
        <v>0.05</v>
      </c>
      <c r="L15" s="60">
        <v>0.05</v>
      </c>
    </row>
    <row r="16" spans="1:12">
      <c r="A16" s="60">
        <v>9</v>
      </c>
      <c r="B16" s="60" t="s">
        <v>51</v>
      </c>
      <c r="C16" s="60">
        <v>297</v>
      </c>
      <c r="D16" s="60">
        <v>1287</v>
      </c>
      <c r="E16" s="60">
        <v>297</v>
      </c>
      <c r="F16" s="60">
        <v>1287</v>
      </c>
      <c r="G16" s="60">
        <v>-76.92</v>
      </c>
      <c r="H16" s="60">
        <v>-76.92</v>
      </c>
      <c r="I16" s="60">
        <v>2.0299999999999998</v>
      </c>
      <c r="J16" s="60">
        <v>2.0299999999999998</v>
      </c>
      <c r="K16" s="60">
        <v>6.47</v>
      </c>
      <c r="L16" s="60">
        <v>6.47</v>
      </c>
    </row>
    <row r="17" spans="1:12">
      <c r="A17" s="60">
        <v>10</v>
      </c>
      <c r="B17" s="60" t="s">
        <v>236</v>
      </c>
      <c r="C17" s="60">
        <v>286</v>
      </c>
      <c r="D17" s="60">
        <v>723</v>
      </c>
      <c r="E17" s="60">
        <v>286</v>
      </c>
      <c r="F17" s="60">
        <v>723</v>
      </c>
      <c r="G17" s="60">
        <v>-60.44</v>
      </c>
      <c r="H17" s="60">
        <v>-60.44</v>
      </c>
      <c r="I17" s="60">
        <v>1.96</v>
      </c>
      <c r="J17" s="60">
        <v>1.96</v>
      </c>
      <c r="K17" s="60">
        <v>3.63</v>
      </c>
      <c r="L17" s="60">
        <v>3.63</v>
      </c>
    </row>
    <row r="18" spans="1:12">
      <c r="A18" s="60">
        <v>11</v>
      </c>
      <c r="B18" s="60" t="s">
        <v>513</v>
      </c>
      <c r="C18" s="60">
        <v>276</v>
      </c>
      <c r="D18" s="60">
        <v>683</v>
      </c>
      <c r="E18" s="60">
        <v>276</v>
      </c>
      <c r="F18" s="60">
        <v>683</v>
      </c>
      <c r="G18" s="60">
        <v>-59.59</v>
      </c>
      <c r="H18" s="60">
        <v>-59.59</v>
      </c>
      <c r="I18" s="60">
        <v>1.89</v>
      </c>
      <c r="J18" s="60">
        <v>1.89</v>
      </c>
      <c r="K18" s="60">
        <v>3.43</v>
      </c>
      <c r="L18" s="60">
        <v>3.43</v>
      </c>
    </row>
    <row r="19" spans="1:12">
      <c r="A19" s="60">
        <v>12</v>
      </c>
      <c r="B19" s="60" t="s">
        <v>80</v>
      </c>
      <c r="C19" s="60">
        <v>242</v>
      </c>
      <c r="D19" s="60">
        <v>390</v>
      </c>
      <c r="E19" s="60">
        <v>242</v>
      </c>
      <c r="F19" s="60">
        <v>390</v>
      </c>
      <c r="G19" s="60">
        <v>-37.950000000000003</v>
      </c>
      <c r="H19" s="60">
        <v>-37.950000000000003</v>
      </c>
      <c r="I19" s="60">
        <v>1.66</v>
      </c>
      <c r="J19" s="60">
        <v>1.66</v>
      </c>
      <c r="K19" s="60">
        <v>1.96</v>
      </c>
      <c r="L19" s="60">
        <v>1.96</v>
      </c>
    </row>
    <row r="20" spans="1:12">
      <c r="A20" s="60">
        <v>13</v>
      </c>
      <c r="B20" s="60" t="s">
        <v>63</v>
      </c>
      <c r="C20" s="60">
        <v>238</v>
      </c>
      <c r="D20" s="60">
        <v>81</v>
      </c>
      <c r="E20" s="60">
        <v>238</v>
      </c>
      <c r="F20" s="60">
        <v>81</v>
      </c>
      <c r="G20" s="60">
        <v>193.83</v>
      </c>
      <c r="H20" s="60">
        <v>193.83</v>
      </c>
      <c r="I20" s="60">
        <v>1.63</v>
      </c>
      <c r="J20" s="60">
        <v>1.63</v>
      </c>
      <c r="K20" s="60">
        <v>0.41</v>
      </c>
      <c r="L20" s="60">
        <v>0.41</v>
      </c>
    </row>
    <row r="21" spans="1:12">
      <c r="A21" s="60">
        <v>14</v>
      </c>
      <c r="B21" s="60" t="s">
        <v>59</v>
      </c>
      <c r="C21" s="60">
        <v>228</v>
      </c>
      <c r="D21" s="60">
        <v>598</v>
      </c>
      <c r="E21" s="60">
        <v>228</v>
      </c>
      <c r="F21" s="60">
        <v>598</v>
      </c>
      <c r="G21" s="60">
        <v>-61.87</v>
      </c>
      <c r="H21" s="60">
        <v>-61.87</v>
      </c>
      <c r="I21" s="60">
        <v>1.56</v>
      </c>
      <c r="J21" s="60">
        <v>1.56</v>
      </c>
      <c r="K21" s="60">
        <v>3.01</v>
      </c>
      <c r="L21" s="60">
        <v>3.01</v>
      </c>
    </row>
    <row r="22" spans="1:12">
      <c r="A22" s="60">
        <v>15</v>
      </c>
      <c r="B22" s="60" t="s">
        <v>108</v>
      </c>
      <c r="C22" s="60">
        <v>200</v>
      </c>
      <c r="D22" s="60">
        <v>102</v>
      </c>
      <c r="E22" s="60">
        <v>200</v>
      </c>
      <c r="F22" s="60">
        <v>102</v>
      </c>
      <c r="G22" s="60">
        <v>96.08</v>
      </c>
      <c r="H22" s="60">
        <v>96.08</v>
      </c>
      <c r="I22" s="60">
        <v>1.37</v>
      </c>
      <c r="J22" s="60">
        <v>1.37</v>
      </c>
      <c r="K22" s="60">
        <v>0.51</v>
      </c>
      <c r="L22" s="60">
        <v>0.51</v>
      </c>
    </row>
    <row r="23" spans="1:12">
      <c r="A23" s="60">
        <v>16</v>
      </c>
      <c r="B23" s="60" t="s">
        <v>47</v>
      </c>
      <c r="C23" s="60">
        <v>186</v>
      </c>
      <c r="D23" s="60">
        <v>158</v>
      </c>
      <c r="E23" s="60">
        <v>186</v>
      </c>
      <c r="F23" s="60">
        <v>158</v>
      </c>
      <c r="G23" s="60">
        <v>17.72</v>
      </c>
      <c r="H23" s="60">
        <v>17.72</v>
      </c>
      <c r="I23" s="60">
        <v>1.27</v>
      </c>
      <c r="J23" s="60">
        <v>1.27</v>
      </c>
      <c r="K23" s="60">
        <v>0.79</v>
      </c>
      <c r="L23" s="60">
        <v>0.79</v>
      </c>
    </row>
    <row r="24" spans="1:12">
      <c r="A24" s="60">
        <v>17</v>
      </c>
      <c r="B24" s="60" t="s">
        <v>516</v>
      </c>
      <c r="C24" s="60">
        <v>178</v>
      </c>
      <c r="D24" s="60">
        <v>8</v>
      </c>
      <c r="E24" s="60">
        <v>178</v>
      </c>
      <c r="F24" s="60">
        <v>8</v>
      </c>
      <c r="G24" s="60">
        <v>2125</v>
      </c>
      <c r="H24" s="60">
        <v>2125</v>
      </c>
      <c r="I24" s="60">
        <v>1.22</v>
      </c>
      <c r="J24" s="60">
        <v>1.22</v>
      </c>
      <c r="K24" s="60">
        <v>0.04</v>
      </c>
      <c r="L24" s="60">
        <v>0.04</v>
      </c>
    </row>
    <row r="25" spans="1:12">
      <c r="A25" s="60">
        <v>18</v>
      </c>
      <c r="B25" s="60" t="s">
        <v>129</v>
      </c>
      <c r="C25" s="60">
        <v>175</v>
      </c>
      <c r="D25" s="60">
        <v>88</v>
      </c>
      <c r="E25" s="60">
        <v>175</v>
      </c>
      <c r="F25" s="60">
        <v>88</v>
      </c>
      <c r="G25" s="60">
        <v>98.86</v>
      </c>
      <c r="H25" s="60">
        <v>98.86</v>
      </c>
      <c r="I25" s="60">
        <v>1.2</v>
      </c>
      <c r="J25" s="60">
        <v>1.2</v>
      </c>
      <c r="K25" s="60">
        <v>0.44</v>
      </c>
      <c r="L25" s="60">
        <v>0.44</v>
      </c>
    </row>
    <row r="26" spans="1:12">
      <c r="A26" s="60">
        <v>19</v>
      </c>
      <c r="B26" s="60" t="s">
        <v>61</v>
      </c>
      <c r="C26" s="60">
        <v>173</v>
      </c>
      <c r="D26" s="60">
        <v>203</v>
      </c>
      <c r="E26" s="60">
        <v>173</v>
      </c>
      <c r="F26" s="60">
        <v>203</v>
      </c>
      <c r="G26" s="60">
        <v>-14.78</v>
      </c>
      <c r="H26" s="60">
        <v>-14.78</v>
      </c>
      <c r="I26" s="60">
        <v>1.18</v>
      </c>
      <c r="J26" s="60">
        <v>1.18</v>
      </c>
      <c r="K26" s="60">
        <v>1.02</v>
      </c>
      <c r="L26" s="60">
        <v>1.02</v>
      </c>
    </row>
    <row r="27" spans="1:12">
      <c r="A27" s="60">
        <v>20</v>
      </c>
      <c r="B27" s="60" t="s">
        <v>56</v>
      </c>
      <c r="C27" s="60">
        <v>170</v>
      </c>
      <c r="D27" s="60">
        <v>271</v>
      </c>
      <c r="E27" s="60">
        <v>170</v>
      </c>
      <c r="F27" s="60">
        <v>271</v>
      </c>
      <c r="G27" s="60">
        <v>-37.270000000000003</v>
      </c>
      <c r="H27" s="60">
        <v>-37.270000000000003</v>
      </c>
      <c r="I27" s="60">
        <v>1.1599999999999999</v>
      </c>
      <c r="J27" s="60">
        <v>1.1599999999999999</v>
      </c>
      <c r="K27" s="60">
        <v>1.36</v>
      </c>
      <c r="L27" s="60">
        <v>1.36</v>
      </c>
    </row>
    <row r="28" spans="1:12">
      <c r="A28" s="60">
        <v>21</v>
      </c>
      <c r="B28" s="60" t="s">
        <v>91</v>
      </c>
      <c r="C28" s="60">
        <v>167</v>
      </c>
      <c r="D28" s="60">
        <v>128</v>
      </c>
      <c r="E28" s="60">
        <v>167</v>
      </c>
      <c r="F28" s="60">
        <v>128</v>
      </c>
      <c r="G28" s="60">
        <v>30.47</v>
      </c>
      <c r="H28" s="60">
        <v>30.47</v>
      </c>
      <c r="I28" s="60">
        <v>1.1399999999999999</v>
      </c>
      <c r="J28" s="60">
        <v>1.1399999999999999</v>
      </c>
      <c r="K28" s="60">
        <v>0.64</v>
      </c>
      <c r="L28" s="60">
        <v>0.64</v>
      </c>
    </row>
    <row r="29" spans="1:12">
      <c r="A29" s="60">
        <v>22</v>
      </c>
      <c r="B29" s="60" t="s">
        <v>679</v>
      </c>
      <c r="C29" s="60">
        <v>165</v>
      </c>
      <c r="D29" s="60">
        <v>98</v>
      </c>
      <c r="E29" s="60">
        <v>165</v>
      </c>
      <c r="F29" s="60">
        <v>98</v>
      </c>
      <c r="G29" s="60">
        <v>68.37</v>
      </c>
      <c r="H29" s="60">
        <v>68.37</v>
      </c>
      <c r="I29" s="60">
        <v>1.1299999999999999</v>
      </c>
      <c r="J29" s="60">
        <v>1.1299999999999999</v>
      </c>
      <c r="K29" s="60">
        <v>0.49</v>
      </c>
      <c r="L29" s="60">
        <v>0.49</v>
      </c>
    </row>
    <row r="30" spans="1:12">
      <c r="A30" s="60">
        <v>23</v>
      </c>
      <c r="B30" s="60" t="s">
        <v>76</v>
      </c>
      <c r="C30" s="60">
        <v>155</v>
      </c>
      <c r="D30" s="60">
        <v>192</v>
      </c>
      <c r="E30" s="60">
        <v>155</v>
      </c>
      <c r="F30" s="60">
        <v>192</v>
      </c>
      <c r="G30" s="60">
        <v>-19.27</v>
      </c>
      <c r="H30" s="60">
        <v>-19.27</v>
      </c>
      <c r="I30" s="60">
        <v>1.06</v>
      </c>
      <c r="J30" s="60">
        <v>1.06</v>
      </c>
      <c r="K30" s="60">
        <v>0.97</v>
      </c>
      <c r="L30" s="60">
        <v>0.97</v>
      </c>
    </row>
    <row r="31" spans="1:12">
      <c r="A31" s="60">
        <v>24</v>
      </c>
      <c r="B31" s="60" t="s">
        <v>603</v>
      </c>
      <c r="C31" s="60">
        <v>153</v>
      </c>
      <c r="D31" s="60">
        <v>200</v>
      </c>
      <c r="E31" s="60">
        <v>153</v>
      </c>
      <c r="F31" s="60">
        <v>200</v>
      </c>
      <c r="G31" s="60">
        <v>-23.5</v>
      </c>
      <c r="H31" s="60">
        <v>-23.5</v>
      </c>
      <c r="I31" s="60">
        <v>1.05</v>
      </c>
      <c r="J31" s="60">
        <v>1.05</v>
      </c>
      <c r="K31" s="60">
        <v>1.01</v>
      </c>
      <c r="L31" s="60">
        <v>1.01</v>
      </c>
    </row>
    <row r="32" spans="1:12">
      <c r="A32" s="60">
        <v>25</v>
      </c>
      <c r="B32" s="60" t="s">
        <v>46</v>
      </c>
      <c r="C32" s="60">
        <v>152</v>
      </c>
      <c r="D32" s="60">
        <v>352</v>
      </c>
      <c r="E32" s="60">
        <v>152</v>
      </c>
      <c r="F32" s="60">
        <v>352</v>
      </c>
      <c r="G32" s="60">
        <v>-56.82</v>
      </c>
      <c r="H32" s="60">
        <v>-56.82</v>
      </c>
      <c r="I32" s="60">
        <v>1.04</v>
      </c>
      <c r="J32" s="60">
        <v>1.04</v>
      </c>
      <c r="K32" s="60">
        <v>1.77</v>
      </c>
      <c r="L32" s="60">
        <v>1.77</v>
      </c>
    </row>
    <row r="33" spans="1:12">
      <c r="A33" s="60">
        <v>26</v>
      </c>
      <c r="B33" s="60" t="s">
        <v>58</v>
      </c>
      <c r="C33" s="60">
        <v>147</v>
      </c>
      <c r="D33" s="60">
        <v>242</v>
      </c>
      <c r="E33" s="60">
        <v>147</v>
      </c>
      <c r="F33" s="60">
        <v>242</v>
      </c>
      <c r="G33" s="60">
        <v>-39.26</v>
      </c>
      <c r="H33" s="60">
        <v>-39.26</v>
      </c>
      <c r="I33" s="60">
        <v>1.01</v>
      </c>
      <c r="J33" s="60">
        <v>1.01</v>
      </c>
      <c r="K33" s="60">
        <v>1.22</v>
      </c>
      <c r="L33" s="60">
        <v>1.22</v>
      </c>
    </row>
    <row r="34" spans="1:12">
      <c r="A34" s="60">
        <v>27</v>
      </c>
      <c r="B34" s="60" t="s">
        <v>72</v>
      </c>
      <c r="C34" s="60">
        <v>146</v>
      </c>
      <c r="D34" s="60">
        <v>190</v>
      </c>
      <c r="E34" s="60">
        <v>146</v>
      </c>
      <c r="F34" s="60">
        <v>190</v>
      </c>
      <c r="G34" s="60">
        <v>-23.16</v>
      </c>
      <c r="H34" s="60">
        <v>-23.16</v>
      </c>
      <c r="I34" s="60">
        <v>1</v>
      </c>
      <c r="J34" s="60">
        <v>1</v>
      </c>
      <c r="K34" s="60">
        <v>0.96</v>
      </c>
      <c r="L34" s="60">
        <v>0.96</v>
      </c>
    </row>
    <row r="35" spans="1:12">
      <c r="A35" s="60">
        <v>28</v>
      </c>
      <c r="B35" s="60" t="s">
        <v>87</v>
      </c>
      <c r="C35" s="60">
        <v>134</v>
      </c>
      <c r="D35" s="60">
        <v>176</v>
      </c>
      <c r="E35" s="60">
        <v>134</v>
      </c>
      <c r="F35" s="60">
        <v>176</v>
      </c>
      <c r="G35" s="60">
        <v>-23.86</v>
      </c>
      <c r="H35" s="60">
        <v>-23.86</v>
      </c>
      <c r="I35" s="60">
        <v>0.92</v>
      </c>
      <c r="J35" s="60">
        <v>0.92</v>
      </c>
      <c r="K35" s="60">
        <v>0.88</v>
      </c>
      <c r="L35" s="60">
        <v>0.88</v>
      </c>
    </row>
    <row r="36" spans="1:12">
      <c r="A36" s="60">
        <v>29</v>
      </c>
      <c r="B36" s="60" t="s">
        <v>55</v>
      </c>
      <c r="C36" s="60">
        <v>130</v>
      </c>
      <c r="D36" s="60">
        <v>247</v>
      </c>
      <c r="E36" s="60">
        <v>130</v>
      </c>
      <c r="F36" s="60">
        <v>247</v>
      </c>
      <c r="G36" s="60">
        <v>-47.37</v>
      </c>
      <c r="H36" s="60">
        <v>-47.37</v>
      </c>
      <c r="I36" s="60">
        <v>0.89</v>
      </c>
      <c r="J36" s="60">
        <v>0.89</v>
      </c>
      <c r="K36" s="60">
        <v>1.24</v>
      </c>
      <c r="L36" s="60">
        <v>1.24</v>
      </c>
    </row>
    <row r="37" spans="1:12">
      <c r="A37" s="60">
        <v>30</v>
      </c>
      <c r="B37" s="60" t="s">
        <v>60</v>
      </c>
      <c r="C37" s="60">
        <v>129</v>
      </c>
      <c r="D37" s="60">
        <v>181</v>
      </c>
      <c r="E37" s="60">
        <v>129</v>
      </c>
      <c r="F37" s="60">
        <v>181</v>
      </c>
      <c r="G37" s="60">
        <v>-28.73</v>
      </c>
      <c r="H37" s="60">
        <v>-28.73</v>
      </c>
      <c r="I37" s="60">
        <v>0.88</v>
      </c>
      <c r="J37" s="60">
        <v>0.88</v>
      </c>
      <c r="K37" s="60">
        <v>0.91</v>
      </c>
      <c r="L37" s="60">
        <v>0.91</v>
      </c>
    </row>
    <row r="38" spans="1:12">
      <c r="A38" s="60">
        <v>31</v>
      </c>
      <c r="B38" s="60" t="s">
        <v>99</v>
      </c>
      <c r="C38" s="60">
        <v>128</v>
      </c>
      <c r="D38" s="60">
        <v>183</v>
      </c>
      <c r="E38" s="60">
        <v>128</v>
      </c>
      <c r="F38" s="60">
        <v>183</v>
      </c>
      <c r="G38" s="60">
        <v>-30.05</v>
      </c>
      <c r="H38" s="60">
        <v>-30.05</v>
      </c>
      <c r="I38" s="60">
        <v>0.88</v>
      </c>
      <c r="J38" s="60">
        <v>0.88</v>
      </c>
      <c r="K38" s="60">
        <v>0.92</v>
      </c>
      <c r="L38" s="60">
        <v>0.92</v>
      </c>
    </row>
    <row r="39" spans="1:12">
      <c r="A39" s="60">
        <v>32</v>
      </c>
      <c r="B39" s="60" t="s">
        <v>605</v>
      </c>
      <c r="C39" s="60">
        <v>126</v>
      </c>
      <c r="D39" s="60">
        <v>155</v>
      </c>
      <c r="E39" s="60">
        <v>126</v>
      </c>
      <c r="F39" s="60">
        <v>155</v>
      </c>
      <c r="G39" s="60">
        <v>-18.71</v>
      </c>
      <c r="H39" s="60">
        <v>-18.71</v>
      </c>
      <c r="I39" s="60">
        <v>0.86</v>
      </c>
      <c r="J39" s="60">
        <v>0.86</v>
      </c>
      <c r="K39" s="60">
        <v>0.78</v>
      </c>
      <c r="L39" s="60">
        <v>0.78</v>
      </c>
    </row>
    <row r="40" spans="1:12">
      <c r="A40" s="60">
        <v>33</v>
      </c>
      <c r="B40" s="60" t="s">
        <v>77</v>
      </c>
      <c r="C40" s="60">
        <v>117</v>
      </c>
      <c r="D40" s="60">
        <v>151</v>
      </c>
      <c r="E40" s="60">
        <v>117</v>
      </c>
      <c r="F40" s="60">
        <v>151</v>
      </c>
      <c r="G40" s="60">
        <v>-22.52</v>
      </c>
      <c r="H40" s="60">
        <v>-22.52</v>
      </c>
      <c r="I40" s="60">
        <v>0.8</v>
      </c>
      <c r="J40" s="60">
        <v>0.8</v>
      </c>
      <c r="K40" s="60">
        <v>0.76</v>
      </c>
      <c r="L40" s="60">
        <v>0.76</v>
      </c>
    </row>
    <row r="41" spans="1:12">
      <c r="A41" s="60">
        <v>34</v>
      </c>
      <c r="B41" s="60" t="s">
        <v>54</v>
      </c>
      <c r="C41" s="60">
        <v>113</v>
      </c>
      <c r="D41" s="60">
        <v>223</v>
      </c>
      <c r="E41" s="60">
        <v>113</v>
      </c>
      <c r="F41" s="60">
        <v>223</v>
      </c>
      <c r="G41" s="60">
        <v>-49.33</v>
      </c>
      <c r="H41" s="60">
        <v>-49.33</v>
      </c>
      <c r="I41" s="60">
        <v>0.77</v>
      </c>
      <c r="J41" s="60">
        <v>0.77</v>
      </c>
      <c r="K41" s="60">
        <v>1.1200000000000001</v>
      </c>
      <c r="L41" s="60">
        <v>1.1200000000000001</v>
      </c>
    </row>
    <row r="42" spans="1:12">
      <c r="A42" s="60">
        <v>35</v>
      </c>
      <c r="B42" s="60" t="s">
        <v>68</v>
      </c>
      <c r="C42" s="60">
        <v>105</v>
      </c>
      <c r="D42" s="60">
        <v>95</v>
      </c>
      <c r="E42" s="60">
        <v>105</v>
      </c>
      <c r="F42" s="60">
        <v>95</v>
      </c>
      <c r="G42" s="60">
        <v>10.53</v>
      </c>
      <c r="H42" s="60">
        <v>10.53</v>
      </c>
      <c r="I42" s="60">
        <v>0.72</v>
      </c>
      <c r="J42" s="60">
        <v>0.72</v>
      </c>
      <c r="K42" s="60">
        <v>0.48</v>
      </c>
      <c r="L42" s="60">
        <v>0.48</v>
      </c>
    </row>
    <row r="43" spans="1:12">
      <c r="A43" s="60">
        <v>36</v>
      </c>
      <c r="B43" s="60" t="s">
        <v>69</v>
      </c>
      <c r="C43" s="60">
        <v>105</v>
      </c>
      <c r="D43" s="60">
        <v>68</v>
      </c>
      <c r="E43" s="60">
        <v>105</v>
      </c>
      <c r="F43" s="60">
        <v>68</v>
      </c>
      <c r="G43" s="60">
        <v>54.41</v>
      </c>
      <c r="H43" s="60">
        <v>54.41</v>
      </c>
      <c r="I43" s="60">
        <v>0.72</v>
      </c>
      <c r="J43" s="60">
        <v>0.72</v>
      </c>
      <c r="K43" s="60">
        <v>0.34</v>
      </c>
      <c r="L43" s="60">
        <v>0.34</v>
      </c>
    </row>
    <row r="44" spans="1:12">
      <c r="A44" s="60">
        <v>37</v>
      </c>
      <c r="B44" s="60" t="s">
        <v>94</v>
      </c>
      <c r="C44" s="60">
        <v>104</v>
      </c>
      <c r="D44" s="60">
        <v>71</v>
      </c>
      <c r="E44" s="60">
        <v>104</v>
      </c>
      <c r="F44" s="60">
        <v>71</v>
      </c>
      <c r="G44" s="60">
        <v>46.48</v>
      </c>
      <c r="H44" s="60">
        <v>46.48</v>
      </c>
      <c r="I44" s="60">
        <v>0.71</v>
      </c>
      <c r="J44" s="60">
        <v>0.71</v>
      </c>
      <c r="K44" s="60">
        <v>0.36</v>
      </c>
      <c r="L44" s="60">
        <v>0.36</v>
      </c>
    </row>
    <row r="45" spans="1:12">
      <c r="A45" s="60">
        <v>38</v>
      </c>
      <c r="B45" s="60" t="s">
        <v>630</v>
      </c>
      <c r="C45" s="60">
        <v>102</v>
      </c>
      <c r="D45" s="60">
        <v>156</v>
      </c>
      <c r="E45" s="60">
        <v>102</v>
      </c>
      <c r="F45" s="60">
        <v>156</v>
      </c>
      <c r="G45" s="60">
        <v>-34.619999999999997</v>
      </c>
      <c r="H45" s="60">
        <v>-34.619999999999997</v>
      </c>
      <c r="I45" s="60">
        <v>0.7</v>
      </c>
      <c r="J45" s="60">
        <v>0.7</v>
      </c>
      <c r="K45" s="60">
        <v>0.78</v>
      </c>
      <c r="L45" s="60">
        <v>0.78</v>
      </c>
    </row>
    <row r="46" spans="1:12">
      <c r="A46" s="60">
        <v>39</v>
      </c>
      <c r="B46" s="60" t="s">
        <v>387</v>
      </c>
      <c r="C46" s="60">
        <v>102</v>
      </c>
      <c r="D46" s="60">
        <v>96</v>
      </c>
      <c r="E46" s="60">
        <v>102</v>
      </c>
      <c r="F46" s="60">
        <v>96</v>
      </c>
      <c r="G46" s="60">
        <v>6.25</v>
      </c>
      <c r="H46" s="60">
        <v>6.25</v>
      </c>
      <c r="I46" s="60">
        <v>0.7</v>
      </c>
      <c r="J46" s="60">
        <v>0.7</v>
      </c>
      <c r="K46" s="60">
        <v>0.48</v>
      </c>
      <c r="L46" s="60">
        <v>0.48</v>
      </c>
    </row>
    <row r="47" spans="1:12">
      <c r="A47" s="60">
        <v>40</v>
      </c>
      <c r="B47" s="60" t="s">
        <v>638</v>
      </c>
      <c r="C47" s="60">
        <v>102</v>
      </c>
      <c r="D47" s="60">
        <v>8</v>
      </c>
      <c r="E47" s="60">
        <v>102</v>
      </c>
      <c r="F47" s="60">
        <v>8</v>
      </c>
      <c r="G47" s="60">
        <v>1175</v>
      </c>
      <c r="H47" s="60">
        <v>1175</v>
      </c>
      <c r="I47" s="60">
        <v>0.7</v>
      </c>
      <c r="J47" s="60">
        <v>0.7</v>
      </c>
      <c r="K47" s="60">
        <v>0.04</v>
      </c>
      <c r="L47" s="60">
        <v>0.04</v>
      </c>
    </row>
    <row r="48" spans="1:12">
      <c r="A48" s="60">
        <v>41</v>
      </c>
      <c r="B48" s="60" t="s">
        <v>73</v>
      </c>
      <c r="C48" s="60">
        <v>98</v>
      </c>
      <c r="D48" s="60">
        <v>59</v>
      </c>
      <c r="E48" s="60">
        <v>98</v>
      </c>
      <c r="F48" s="60">
        <v>59</v>
      </c>
      <c r="G48" s="60">
        <v>66.099999999999994</v>
      </c>
      <c r="H48" s="60">
        <v>66.099999999999994</v>
      </c>
      <c r="I48" s="60">
        <v>0.67</v>
      </c>
      <c r="J48" s="60">
        <v>0.67</v>
      </c>
      <c r="K48" s="60">
        <v>0.3</v>
      </c>
      <c r="L48" s="60">
        <v>0.3</v>
      </c>
    </row>
    <row r="49" spans="1:12">
      <c r="A49" s="60">
        <v>42</v>
      </c>
      <c r="B49" s="60" t="s">
        <v>419</v>
      </c>
      <c r="C49" s="60">
        <v>97</v>
      </c>
      <c r="D49" s="60">
        <v>247</v>
      </c>
      <c r="E49" s="60">
        <v>97</v>
      </c>
      <c r="F49" s="60">
        <v>247</v>
      </c>
      <c r="G49" s="60">
        <v>-60.73</v>
      </c>
      <c r="H49" s="60">
        <v>-60.73</v>
      </c>
      <c r="I49" s="60">
        <v>0.66</v>
      </c>
      <c r="J49" s="60">
        <v>0.66</v>
      </c>
      <c r="K49" s="60">
        <v>1.24</v>
      </c>
      <c r="L49" s="60">
        <v>1.24</v>
      </c>
    </row>
    <row r="50" spans="1:12">
      <c r="A50" s="60">
        <v>43</v>
      </c>
      <c r="B50" s="60" t="s">
        <v>62</v>
      </c>
      <c r="C50" s="60">
        <v>97</v>
      </c>
      <c r="D50" s="60">
        <v>96</v>
      </c>
      <c r="E50" s="60">
        <v>97</v>
      </c>
      <c r="F50" s="60">
        <v>96</v>
      </c>
      <c r="G50" s="60">
        <v>1.04</v>
      </c>
      <c r="H50" s="60">
        <v>1.04</v>
      </c>
      <c r="I50" s="60">
        <v>0.66</v>
      </c>
      <c r="J50" s="60">
        <v>0.66</v>
      </c>
      <c r="K50" s="60">
        <v>0.48</v>
      </c>
      <c r="L50" s="60">
        <v>0.48</v>
      </c>
    </row>
    <row r="51" spans="1:12">
      <c r="A51" s="60">
        <v>44</v>
      </c>
      <c r="B51" s="60" t="s">
        <v>64</v>
      </c>
      <c r="C51" s="60">
        <v>96</v>
      </c>
      <c r="D51" s="60">
        <v>3</v>
      </c>
      <c r="E51" s="60">
        <v>96</v>
      </c>
      <c r="F51" s="60">
        <v>3</v>
      </c>
      <c r="G51" s="60">
        <v>3100</v>
      </c>
      <c r="H51" s="60">
        <v>3100</v>
      </c>
      <c r="I51" s="60">
        <v>0.66</v>
      </c>
      <c r="J51" s="60">
        <v>0.66</v>
      </c>
      <c r="K51" s="60">
        <v>0.02</v>
      </c>
      <c r="L51" s="60">
        <v>0.02</v>
      </c>
    </row>
    <row r="52" spans="1:12">
      <c r="A52" s="60">
        <v>45</v>
      </c>
      <c r="B52" s="60" t="s">
        <v>49</v>
      </c>
      <c r="C52" s="60">
        <v>94</v>
      </c>
      <c r="D52" s="60">
        <v>325</v>
      </c>
      <c r="E52" s="60">
        <v>94</v>
      </c>
      <c r="F52" s="60">
        <v>325</v>
      </c>
      <c r="G52" s="60">
        <v>-71.08</v>
      </c>
      <c r="H52" s="60">
        <v>-71.08</v>
      </c>
      <c r="I52" s="60">
        <v>0.64</v>
      </c>
      <c r="J52" s="60">
        <v>0.64</v>
      </c>
      <c r="K52" s="60">
        <v>1.63</v>
      </c>
      <c r="L52" s="60">
        <v>1.63</v>
      </c>
    </row>
    <row r="53" spans="1:12">
      <c r="A53" s="60">
        <v>46</v>
      </c>
      <c r="B53" s="60" t="s">
        <v>81</v>
      </c>
      <c r="C53" s="60">
        <v>93</v>
      </c>
      <c r="D53" s="60">
        <v>61</v>
      </c>
      <c r="E53" s="60">
        <v>93</v>
      </c>
      <c r="F53" s="60">
        <v>61</v>
      </c>
      <c r="G53" s="60">
        <v>52.46</v>
      </c>
      <c r="H53" s="60">
        <v>52.46</v>
      </c>
      <c r="I53" s="60">
        <v>0.64</v>
      </c>
      <c r="J53" s="60">
        <v>0.64</v>
      </c>
      <c r="K53" s="60">
        <v>0.31</v>
      </c>
      <c r="L53" s="60">
        <v>0.31</v>
      </c>
    </row>
    <row r="54" spans="1:12">
      <c r="A54" s="60">
        <v>47</v>
      </c>
      <c r="B54" s="60" t="s">
        <v>680</v>
      </c>
      <c r="C54" s="60">
        <v>93</v>
      </c>
      <c r="D54" s="60">
        <v>2</v>
      </c>
      <c r="E54" s="60">
        <v>93</v>
      </c>
      <c r="F54" s="60">
        <v>2</v>
      </c>
      <c r="G54" s="60">
        <v>4550</v>
      </c>
      <c r="H54" s="60">
        <v>4550</v>
      </c>
      <c r="I54" s="60">
        <v>0.64</v>
      </c>
      <c r="J54" s="60">
        <v>0.64</v>
      </c>
      <c r="K54" s="60">
        <v>0.01</v>
      </c>
      <c r="L54" s="60">
        <v>0.01</v>
      </c>
    </row>
    <row r="55" spans="1:12">
      <c r="A55" s="60">
        <v>48</v>
      </c>
      <c r="B55" s="60" t="s">
        <v>127</v>
      </c>
      <c r="C55" s="60">
        <v>89</v>
      </c>
      <c r="D55" s="60">
        <v>113</v>
      </c>
      <c r="E55" s="60">
        <v>89</v>
      </c>
      <c r="F55" s="60">
        <v>113</v>
      </c>
      <c r="G55" s="60">
        <v>-21.24</v>
      </c>
      <c r="H55" s="60">
        <v>-21.24</v>
      </c>
      <c r="I55" s="60">
        <v>0.61</v>
      </c>
      <c r="J55" s="60">
        <v>0.61</v>
      </c>
      <c r="K55" s="60">
        <v>0.56999999999999995</v>
      </c>
      <c r="L55" s="60">
        <v>0.56999999999999995</v>
      </c>
    </row>
    <row r="56" spans="1:12">
      <c r="A56" s="60">
        <v>49</v>
      </c>
      <c r="B56" s="60" t="s">
        <v>66</v>
      </c>
      <c r="C56" s="60">
        <v>88</v>
      </c>
      <c r="D56" s="60">
        <v>51</v>
      </c>
      <c r="E56" s="60">
        <v>88</v>
      </c>
      <c r="F56" s="60">
        <v>51</v>
      </c>
      <c r="G56" s="60">
        <v>72.55</v>
      </c>
      <c r="H56" s="60">
        <v>72.55</v>
      </c>
      <c r="I56" s="60">
        <v>0.6</v>
      </c>
      <c r="J56" s="60">
        <v>0.6</v>
      </c>
      <c r="K56" s="60">
        <v>0.26</v>
      </c>
      <c r="L56" s="60">
        <v>0.26</v>
      </c>
    </row>
    <row r="57" spans="1:12">
      <c r="A57" s="60">
        <v>50</v>
      </c>
      <c r="B57" s="60" t="s">
        <v>121</v>
      </c>
      <c r="C57" s="60">
        <v>85</v>
      </c>
      <c r="D57" s="60">
        <v>33</v>
      </c>
      <c r="E57" s="60">
        <v>85</v>
      </c>
      <c r="F57" s="60">
        <v>33</v>
      </c>
      <c r="G57" s="60">
        <v>157.58000000000001</v>
      </c>
      <c r="H57" s="60">
        <v>157.58000000000001</v>
      </c>
      <c r="I57" s="60">
        <v>0.57999999999999996</v>
      </c>
      <c r="J57" s="60">
        <v>0.57999999999999996</v>
      </c>
      <c r="K57" s="60">
        <v>0.17</v>
      </c>
      <c r="L57" s="60">
        <v>0.17</v>
      </c>
    </row>
    <row r="58" spans="1:12">
      <c r="A58" s="60">
        <v>51</v>
      </c>
      <c r="B58" s="60" t="s">
        <v>1023</v>
      </c>
      <c r="C58" s="60">
        <v>85</v>
      </c>
      <c r="D58" s="60">
        <v>0</v>
      </c>
      <c r="E58" s="60">
        <v>85</v>
      </c>
      <c r="F58" s="60">
        <v>0</v>
      </c>
      <c r="G58" s="60">
        <v>0</v>
      </c>
      <c r="H58" s="60">
        <v>0</v>
      </c>
      <c r="I58" s="60">
        <v>0.57999999999999996</v>
      </c>
      <c r="J58" s="60">
        <v>0.57999999999999996</v>
      </c>
      <c r="K58" s="60">
        <v>0</v>
      </c>
      <c r="L58" s="60">
        <v>0</v>
      </c>
    </row>
    <row r="59" spans="1:12">
      <c r="A59" s="60">
        <v>52</v>
      </c>
      <c r="B59" s="60" t="s">
        <v>110</v>
      </c>
      <c r="C59" s="60">
        <v>83</v>
      </c>
      <c r="D59" s="60">
        <v>35</v>
      </c>
      <c r="E59" s="60">
        <v>83</v>
      </c>
      <c r="F59" s="60">
        <v>35</v>
      </c>
      <c r="G59" s="60">
        <v>137.13999999999999</v>
      </c>
      <c r="H59" s="60">
        <v>137.13999999999999</v>
      </c>
      <c r="I59" s="60">
        <v>0.56999999999999995</v>
      </c>
      <c r="J59" s="60">
        <v>0.56999999999999995</v>
      </c>
      <c r="K59" s="60">
        <v>0.18</v>
      </c>
      <c r="L59" s="60">
        <v>0.18</v>
      </c>
    </row>
    <row r="60" spans="1:12">
      <c r="A60" s="60">
        <v>53</v>
      </c>
      <c r="B60" s="60" t="s">
        <v>731</v>
      </c>
      <c r="C60" s="60">
        <v>81</v>
      </c>
      <c r="D60" s="60">
        <v>0</v>
      </c>
      <c r="E60" s="60">
        <v>81</v>
      </c>
      <c r="F60" s="60">
        <v>0</v>
      </c>
      <c r="G60" s="60">
        <v>0</v>
      </c>
      <c r="H60" s="60">
        <v>0</v>
      </c>
      <c r="I60" s="60">
        <v>0.55000000000000004</v>
      </c>
      <c r="J60" s="60">
        <v>0.55000000000000004</v>
      </c>
      <c r="K60" s="60">
        <v>0</v>
      </c>
      <c r="L60" s="60">
        <v>0</v>
      </c>
    </row>
    <row r="61" spans="1:12">
      <c r="A61" s="60">
        <v>54</v>
      </c>
      <c r="B61" s="60" t="s">
        <v>138</v>
      </c>
      <c r="C61" s="60">
        <v>78</v>
      </c>
      <c r="D61" s="60">
        <v>94</v>
      </c>
      <c r="E61" s="60">
        <v>78</v>
      </c>
      <c r="F61" s="60">
        <v>94</v>
      </c>
      <c r="G61" s="60">
        <v>-17.02</v>
      </c>
      <c r="H61" s="60">
        <v>-17.02</v>
      </c>
      <c r="I61" s="60">
        <v>0.53</v>
      </c>
      <c r="J61" s="60">
        <v>0.53</v>
      </c>
      <c r="K61" s="60">
        <v>0.47</v>
      </c>
      <c r="L61" s="60">
        <v>0.47</v>
      </c>
    </row>
    <row r="62" spans="1:12">
      <c r="A62" s="60">
        <v>55</v>
      </c>
      <c r="B62" s="60" t="s">
        <v>71</v>
      </c>
      <c r="C62" s="60">
        <v>77</v>
      </c>
      <c r="D62" s="60">
        <v>109</v>
      </c>
      <c r="E62" s="60">
        <v>77</v>
      </c>
      <c r="F62" s="60">
        <v>109</v>
      </c>
      <c r="G62" s="60">
        <v>-29.36</v>
      </c>
      <c r="H62" s="60">
        <v>-29.36</v>
      </c>
      <c r="I62" s="60">
        <v>0.53</v>
      </c>
      <c r="J62" s="60">
        <v>0.53</v>
      </c>
      <c r="K62" s="60">
        <v>0.55000000000000004</v>
      </c>
      <c r="L62" s="60">
        <v>0.55000000000000004</v>
      </c>
    </row>
    <row r="63" spans="1:12">
      <c r="A63" s="60">
        <v>56</v>
      </c>
      <c r="B63" s="60" t="s">
        <v>78</v>
      </c>
      <c r="C63" s="60">
        <v>77</v>
      </c>
      <c r="D63" s="60">
        <v>70</v>
      </c>
      <c r="E63" s="60">
        <v>77</v>
      </c>
      <c r="F63" s="60">
        <v>70</v>
      </c>
      <c r="G63" s="60">
        <v>10</v>
      </c>
      <c r="H63" s="60">
        <v>10</v>
      </c>
      <c r="I63" s="60">
        <v>0.53</v>
      </c>
      <c r="J63" s="60">
        <v>0.53</v>
      </c>
      <c r="K63" s="60">
        <v>0.35</v>
      </c>
      <c r="L63" s="60">
        <v>0.35</v>
      </c>
    </row>
    <row r="64" spans="1:12">
      <c r="A64" s="60">
        <v>57</v>
      </c>
      <c r="B64" s="60" t="s">
        <v>53</v>
      </c>
      <c r="C64" s="60">
        <v>74</v>
      </c>
      <c r="D64" s="60">
        <v>96</v>
      </c>
      <c r="E64" s="60">
        <v>74</v>
      </c>
      <c r="F64" s="60">
        <v>96</v>
      </c>
      <c r="G64" s="60">
        <v>-22.92</v>
      </c>
      <c r="H64" s="60">
        <v>-22.92</v>
      </c>
      <c r="I64" s="60">
        <v>0.51</v>
      </c>
      <c r="J64" s="60">
        <v>0.51</v>
      </c>
      <c r="K64" s="60">
        <v>0.48</v>
      </c>
      <c r="L64" s="60">
        <v>0.48</v>
      </c>
    </row>
    <row r="65" spans="1:12">
      <c r="A65" s="60">
        <v>58</v>
      </c>
      <c r="B65" s="60" t="s">
        <v>113</v>
      </c>
      <c r="C65" s="60">
        <v>74</v>
      </c>
      <c r="D65" s="60">
        <v>35</v>
      </c>
      <c r="E65" s="60">
        <v>74</v>
      </c>
      <c r="F65" s="60">
        <v>35</v>
      </c>
      <c r="G65" s="60">
        <v>111.43</v>
      </c>
      <c r="H65" s="60">
        <v>111.43</v>
      </c>
      <c r="I65" s="60">
        <v>0.51</v>
      </c>
      <c r="J65" s="60">
        <v>0.51</v>
      </c>
      <c r="K65" s="60">
        <v>0.18</v>
      </c>
      <c r="L65" s="60">
        <v>0.18</v>
      </c>
    </row>
    <row r="66" spans="1:12">
      <c r="A66" s="60">
        <v>59</v>
      </c>
      <c r="B66" s="60" t="s">
        <v>152</v>
      </c>
      <c r="C66" s="60">
        <v>73</v>
      </c>
      <c r="D66" s="60">
        <v>17</v>
      </c>
      <c r="E66" s="60">
        <v>73</v>
      </c>
      <c r="F66" s="60">
        <v>17</v>
      </c>
      <c r="G66" s="60">
        <v>329.41</v>
      </c>
      <c r="H66" s="60">
        <v>329.41</v>
      </c>
      <c r="I66" s="60">
        <v>0.5</v>
      </c>
      <c r="J66" s="60">
        <v>0.5</v>
      </c>
      <c r="K66" s="60">
        <v>0.09</v>
      </c>
      <c r="L66" s="60">
        <v>0.09</v>
      </c>
    </row>
    <row r="67" spans="1:12">
      <c r="A67" s="60">
        <v>60</v>
      </c>
      <c r="B67" s="60" t="s">
        <v>103</v>
      </c>
      <c r="C67" s="60">
        <v>72</v>
      </c>
      <c r="D67" s="60">
        <v>255</v>
      </c>
      <c r="E67" s="60">
        <v>72</v>
      </c>
      <c r="F67" s="60">
        <v>255</v>
      </c>
      <c r="G67" s="60">
        <v>-71.760000000000005</v>
      </c>
      <c r="H67" s="60">
        <v>-71.760000000000005</v>
      </c>
      <c r="I67" s="60">
        <v>0.49</v>
      </c>
      <c r="J67" s="60">
        <v>0.49</v>
      </c>
      <c r="K67" s="60">
        <v>1.28</v>
      </c>
      <c r="L67" s="60">
        <v>1.28</v>
      </c>
    </row>
    <row r="68" spans="1:12">
      <c r="A68" s="60">
        <v>61</v>
      </c>
      <c r="B68" s="60" t="s">
        <v>689</v>
      </c>
      <c r="C68" s="60">
        <v>72</v>
      </c>
      <c r="D68" s="60">
        <v>21</v>
      </c>
      <c r="E68" s="60">
        <v>72</v>
      </c>
      <c r="F68" s="60">
        <v>21</v>
      </c>
      <c r="G68" s="60">
        <v>242.86</v>
      </c>
      <c r="H68" s="60">
        <v>242.86</v>
      </c>
      <c r="I68" s="60">
        <v>0.49</v>
      </c>
      <c r="J68" s="60">
        <v>0.49</v>
      </c>
      <c r="K68" s="60">
        <v>0.11</v>
      </c>
      <c r="L68" s="60">
        <v>0.11</v>
      </c>
    </row>
    <row r="69" spans="1:12">
      <c r="A69" s="60">
        <v>62</v>
      </c>
      <c r="B69" s="60" t="s">
        <v>90</v>
      </c>
      <c r="C69" s="60">
        <v>70</v>
      </c>
      <c r="D69" s="60">
        <v>101</v>
      </c>
      <c r="E69" s="60">
        <v>70</v>
      </c>
      <c r="F69" s="60">
        <v>101</v>
      </c>
      <c r="G69" s="60">
        <v>-30.69</v>
      </c>
      <c r="H69" s="60">
        <v>-30.69</v>
      </c>
      <c r="I69" s="60">
        <v>0.48</v>
      </c>
      <c r="J69" s="60">
        <v>0.48</v>
      </c>
      <c r="K69" s="60">
        <v>0.51</v>
      </c>
      <c r="L69" s="60">
        <v>0.51</v>
      </c>
    </row>
    <row r="70" spans="1:12">
      <c r="A70" s="60">
        <v>63</v>
      </c>
      <c r="B70" s="60" t="s">
        <v>646</v>
      </c>
      <c r="C70" s="60">
        <v>69</v>
      </c>
      <c r="D70" s="60">
        <v>42</v>
      </c>
      <c r="E70" s="60">
        <v>69</v>
      </c>
      <c r="F70" s="60">
        <v>42</v>
      </c>
      <c r="G70" s="60">
        <v>64.290000000000006</v>
      </c>
      <c r="H70" s="60">
        <v>64.290000000000006</v>
      </c>
      <c r="I70" s="60">
        <v>0.47</v>
      </c>
      <c r="J70" s="60">
        <v>0.47</v>
      </c>
      <c r="K70" s="60">
        <v>0.21</v>
      </c>
      <c r="L70" s="60">
        <v>0.21</v>
      </c>
    </row>
    <row r="71" spans="1:12">
      <c r="A71" s="60">
        <v>64</v>
      </c>
      <c r="B71" s="60" t="s">
        <v>96</v>
      </c>
      <c r="C71" s="60">
        <v>68</v>
      </c>
      <c r="D71" s="60">
        <v>119</v>
      </c>
      <c r="E71" s="60">
        <v>68</v>
      </c>
      <c r="F71" s="60">
        <v>119</v>
      </c>
      <c r="G71" s="60">
        <v>-42.86</v>
      </c>
      <c r="H71" s="60">
        <v>-42.86</v>
      </c>
      <c r="I71" s="60">
        <v>0.47</v>
      </c>
      <c r="J71" s="60">
        <v>0.47</v>
      </c>
      <c r="K71" s="60">
        <v>0.6</v>
      </c>
      <c r="L71" s="60">
        <v>0.6</v>
      </c>
    </row>
    <row r="72" spans="1:12">
      <c r="A72" s="60">
        <v>65</v>
      </c>
      <c r="B72" s="60" t="s">
        <v>50</v>
      </c>
      <c r="C72" s="60">
        <v>67</v>
      </c>
      <c r="D72" s="60">
        <v>273</v>
      </c>
      <c r="E72" s="60">
        <v>67</v>
      </c>
      <c r="F72" s="60">
        <v>273</v>
      </c>
      <c r="G72" s="60">
        <v>-75.459999999999994</v>
      </c>
      <c r="H72" s="60">
        <v>-75.459999999999994</v>
      </c>
      <c r="I72" s="60">
        <v>0.46</v>
      </c>
      <c r="J72" s="60">
        <v>0.46</v>
      </c>
      <c r="K72" s="60">
        <v>1.37</v>
      </c>
      <c r="L72" s="60">
        <v>1.37</v>
      </c>
    </row>
    <row r="73" spans="1:12">
      <c r="A73" s="60">
        <v>66</v>
      </c>
      <c r="B73" s="60" t="s">
        <v>702</v>
      </c>
      <c r="C73" s="60">
        <v>67</v>
      </c>
      <c r="D73" s="60">
        <v>0</v>
      </c>
      <c r="E73" s="60">
        <v>67</v>
      </c>
      <c r="F73" s="60">
        <v>0</v>
      </c>
      <c r="G73" s="60">
        <v>0</v>
      </c>
      <c r="H73" s="60">
        <v>0</v>
      </c>
      <c r="I73" s="60">
        <v>0.46</v>
      </c>
      <c r="J73" s="60">
        <v>0.46</v>
      </c>
      <c r="K73" s="60">
        <v>0</v>
      </c>
      <c r="L73" s="60">
        <v>0</v>
      </c>
    </row>
    <row r="74" spans="1:12">
      <c r="A74" s="60">
        <v>67</v>
      </c>
      <c r="B74" s="60" t="s">
        <v>89</v>
      </c>
      <c r="C74" s="60">
        <v>66</v>
      </c>
      <c r="D74" s="60">
        <v>47</v>
      </c>
      <c r="E74" s="60">
        <v>66</v>
      </c>
      <c r="F74" s="60">
        <v>47</v>
      </c>
      <c r="G74" s="60">
        <v>40.43</v>
      </c>
      <c r="H74" s="60">
        <v>40.43</v>
      </c>
      <c r="I74" s="60">
        <v>0.45</v>
      </c>
      <c r="J74" s="60">
        <v>0.45</v>
      </c>
      <c r="K74" s="60">
        <v>0.24</v>
      </c>
      <c r="L74" s="60">
        <v>0.24</v>
      </c>
    </row>
    <row r="75" spans="1:12">
      <c r="A75" s="60">
        <v>68</v>
      </c>
      <c r="B75" s="60" t="s">
        <v>740</v>
      </c>
      <c r="C75" s="60">
        <v>65</v>
      </c>
      <c r="D75" s="60">
        <v>0</v>
      </c>
      <c r="E75" s="60">
        <v>65</v>
      </c>
      <c r="F75" s="60">
        <v>0</v>
      </c>
      <c r="G75" s="60">
        <v>0</v>
      </c>
      <c r="H75" s="60">
        <v>0</v>
      </c>
      <c r="I75" s="60">
        <v>0.45</v>
      </c>
      <c r="J75" s="60">
        <v>0.45</v>
      </c>
      <c r="K75" s="60">
        <v>0</v>
      </c>
      <c r="L75" s="60">
        <v>0</v>
      </c>
    </row>
    <row r="76" spans="1:12">
      <c r="A76" s="60">
        <v>69</v>
      </c>
      <c r="B76" s="60" t="s">
        <v>445</v>
      </c>
      <c r="C76" s="60">
        <v>59</v>
      </c>
      <c r="D76" s="60">
        <v>117</v>
      </c>
      <c r="E76" s="60">
        <v>59</v>
      </c>
      <c r="F76" s="60">
        <v>117</v>
      </c>
      <c r="G76" s="60">
        <v>-49.57</v>
      </c>
      <c r="H76" s="60">
        <v>-49.57</v>
      </c>
      <c r="I76" s="60">
        <v>0.4</v>
      </c>
      <c r="J76" s="60">
        <v>0.4</v>
      </c>
      <c r="K76" s="60">
        <v>0.59</v>
      </c>
      <c r="L76" s="60">
        <v>0.59</v>
      </c>
    </row>
    <row r="77" spans="1:12">
      <c r="A77" s="60">
        <v>70</v>
      </c>
      <c r="B77" s="60" t="s">
        <v>93</v>
      </c>
      <c r="C77" s="60">
        <v>58</v>
      </c>
      <c r="D77" s="60">
        <v>496</v>
      </c>
      <c r="E77" s="60">
        <v>58</v>
      </c>
      <c r="F77" s="60">
        <v>496</v>
      </c>
      <c r="G77" s="60">
        <v>-88.31</v>
      </c>
      <c r="H77" s="60">
        <v>-88.31</v>
      </c>
      <c r="I77" s="60">
        <v>0.4</v>
      </c>
      <c r="J77" s="60">
        <v>0.4</v>
      </c>
      <c r="K77" s="60">
        <v>2.4900000000000002</v>
      </c>
      <c r="L77" s="60">
        <v>2.4900000000000002</v>
      </c>
    </row>
    <row r="78" spans="1:12">
      <c r="A78" s="60">
        <v>71</v>
      </c>
      <c r="B78" s="60" t="s">
        <v>671</v>
      </c>
      <c r="C78" s="60">
        <v>55</v>
      </c>
      <c r="D78" s="60">
        <v>19</v>
      </c>
      <c r="E78" s="60">
        <v>55</v>
      </c>
      <c r="F78" s="60">
        <v>19</v>
      </c>
      <c r="G78" s="60">
        <v>189.47</v>
      </c>
      <c r="H78" s="60">
        <v>189.47</v>
      </c>
      <c r="I78" s="60">
        <v>0.38</v>
      </c>
      <c r="J78" s="60">
        <v>0.38</v>
      </c>
      <c r="K78" s="60">
        <v>0.1</v>
      </c>
      <c r="L78" s="60">
        <v>0.1</v>
      </c>
    </row>
    <row r="79" spans="1:12">
      <c r="A79" s="60">
        <v>72</v>
      </c>
      <c r="B79" s="60" t="s">
        <v>85</v>
      </c>
      <c r="C79" s="60">
        <v>53</v>
      </c>
      <c r="D79" s="60">
        <v>126</v>
      </c>
      <c r="E79" s="60">
        <v>53</v>
      </c>
      <c r="F79" s="60">
        <v>126</v>
      </c>
      <c r="G79" s="60">
        <v>-57.94</v>
      </c>
      <c r="H79" s="60">
        <v>-57.94</v>
      </c>
      <c r="I79" s="60">
        <v>0.36</v>
      </c>
      <c r="J79" s="60">
        <v>0.36</v>
      </c>
      <c r="K79" s="60">
        <v>0.63</v>
      </c>
      <c r="L79" s="60">
        <v>0.63</v>
      </c>
    </row>
    <row r="80" spans="1:12">
      <c r="A80" s="60">
        <v>73</v>
      </c>
      <c r="B80" s="60" t="s">
        <v>92</v>
      </c>
      <c r="C80" s="60">
        <v>53</v>
      </c>
      <c r="D80" s="60">
        <v>64</v>
      </c>
      <c r="E80" s="60">
        <v>53</v>
      </c>
      <c r="F80" s="60">
        <v>64</v>
      </c>
      <c r="G80" s="60">
        <v>-17.190000000000001</v>
      </c>
      <c r="H80" s="60">
        <v>-17.190000000000001</v>
      </c>
      <c r="I80" s="60">
        <v>0.36</v>
      </c>
      <c r="J80" s="60">
        <v>0.36</v>
      </c>
      <c r="K80" s="60">
        <v>0.32</v>
      </c>
      <c r="L80" s="60">
        <v>0.32</v>
      </c>
    </row>
    <row r="81" spans="1:12">
      <c r="A81" s="60">
        <v>74</v>
      </c>
      <c r="B81" s="60" t="s">
        <v>143</v>
      </c>
      <c r="C81" s="60">
        <v>51</v>
      </c>
      <c r="D81" s="60">
        <v>78</v>
      </c>
      <c r="E81" s="60">
        <v>51</v>
      </c>
      <c r="F81" s="60">
        <v>78</v>
      </c>
      <c r="G81" s="60">
        <v>-34.619999999999997</v>
      </c>
      <c r="H81" s="60">
        <v>-34.619999999999997</v>
      </c>
      <c r="I81" s="60">
        <v>0.35</v>
      </c>
      <c r="J81" s="60">
        <v>0.35</v>
      </c>
      <c r="K81" s="60">
        <v>0.39</v>
      </c>
      <c r="L81" s="60">
        <v>0.39</v>
      </c>
    </row>
    <row r="82" spans="1:12">
      <c r="A82" s="60">
        <v>75</v>
      </c>
      <c r="B82" s="60" t="s">
        <v>206</v>
      </c>
      <c r="C82" s="60">
        <v>49</v>
      </c>
      <c r="D82" s="60">
        <v>100</v>
      </c>
      <c r="E82" s="60">
        <v>49</v>
      </c>
      <c r="F82" s="60">
        <v>100</v>
      </c>
      <c r="G82" s="60">
        <v>-51</v>
      </c>
      <c r="H82" s="60">
        <v>-51</v>
      </c>
      <c r="I82" s="60">
        <v>0.34</v>
      </c>
      <c r="J82" s="60">
        <v>0.34</v>
      </c>
      <c r="K82" s="60">
        <v>0.5</v>
      </c>
      <c r="L82" s="60">
        <v>0.5</v>
      </c>
    </row>
    <row r="83" spans="1:12">
      <c r="A83" s="60">
        <v>76</v>
      </c>
      <c r="B83" s="60" t="s">
        <v>622</v>
      </c>
      <c r="C83" s="60">
        <v>49</v>
      </c>
      <c r="D83" s="60">
        <v>48</v>
      </c>
      <c r="E83" s="60">
        <v>49</v>
      </c>
      <c r="F83" s="60">
        <v>48</v>
      </c>
      <c r="G83" s="60">
        <v>2.08</v>
      </c>
      <c r="H83" s="60">
        <v>2.08</v>
      </c>
      <c r="I83" s="60">
        <v>0.34</v>
      </c>
      <c r="J83" s="60">
        <v>0.34</v>
      </c>
      <c r="K83" s="60">
        <v>0.24</v>
      </c>
      <c r="L83" s="60">
        <v>0.24</v>
      </c>
    </row>
    <row r="84" spans="1:12">
      <c r="A84" s="60">
        <v>77</v>
      </c>
      <c r="B84" s="60" t="s">
        <v>57</v>
      </c>
      <c r="C84" s="60">
        <v>46</v>
      </c>
      <c r="D84" s="60">
        <v>62</v>
      </c>
      <c r="E84" s="60">
        <v>46</v>
      </c>
      <c r="F84" s="60">
        <v>62</v>
      </c>
      <c r="G84" s="60">
        <v>-25.81</v>
      </c>
      <c r="H84" s="60">
        <v>-25.81</v>
      </c>
      <c r="I84" s="60">
        <v>0.32</v>
      </c>
      <c r="J84" s="60">
        <v>0.32</v>
      </c>
      <c r="K84" s="60">
        <v>0.31</v>
      </c>
      <c r="L84" s="60">
        <v>0.31</v>
      </c>
    </row>
    <row r="85" spans="1:12">
      <c r="A85" s="60">
        <v>78</v>
      </c>
      <c r="B85" s="60" t="s">
        <v>161</v>
      </c>
      <c r="C85" s="60">
        <v>46</v>
      </c>
      <c r="D85" s="60">
        <v>37</v>
      </c>
      <c r="E85" s="60">
        <v>46</v>
      </c>
      <c r="F85" s="60">
        <v>37</v>
      </c>
      <c r="G85" s="60">
        <v>24.32</v>
      </c>
      <c r="H85" s="60">
        <v>24.32</v>
      </c>
      <c r="I85" s="60">
        <v>0.32</v>
      </c>
      <c r="J85" s="60">
        <v>0.32</v>
      </c>
      <c r="K85" s="60">
        <v>0.19</v>
      </c>
      <c r="L85" s="60">
        <v>0.19</v>
      </c>
    </row>
    <row r="86" spans="1:12">
      <c r="A86" s="60">
        <v>79</v>
      </c>
      <c r="B86" s="60" t="s">
        <v>732</v>
      </c>
      <c r="C86" s="60">
        <v>45</v>
      </c>
      <c r="D86" s="60">
        <v>0</v>
      </c>
      <c r="E86" s="60">
        <v>45</v>
      </c>
      <c r="F86" s="60">
        <v>0</v>
      </c>
      <c r="G86" s="60">
        <v>0</v>
      </c>
      <c r="H86" s="60">
        <v>0</v>
      </c>
      <c r="I86" s="60">
        <v>0.31</v>
      </c>
      <c r="J86" s="60">
        <v>0.31</v>
      </c>
      <c r="K86" s="60">
        <v>0</v>
      </c>
      <c r="L86" s="60">
        <v>0</v>
      </c>
    </row>
    <row r="87" spans="1:12">
      <c r="A87" s="60">
        <v>80</v>
      </c>
      <c r="B87" s="60" t="s">
        <v>637</v>
      </c>
      <c r="C87" s="60">
        <v>44</v>
      </c>
      <c r="D87" s="60">
        <v>13</v>
      </c>
      <c r="E87" s="60">
        <v>44</v>
      </c>
      <c r="F87" s="60">
        <v>13</v>
      </c>
      <c r="G87" s="60">
        <v>238.46</v>
      </c>
      <c r="H87" s="60">
        <v>238.46</v>
      </c>
      <c r="I87" s="60">
        <v>0.3</v>
      </c>
      <c r="J87" s="60">
        <v>0.3</v>
      </c>
      <c r="K87" s="60">
        <v>7.0000000000000007E-2</v>
      </c>
      <c r="L87" s="60">
        <v>7.0000000000000007E-2</v>
      </c>
    </row>
    <row r="88" spans="1:12">
      <c r="A88" s="60">
        <v>81</v>
      </c>
      <c r="B88" s="60" t="s">
        <v>118</v>
      </c>
      <c r="C88" s="60">
        <v>43</v>
      </c>
      <c r="D88" s="60">
        <v>32</v>
      </c>
      <c r="E88" s="60">
        <v>43</v>
      </c>
      <c r="F88" s="60">
        <v>32</v>
      </c>
      <c r="G88" s="60">
        <v>34.380000000000003</v>
      </c>
      <c r="H88" s="60">
        <v>34.380000000000003</v>
      </c>
      <c r="I88" s="60">
        <v>0.28999999999999998</v>
      </c>
      <c r="J88" s="60">
        <v>0.28999999999999998</v>
      </c>
      <c r="K88" s="60">
        <v>0.16</v>
      </c>
      <c r="L88" s="60">
        <v>0.16</v>
      </c>
    </row>
    <row r="89" spans="1:12">
      <c r="A89" s="60">
        <v>82</v>
      </c>
      <c r="B89" s="60" t="s">
        <v>86</v>
      </c>
      <c r="C89" s="60">
        <v>42</v>
      </c>
      <c r="D89" s="60">
        <v>39</v>
      </c>
      <c r="E89" s="60">
        <v>42</v>
      </c>
      <c r="F89" s="60">
        <v>39</v>
      </c>
      <c r="G89" s="60">
        <v>7.69</v>
      </c>
      <c r="H89" s="60">
        <v>7.69</v>
      </c>
      <c r="I89" s="60">
        <v>0.28999999999999998</v>
      </c>
      <c r="J89" s="60">
        <v>0.28999999999999998</v>
      </c>
      <c r="K89" s="60">
        <v>0.2</v>
      </c>
      <c r="L89" s="60">
        <v>0.2</v>
      </c>
    </row>
    <row r="90" spans="1:12">
      <c r="A90" s="60">
        <v>83</v>
      </c>
      <c r="B90" s="60" t="s">
        <v>604</v>
      </c>
      <c r="C90" s="60">
        <v>41</v>
      </c>
      <c r="D90" s="60">
        <v>181</v>
      </c>
      <c r="E90" s="60">
        <v>41</v>
      </c>
      <c r="F90" s="60">
        <v>181</v>
      </c>
      <c r="G90" s="60">
        <v>-77.349999999999994</v>
      </c>
      <c r="H90" s="60">
        <v>-77.349999999999994</v>
      </c>
      <c r="I90" s="60">
        <v>0.28000000000000003</v>
      </c>
      <c r="J90" s="60">
        <v>0.28000000000000003</v>
      </c>
      <c r="K90" s="60">
        <v>0.91</v>
      </c>
      <c r="L90" s="60">
        <v>0.91</v>
      </c>
    </row>
    <row r="91" spans="1:12">
      <c r="A91" s="60">
        <v>84</v>
      </c>
      <c r="B91" s="60" t="s">
        <v>79</v>
      </c>
      <c r="C91" s="60">
        <v>41</v>
      </c>
      <c r="D91" s="60">
        <v>99</v>
      </c>
      <c r="E91" s="60">
        <v>41</v>
      </c>
      <c r="F91" s="60">
        <v>99</v>
      </c>
      <c r="G91" s="60">
        <v>-58.59</v>
      </c>
      <c r="H91" s="60">
        <v>-58.59</v>
      </c>
      <c r="I91" s="60">
        <v>0.28000000000000003</v>
      </c>
      <c r="J91" s="60">
        <v>0.28000000000000003</v>
      </c>
      <c r="K91" s="60">
        <v>0.5</v>
      </c>
      <c r="L91" s="60">
        <v>0.5</v>
      </c>
    </row>
    <row r="92" spans="1:12">
      <c r="A92" s="60">
        <v>85</v>
      </c>
      <c r="B92" s="60" t="s">
        <v>130</v>
      </c>
      <c r="C92" s="60">
        <v>41</v>
      </c>
      <c r="D92" s="60">
        <v>18</v>
      </c>
      <c r="E92" s="60">
        <v>41</v>
      </c>
      <c r="F92" s="60">
        <v>18</v>
      </c>
      <c r="G92" s="60">
        <v>127.78</v>
      </c>
      <c r="H92" s="60">
        <v>127.78</v>
      </c>
      <c r="I92" s="60">
        <v>0.28000000000000003</v>
      </c>
      <c r="J92" s="60">
        <v>0.28000000000000003</v>
      </c>
      <c r="K92" s="60">
        <v>0.09</v>
      </c>
      <c r="L92" s="60">
        <v>0.09</v>
      </c>
    </row>
    <row r="93" spans="1:12">
      <c r="A93" s="60">
        <v>86</v>
      </c>
      <c r="B93" s="60" t="s">
        <v>74</v>
      </c>
      <c r="C93" s="60">
        <v>41</v>
      </c>
      <c r="D93" s="60">
        <v>6</v>
      </c>
      <c r="E93" s="60">
        <v>41</v>
      </c>
      <c r="F93" s="60">
        <v>6</v>
      </c>
      <c r="G93" s="60">
        <v>583.33000000000004</v>
      </c>
      <c r="H93" s="60">
        <v>583.33000000000004</v>
      </c>
      <c r="I93" s="60">
        <v>0.28000000000000003</v>
      </c>
      <c r="J93" s="60">
        <v>0.28000000000000003</v>
      </c>
      <c r="K93" s="60">
        <v>0.03</v>
      </c>
      <c r="L93" s="60">
        <v>0.03</v>
      </c>
    </row>
    <row r="94" spans="1:12">
      <c r="A94" s="60">
        <v>87</v>
      </c>
      <c r="B94" s="60" t="s">
        <v>83</v>
      </c>
      <c r="C94" s="60">
        <v>40</v>
      </c>
      <c r="D94" s="60">
        <v>89</v>
      </c>
      <c r="E94" s="60">
        <v>40</v>
      </c>
      <c r="F94" s="60">
        <v>89</v>
      </c>
      <c r="G94" s="60">
        <v>-55.06</v>
      </c>
      <c r="H94" s="60">
        <v>-55.06</v>
      </c>
      <c r="I94" s="60">
        <v>0.27</v>
      </c>
      <c r="J94" s="60">
        <v>0.27</v>
      </c>
      <c r="K94" s="60">
        <v>0.45</v>
      </c>
      <c r="L94" s="60">
        <v>0.45</v>
      </c>
    </row>
    <row r="95" spans="1:12">
      <c r="A95" s="60">
        <v>88</v>
      </c>
      <c r="B95" s="60" t="s">
        <v>84</v>
      </c>
      <c r="C95" s="60">
        <v>40</v>
      </c>
      <c r="D95" s="60">
        <v>85</v>
      </c>
      <c r="E95" s="60">
        <v>40</v>
      </c>
      <c r="F95" s="60">
        <v>85</v>
      </c>
      <c r="G95" s="60">
        <v>-52.94</v>
      </c>
      <c r="H95" s="60">
        <v>-52.94</v>
      </c>
      <c r="I95" s="60">
        <v>0.27</v>
      </c>
      <c r="J95" s="60">
        <v>0.27</v>
      </c>
      <c r="K95" s="60">
        <v>0.43</v>
      </c>
      <c r="L95" s="60">
        <v>0.43</v>
      </c>
    </row>
    <row r="96" spans="1:12">
      <c r="A96" s="60">
        <v>89</v>
      </c>
      <c r="B96" s="60" t="s">
        <v>124</v>
      </c>
      <c r="C96" s="60">
        <v>39</v>
      </c>
      <c r="D96" s="60">
        <v>45</v>
      </c>
      <c r="E96" s="60">
        <v>39</v>
      </c>
      <c r="F96" s="60">
        <v>45</v>
      </c>
      <c r="G96" s="60">
        <v>-13.33</v>
      </c>
      <c r="H96" s="60">
        <v>-13.33</v>
      </c>
      <c r="I96" s="60">
        <v>0.27</v>
      </c>
      <c r="J96" s="60">
        <v>0.27</v>
      </c>
      <c r="K96" s="60">
        <v>0.23</v>
      </c>
      <c r="L96" s="60">
        <v>0.23</v>
      </c>
    </row>
    <row r="97" spans="1:12">
      <c r="A97" s="60">
        <v>90</v>
      </c>
      <c r="B97" s="60" t="s">
        <v>134</v>
      </c>
      <c r="C97" s="60">
        <v>39</v>
      </c>
      <c r="D97" s="60">
        <v>28</v>
      </c>
      <c r="E97" s="60">
        <v>39</v>
      </c>
      <c r="F97" s="60">
        <v>28</v>
      </c>
      <c r="G97" s="60">
        <v>39.29</v>
      </c>
      <c r="H97" s="60">
        <v>39.29</v>
      </c>
      <c r="I97" s="60">
        <v>0.27</v>
      </c>
      <c r="J97" s="60">
        <v>0.27</v>
      </c>
      <c r="K97" s="60">
        <v>0.14000000000000001</v>
      </c>
      <c r="L97" s="60">
        <v>0.14000000000000001</v>
      </c>
    </row>
    <row r="98" spans="1:12">
      <c r="A98" s="60">
        <v>91</v>
      </c>
      <c r="B98" s="60" t="s">
        <v>733</v>
      </c>
      <c r="C98" s="60">
        <v>38</v>
      </c>
      <c r="D98" s="60">
        <v>0</v>
      </c>
      <c r="E98" s="60">
        <v>38</v>
      </c>
      <c r="F98" s="60">
        <v>0</v>
      </c>
      <c r="G98" s="60">
        <v>0</v>
      </c>
      <c r="H98" s="60">
        <v>0</v>
      </c>
      <c r="I98" s="60">
        <v>0.26</v>
      </c>
      <c r="J98" s="60">
        <v>0.26</v>
      </c>
      <c r="K98" s="60">
        <v>0</v>
      </c>
      <c r="L98" s="60">
        <v>0</v>
      </c>
    </row>
    <row r="99" spans="1:12">
      <c r="A99" s="60">
        <v>92</v>
      </c>
      <c r="B99" s="60" t="s">
        <v>106</v>
      </c>
      <c r="C99" s="60">
        <v>37</v>
      </c>
      <c r="D99" s="60">
        <v>61</v>
      </c>
      <c r="E99" s="60">
        <v>37</v>
      </c>
      <c r="F99" s="60">
        <v>61</v>
      </c>
      <c r="G99" s="60">
        <v>-39.340000000000003</v>
      </c>
      <c r="H99" s="60">
        <v>-39.340000000000003</v>
      </c>
      <c r="I99" s="60">
        <v>0.25</v>
      </c>
      <c r="J99" s="60">
        <v>0.25</v>
      </c>
      <c r="K99" s="60">
        <v>0.31</v>
      </c>
      <c r="L99" s="60">
        <v>0.31</v>
      </c>
    </row>
    <row r="100" spans="1:12">
      <c r="A100" s="60">
        <v>93</v>
      </c>
      <c r="B100" s="60" t="s">
        <v>184</v>
      </c>
      <c r="C100" s="60">
        <v>36</v>
      </c>
      <c r="D100" s="60">
        <v>58</v>
      </c>
      <c r="E100" s="60">
        <v>36</v>
      </c>
      <c r="F100" s="60">
        <v>58</v>
      </c>
      <c r="G100" s="60">
        <v>-37.93</v>
      </c>
      <c r="H100" s="60">
        <v>-37.93</v>
      </c>
      <c r="I100" s="60">
        <v>0.25</v>
      </c>
      <c r="J100" s="60">
        <v>0.25</v>
      </c>
      <c r="K100" s="60">
        <v>0.28999999999999998</v>
      </c>
      <c r="L100" s="60">
        <v>0.28999999999999998</v>
      </c>
    </row>
    <row r="101" spans="1:12">
      <c r="A101" s="60">
        <v>94</v>
      </c>
      <c r="B101" s="60" t="s">
        <v>148</v>
      </c>
      <c r="C101" s="60">
        <v>35</v>
      </c>
      <c r="D101" s="60">
        <v>78</v>
      </c>
      <c r="E101" s="60">
        <v>35</v>
      </c>
      <c r="F101" s="60">
        <v>78</v>
      </c>
      <c r="G101" s="60">
        <v>-55.13</v>
      </c>
      <c r="H101" s="60">
        <v>-55.13</v>
      </c>
      <c r="I101" s="60">
        <v>0.24</v>
      </c>
      <c r="J101" s="60">
        <v>0.24</v>
      </c>
      <c r="K101" s="60">
        <v>0.39</v>
      </c>
      <c r="L101" s="60">
        <v>0.39</v>
      </c>
    </row>
    <row r="102" spans="1:12">
      <c r="A102" s="60">
        <v>95</v>
      </c>
      <c r="B102" s="60" t="s">
        <v>155</v>
      </c>
      <c r="C102" s="60">
        <v>35</v>
      </c>
      <c r="D102" s="60">
        <v>36</v>
      </c>
      <c r="E102" s="60">
        <v>35</v>
      </c>
      <c r="F102" s="60">
        <v>36</v>
      </c>
      <c r="G102" s="60">
        <v>-2.78</v>
      </c>
      <c r="H102" s="60">
        <v>-2.78</v>
      </c>
      <c r="I102" s="60">
        <v>0.24</v>
      </c>
      <c r="J102" s="60">
        <v>0.24</v>
      </c>
      <c r="K102" s="60">
        <v>0.18</v>
      </c>
      <c r="L102" s="60">
        <v>0.18</v>
      </c>
    </row>
    <row r="103" spans="1:12">
      <c r="A103" s="60">
        <v>96</v>
      </c>
      <c r="B103" s="60" t="s">
        <v>153</v>
      </c>
      <c r="C103" s="60">
        <v>34</v>
      </c>
      <c r="D103" s="60">
        <v>136</v>
      </c>
      <c r="E103" s="60">
        <v>34</v>
      </c>
      <c r="F103" s="60">
        <v>136</v>
      </c>
      <c r="G103" s="60">
        <v>-75</v>
      </c>
      <c r="H103" s="60">
        <v>-75</v>
      </c>
      <c r="I103" s="60">
        <v>0.23</v>
      </c>
      <c r="J103" s="60">
        <v>0.23</v>
      </c>
      <c r="K103" s="60">
        <v>0.68</v>
      </c>
      <c r="L103" s="60">
        <v>0.68</v>
      </c>
    </row>
    <row r="104" spans="1:12">
      <c r="A104" s="60">
        <v>97</v>
      </c>
      <c r="B104" s="60" t="s">
        <v>104</v>
      </c>
      <c r="C104" s="60">
        <v>34</v>
      </c>
      <c r="D104" s="60">
        <v>19</v>
      </c>
      <c r="E104" s="60">
        <v>34</v>
      </c>
      <c r="F104" s="60">
        <v>19</v>
      </c>
      <c r="G104" s="60">
        <v>78.95</v>
      </c>
      <c r="H104" s="60">
        <v>78.95</v>
      </c>
      <c r="I104" s="60">
        <v>0.23</v>
      </c>
      <c r="J104" s="60">
        <v>0.23</v>
      </c>
      <c r="K104" s="60">
        <v>0.1</v>
      </c>
      <c r="L104" s="60">
        <v>0.1</v>
      </c>
    </row>
    <row r="105" spans="1:12">
      <c r="A105" s="60">
        <v>98</v>
      </c>
      <c r="B105" s="60" t="s">
        <v>160</v>
      </c>
      <c r="C105" s="60">
        <v>34</v>
      </c>
      <c r="D105" s="60">
        <v>18</v>
      </c>
      <c r="E105" s="60">
        <v>34</v>
      </c>
      <c r="F105" s="60">
        <v>18</v>
      </c>
      <c r="G105" s="60">
        <v>88.89</v>
      </c>
      <c r="H105" s="60">
        <v>88.89</v>
      </c>
      <c r="I105" s="60">
        <v>0.23</v>
      </c>
      <c r="J105" s="60">
        <v>0.23</v>
      </c>
      <c r="K105" s="60">
        <v>0.09</v>
      </c>
      <c r="L105" s="60">
        <v>0.09</v>
      </c>
    </row>
    <row r="106" spans="1:12">
      <c r="A106" s="60">
        <v>99</v>
      </c>
      <c r="B106" s="60" t="s">
        <v>67</v>
      </c>
      <c r="C106" s="60">
        <v>33</v>
      </c>
      <c r="D106" s="60">
        <v>185</v>
      </c>
      <c r="E106" s="60">
        <v>33</v>
      </c>
      <c r="F106" s="60">
        <v>185</v>
      </c>
      <c r="G106" s="60">
        <v>-82.16</v>
      </c>
      <c r="H106" s="60">
        <v>-82.16</v>
      </c>
      <c r="I106" s="60">
        <v>0.23</v>
      </c>
      <c r="J106" s="60">
        <v>0.23</v>
      </c>
      <c r="K106" s="60">
        <v>0.93</v>
      </c>
      <c r="L106" s="60">
        <v>0.93</v>
      </c>
    </row>
    <row r="107" spans="1:12">
      <c r="A107" s="60">
        <v>100</v>
      </c>
      <c r="B107" s="60" t="s">
        <v>1052</v>
      </c>
      <c r="C107" s="60">
        <v>33</v>
      </c>
      <c r="D107" s="60">
        <v>0</v>
      </c>
      <c r="E107" s="60">
        <v>33</v>
      </c>
      <c r="F107" s="60">
        <v>0</v>
      </c>
      <c r="G107" s="60">
        <v>0</v>
      </c>
      <c r="H107" s="60">
        <v>0</v>
      </c>
      <c r="I107" s="60">
        <v>0.23</v>
      </c>
      <c r="J107" s="60">
        <v>0.23</v>
      </c>
      <c r="K107" s="60">
        <v>0</v>
      </c>
      <c r="L107" s="60">
        <v>0</v>
      </c>
    </row>
    <row r="108" spans="1:12">
      <c r="A108" s="60">
        <v>101</v>
      </c>
      <c r="B108" s="60" t="s">
        <v>514</v>
      </c>
      <c r="C108" s="60">
        <v>30</v>
      </c>
      <c r="D108" s="60">
        <v>53</v>
      </c>
      <c r="E108" s="60">
        <v>30</v>
      </c>
      <c r="F108" s="60">
        <v>53</v>
      </c>
      <c r="G108" s="60">
        <v>-43.4</v>
      </c>
      <c r="H108" s="60">
        <v>-43.4</v>
      </c>
      <c r="I108" s="60">
        <v>0.21</v>
      </c>
      <c r="J108" s="60">
        <v>0.21</v>
      </c>
      <c r="K108" s="60">
        <v>0.27</v>
      </c>
      <c r="L108" s="60">
        <v>0.27</v>
      </c>
    </row>
    <row r="109" spans="1:12">
      <c r="A109" s="60">
        <v>102</v>
      </c>
      <c r="B109" s="60" t="s">
        <v>101</v>
      </c>
      <c r="C109" s="60">
        <v>30</v>
      </c>
      <c r="D109" s="60">
        <v>45</v>
      </c>
      <c r="E109" s="60">
        <v>30</v>
      </c>
      <c r="F109" s="60">
        <v>45</v>
      </c>
      <c r="G109" s="60">
        <v>-33.33</v>
      </c>
      <c r="H109" s="60">
        <v>-33.33</v>
      </c>
      <c r="I109" s="60">
        <v>0.21</v>
      </c>
      <c r="J109" s="60">
        <v>0.21</v>
      </c>
      <c r="K109" s="60">
        <v>0.23</v>
      </c>
      <c r="L109" s="60">
        <v>0.23</v>
      </c>
    </row>
    <row r="110" spans="1:12">
      <c r="A110" s="60">
        <v>103</v>
      </c>
      <c r="B110" s="60" t="s">
        <v>123</v>
      </c>
      <c r="C110" s="60">
        <v>29</v>
      </c>
      <c r="D110" s="60">
        <v>49</v>
      </c>
      <c r="E110" s="60">
        <v>29</v>
      </c>
      <c r="F110" s="60">
        <v>49</v>
      </c>
      <c r="G110" s="60">
        <v>-40.82</v>
      </c>
      <c r="H110" s="60">
        <v>-40.82</v>
      </c>
      <c r="I110" s="60">
        <v>0.2</v>
      </c>
      <c r="J110" s="60">
        <v>0.2</v>
      </c>
      <c r="K110" s="60">
        <v>0.25</v>
      </c>
      <c r="L110" s="60">
        <v>0.25</v>
      </c>
    </row>
    <row r="111" spans="1:12">
      <c r="A111" s="60">
        <v>104</v>
      </c>
      <c r="B111" s="60" t="s">
        <v>664</v>
      </c>
      <c r="C111" s="60">
        <v>29</v>
      </c>
      <c r="D111" s="60">
        <v>15</v>
      </c>
      <c r="E111" s="60">
        <v>29</v>
      </c>
      <c r="F111" s="60">
        <v>15</v>
      </c>
      <c r="G111" s="60">
        <v>93.33</v>
      </c>
      <c r="H111" s="60">
        <v>93.33</v>
      </c>
      <c r="I111" s="60">
        <v>0.2</v>
      </c>
      <c r="J111" s="60">
        <v>0.2</v>
      </c>
      <c r="K111" s="60">
        <v>0.08</v>
      </c>
      <c r="L111" s="60">
        <v>0.08</v>
      </c>
    </row>
    <row r="112" spans="1:12">
      <c r="A112" s="60">
        <v>105</v>
      </c>
      <c r="B112" s="60" t="s">
        <v>147</v>
      </c>
      <c r="C112" s="60">
        <v>29</v>
      </c>
      <c r="D112" s="60">
        <v>14</v>
      </c>
      <c r="E112" s="60">
        <v>29</v>
      </c>
      <c r="F112" s="60">
        <v>14</v>
      </c>
      <c r="G112" s="60">
        <v>107.14</v>
      </c>
      <c r="H112" s="60">
        <v>107.14</v>
      </c>
      <c r="I112" s="60">
        <v>0.2</v>
      </c>
      <c r="J112" s="60">
        <v>0.2</v>
      </c>
      <c r="K112" s="60">
        <v>7.0000000000000007E-2</v>
      </c>
      <c r="L112" s="60">
        <v>7.0000000000000007E-2</v>
      </c>
    </row>
    <row r="113" spans="1:12">
      <c r="A113" s="60">
        <v>106</v>
      </c>
      <c r="B113" s="60" t="s">
        <v>644</v>
      </c>
      <c r="C113" s="60">
        <v>28</v>
      </c>
      <c r="D113" s="60">
        <v>55</v>
      </c>
      <c r="E113" s="60">
        <v>28</v>
      </c>
      <c r="F113" s="60">
        <v>55</v>
      </c>
      <c r="G113" s="60">
        <v>-49.09</v>
      </c>
      <c r="H113" s="60">
        <v>-49.09</v>
      </c>
      <c r="I113" s="60">
        <v>0.19</v>
      </c>
      <c r="J113" s="60">
        <v>0.19</v>
      </c>
      <c r="K113" s="60">
        <v>0.28000000000000003</v>
      </c>
      <c r="L113" s="60">
        <v>0.28000000000000003</v>
      </c>
    </row>
    <row r="114" spans="1:12">
      <c r="A114" s="60">
        <v>107</v>
      </c>
      <c r="B114" s="60" t="s">
        <v>122</v>
      </c>
      <c r="C114" s="60">
        <v>28</v>
      </c>
      <c r="D114" s="60">
        <v>34</v>
      </c>
      <c r="E114" s="60">
        <v>28</v>
      </c>
      <c r="F114" s="60">
        <v>34</v>
      </c>
      <c r="G114" s="60">
        <v>-17.649999999999999</v>
      </c>
      <c r="H114" s="60">
        <v>-17.649999999999999</v>
      </c>
      <c r="I114" s="60">
        <v>0.19</v>
      </c>
      <c r="J114" s="60">
        <v>0.19</v>
      </c>
      <c r="K114" s="60">
        <v>0.17</v>
      </c>
      <c r="L114" s="60">
        <v>0.17</v>
      </c>
    </row>
    <row r="115" spans="1:12">
      <c r="A115" s="60">
        <v>108</v>
      </c>
      <c r="B115" s="60" t="s">
        <v>70</v>
      </c>
      <c r="C115" s="60">
        <v>28</v>
      </c>
      <c r="D115" s="60">
        <v>33</v>
      </c>
      <c r="E115" s="60">
        <v>28</v>
      </c>
      <c r="F115" s="60">
        <v>33</v>
      </c>
      <c r="G115" s="60">
        <v>-15.15</v>
      </c>
      <c r="H115" s="60">
        <v>-15.15</v>
      </c>
      <c r="I115" s="60">
        <v>0.19</v>
      </c>
      <c r="J115" s="60">
        <v>0.19</v>
      </c>
      <c r="K115" s="60">
        <v>0.17</v>
      </c>
      <c r="L115" s="60">
        <v>0.17</v>
      </c>
    </row>
    <row r="116" spans="1:12">
      <c r="A116" s="60">
        <v>109</v>
      </c>
      <c r="B116" s="60" t="s">
        <v>177</v>
      </c>
      <c r="C116" s="60">
        <v>27</v>
      </c>
      <c r="D116" s="60">
        <v>32</v>
      </c>
      <c r="E116" s="60">
        <v>27</v>
      </c>
      <c r="F116" s="60">
        <v>32</v>
      </c>
      <c r="G116" s="60">
        <v>-15.63</v>
      </c>
      <c r="H116" s="60">
        <v>-15.63</v>
      </c>
      <c r="I116" s="60">
        <v>0.18</v>
      </c>
      <c r="J116" s="60">
        <v>0.18</v>
      </c>
      <c r="K116" s="60">
        <v>0.16</v>
      </c>
      <c r="L116" s="60">
        <v>0.16</v>
      </c>
    </row>
    <row r="117" spans="1:12">
      <c r="A117" s="60">
        <v>110</v>
      </c>
      <c r="B117" s="60" t="s">
        <v>1070</v>
      </c>
      <c r="C117" s="60">
        <v>27</v>
      </c>
      <c r="D117" s="60">
        <v>0</v>
      </c>
      <c r="E117" s="60">
        <v>27</v>
      </c>
      <c r="F117" s="60">
        <v>0</v>
      </c>
      <c r="G117" s="60">
        <v>0</v>
      </c>
      <c r="H117" s="60">
        <v>0</v>
      </c>
      <c r="I117" s="60">
        <v>0.18</v>
      </c>
      <c r="J117" s="60">
        <v>0.18</v>
      </c>
      <c r="K117" s="60">
        <v>0</v>
      </c>
      <c r="L117" s="60">
        <v>0</v>
      </c>
    </row>
    <row r="118" spans="1:12">
      <c r="A118" s="60">
        <v>111</v>
      </c>
      <c r="B118" s="60" t="s">
        <v>97</v>
      </c>
      <c r="C118" s="60">
        <v>26</v>
      </c>
      <c r="D118" s="60">
        <v>105</v>
      </c>
      <c r="E118" s="60">
        <v>26</v>
      </c>
      <c r="F118" s="60">
        <v>105</v>
      </c>
      <c r="G118" s="60">
        <v>-75.239999999999995</v>
      </c>
      <c r="H118" s="60">
        <v>-75.239999999999995</v>
      </c>
      <c r="I118" s="60">
        <v>0.18</v>
      </c>
      <c r="J118" s="60">
        <v>0.18</v>
      </c>
      <c r="K118" s="60">
        <v>0.53</v>
      </c>
      <c r="L118" s="60">
        <v>0.53</v>
      </c>
    </row>
    <row r="119" spans="1:12">
      <c r="A119" s="60">
        <v>112</v>
      </c>
      <c r="B119" s="60" t="s">
        <v>201</v>
      </c>
      <c r="C119" s="60">
        <v>26</v>
      </c>
      <c r="D119" s="60">
        <v>7</v>
      </c>
      <c r="E119" s="60">
        <v>26</v>
      </c>
      <c r="F119" s="60">
        <v>7</v>
      </c>
      <c r="G119" s="60">
        <v>271.43</v>
      </c>
      <c r="H119" s="60">
        <v>271.43</v>
      </c>
      <c r="I119" s="60">
        <v>0.18</v>
      </c>
      <c r="J119" s="60">
        <v>0.18</v>
      </c>
      <c r="K119" s="60">
        <v>0.04</v>
      </c>
      <c r="L119" s="60">
        <v>0.04</v>
      </c>
    </row>
    <row r="120" spans="1:12">
      <c r="A120" s="60">
        <v>113</v>
      </c>
      <c r="B120" s="60" t="s">
        <v>1051</v>
      </c>
      <c r="C120" s="60">
        <v>26</v>
      </c>
      <c r="D120" s="60">
        <v>0</v>
      </c>
      <c r="E120" s="60">
        <v>26</v>
      </c>
      <c r="F120" s="60">
        <v>0</v>
      </c>
      <c r="G120" s="60">
        <v>0</v>
      </c>
      <c r="H120" s="60">
        <v>0</v>
      </c>
      <c r="I120" s="60">
        <v>0.18</v>
      </c>
      <c r="J120" s="60">
        <v>0.18</v>
      </c>
      <c r="K120" s="60">
        <v>0</v>
      </c>
      <c r="L120" s="60">
        <v>0</v>
      </c>
    </row>
    <row r="121" spans="1:12">
      <c r="A121" s="60">
        <v>114</v>
      </c>
      <c r="B121" s="60" t="s">
        <v>136</v>
      </c>
      <c r="C121" s="60">
        <v>25</v>
      </c>
      <c r="D121" s="60">
        <v>31</v>
      </c>
      <c r="E121" s="60">
        <v>25</v>
      </c>
      <c r="F121" s="60">
        <v>31</v>
      </c>
      <c r="G121" s="60">
        <v>-19.350000000000001</v>
      </c>
      <c r="H121" s="60">
        <v>-19.350000000000001</v>
      </c>
      <c r="I121" s="60">
        <v>0.17</v>
      </c>
      <c r="J121" s="60">
        <v>0.17</v>
      </c>
      <c r="K121" s="60">
        <v>0.16</v>
      </c>
      <c r="L121" s="60">
        <v>0.16</v>
      </c>
    </row>
    <row r="122" spans="1:12">
      <c r="A122" s="60">
        <v>115</v>
      </c>
      <c r="B122" s="60" t="s">
        <v>203</v>
      </c>
      <c r="C122" s="60">
        <v>25</v>
      </c>
      <c r="D122" s="60">
        <v>4</v>
      </c>
      <c r="E122" s="60">
        <v>25</v>
      </c>
      <c r="F122" s="60">
        <v>4</v>
      </c>
      <c r="G122" s="60">
        <v>525</v>
      </c>
      <c r="H122" s="60">
        <v>525</v>
      </c>
      <c r="I122" s="60">
        <v>0.17</v>
      </c>
      <c r="J122" s="60">
        <v>0.17</v>
      </c>
      <c r="K122" s="60">
        <v>0.02</v>
      </c>
      <c r="L122" s="60">
        <v>0.02</v>
      </c>
    </row>
    <row r="123" spans="1:12">
      <c r="A123" s="60">
        <v>116</v>
      </c>
      <c r="B123" s="60" t="s">
        <v>146</v>
      </c>
      <c r="C123" s="60">
        <v>24</v>
      </c>
      <c r="D123" s="60">
        <v>210</v>
      </c>
      <c r="E123" s="60">
        <v>24</v>
      </c>
      <c r="F123" s="60">
        <v>210</v>
      </c>
      <c r="G123" s="60">
        <v>-88.57</v>
      </c>
      <c r="H123" s="60">
        <v>-88.57</v>
      </c>
      <c r="I123" s="60">
        <v>0.16</v>
      </c>
      <c r="J123" s="60">
        <v>0.16</v>
      </c>
      <c r="K123" s="60">
        <v>1.06</v>
      </c>
      <c r="L123" s="60">
        <v>1.06</v>
      </c>
    </row>
    <row r="124" spans="1:12">
      <c r="A124" s="60">
        <v>117</v>
      </c>
      <c r="B124" s="60" t="s">
        <v>102</v>
      </c>
      <c r="C124" s="60">
        <v>24</v>
      </c>
      <c r="D124" s="60">
        <v>84</v>
      </c>
      <c r="E124" s="60">
        <v>24</v>
      </c>
      <c r="F124" s="60">
        <v>84</v>
      </c>
      <c r="G124" s="60">
        <v>-71.430000000000007</v>
      </c>
      <c r="H124" s="60">
        <v>-71.430000000000007</v>
      </c>
      <c r="I124" s="60">
        <v>0.16</v>
      </c>
      <c r="J124" s="60">
        <v>0.16</v>
      </c>
      <c r="K124" s="60">
        <v>0.42</v>
      </c>
      <c r="L124" s="60">
        <v>0.42</v>
      </c>
    </row>
    <row r="125" spans="1:12">
      <c r="A125" s="60">
        <v>118</v>
      </c>
      <c r="B125" s="60" t="s">
        <v>88</v>
      </c>
      <c r="C125" s="60">
        <v>24</v>
      </c>
      <c r="D125" s="60">
        <v>48</v>
      </c>
      <c r="E125" s="60">
        <v>24</v>
      </c>
      <c r="F125" s="60">
        <v>48</v>
      </c>
      <c r="G125" s="60">
        <v>-50</v>
      </c>
      <c r="H125" s="60">
        <v>-50</v>
      </c>
      <c r="I125" s="60">
        <v>0.16</v>
      </c>
      <c r="J125" s="60">
        <v>0.16</v>
      </c>
      <c r="K125" s="60">
        <v>0.24</v>
      </c>
      <c r="L125" s="60">
        <v>0.24</v>
      </c>
    </row>
    <row r="126" spans="1:12">
      <c r="A126" s="60">
        <v>119</v>
      </c>
      <c r="B126" s="60" t="s">
        <v>171</v>
      </c>
      <c r="C126" s="60">
        <v>24</v>
      </c>
      <c r="D126" s="60">
        <v>23</v>
      </c>
      <c r="E126" s="60">
        <v>24</v>
      </c>
      <c r="F126" s="60">
        <v>23</v>
      </c>
      <c r="G126" s="60">
        <v>4.3499999999999996</v>
      </c>
      <c r="H126" s="60">
        <v>4.3499999999999996</v>
      </c>
      <c r="I126" s="60">
        <v>0.16</v>
      </c>
      <c r="J126" s="60">
        <v>0.16</v>
      </c>
      <c r="K126" s="60">
        <v>0.12</v>
      </c>
      <c r="L126" s="60">
        <v>0.12</v>
      </c>
    </row>
    <row r="127" spans="1:12">
      <c r="A127" s="60">
        <v>120</v>
      </c>
      <c r="B127" s="60" t="s">
        <v>112</v>
      </c>
      <c r="C127" s="60">
        <v>24</v>
      </c>
      <c r="D127" s="60">
        <v>12</v>
      </c>
      <c r="E127" s="60">
        <v>24</v>
      </c>
      <c r="F127" s="60">
        <v>12</v>
      </c>
      <c r="G127" s="60">
        <v>100</v>
      </c>
      <c r="H127" s="60">
        <v>100</v>
      </c>
      <c r="I127" s="60">
        <v>0.16</v>
      </c>
      <c r="J127" s="60">
        <v>0.16</v>
      </c>
      <c r="K127" s="60">
        <v>0.06</v>
      </c>
      <c r="L127" s="60">
        <v>0.06</v>
      </c>
    </row>
    <row r="128" spans="1:12">
      <c r="A128" s="60">
        <v>121</v>
      </c>
      <c r="B128" s="60" t="s">
        <v>688</v>
      </c>
      <c r="C128" s="60">
        <v>23</v>
      </c>
      <c r="D128" s="60">
        <v>53</v>
      </c>
      <c r="E128" s="60">
        <v>23</v>
      </c>
      <c r="F128" s="60">
        <v>53</v>
      </c>
      <c r="G128" s="60">
        <v>-56.6</v>
      </c>
      <c r="H128" s="60">
        <v>-56.6</v>
      </c>
      <c r="I128" s="60">
        <v>0.16</v>
      </c>
      <c r="J128" s="60">
        <v>0.16</v>
      </c>
      <c r="K128" s="60">
        <v>0.27</v>
      </c>
      <c r="L128" s="60">
        <v>0.27</v>
      </c>
    </row>
    <row r="129" spans="1:12">
      <c r="A129" s="60">
        <v>122</v>
      </c>
      <c r="B129" s="60" t="s">
        <v>175</v>
      </c>
      <c r="C129" s="60">
        <v>23</v>
      </c>
      <c r="D129" s="60">
        <v>17</v>
      </c>
      <c r="E129" s="60">
        <v>23</v>
      </c>
      <c r="F129" s="60">
        <v>17</v>
      </c>
      <c r="G129" s="60">
        <v>35.29</v>
      </c>
      <c r="H129" s="60">
        <v>35.29</v>
      </c>
      <c r="I129" s="60">
        <v>0.16</v>
      </c>
      <c r="J129" s="60">
        <v>0.16</v>
      </c>
      <c r="K129" s="60">
        <v>0.09</v>
      </c>
      <c r="L129" s="60">
        <v>0.09</v>
      </c>
    </row>
    <row r="130" spans="1:12">
      <c r="A130" s="60">
        <v>123</v>
      </c>
      <c r="B130" s="60" t="s">
        <v>162</v>
      </c>
      <c r="C130" s="60">
        <v>23</v>
      </c>
      <c r="D130" s="60">
        <v>14</v>
      </c>
      <c r="E130" s="60">
        <v>23</v>
      </c>
      <c r="F130" s="60">
        <v>14</v>
      </c>
      <c r="G130" s="60">
        <v>64.290000000000006</v>
      </c>
      <c r="H130" s="60">
        <v>64.290000000000006</v>
      </c>
      <c r="I130" s="60">
        <v>0.16</v>
      </c>
      <c r="J130" s="60">
        <v>0.16</v>
      </c>
      <c r="K130" s="60">
        <v>7.0000000000000007E-2</v>
      </c>
      <c r="L130" s="60">
        <v>7.0000000000000007E-2</v>
      </c>
    </row>
    <row r="131" spans="1:12">
      <c r="A131" s="60">
        <v>124</v>
      </c>
      <c r="B131" s="60" t="s">
        <v>174</v>
      </c>
      <c r="C131" s="60">
        <v>22</v>
      </c>
      <c r="D131" s="60">
        <v>29</v>
      </c>
      <c r="E131" s="60">
        <v>22</v>
      </c>
      <c r="F131" s="60">
        <v>29</v>
      </c>
      <c r="G131" s="60">
        <v>-24.14</v>
      </c>
      <c r="H131" s="60">
        <v>-24.14</v>
      </c>
      <c r="I131" s="60">
        <v>0.15</v>
      </c>
      <c r="J131" s="60">
        <v>0.15</v>
      </c>
      <c r="K131" s="60">
        <v>0.15</v>
      </c>
      <c r="L131" s="60">
        <v>0.15</v>
      </c>
    </row>
    <row r="132" spans="1:12">
      <c r="A132" s="60">
        <v>125</v>
      </c>
      <c r="B132" s="60" t="s">
        <v>159</v>
      </c>
      <c r="C132" s="60">
        <v>22</v>
      </c>
      <c r="D132" s="60">
        <v>27</v>
      </c>
      <c r="E132" s="60">
        <v>22</v>
      </c>
      <c r="F132" s="60">
        <v>27</v>
      </c>
      <c r="G132" s="60">
        <v>-18.52</v>
      </c>
      <c r="H132" s="60">
        <v>-18.52</v>
      </c>
      <c r="I132" s="60">
        <v>0.15</v>
      </c>
      <c r="J132" s="60">
        <v>0.15</v>
      </c>
      <c r="K132" s="60">
        <v>0.14000000000000001</v>
      </c>
      <c r="L132" s="60">
        <v>0.14000000000000001</v>
      </c>
    </row>
    <row r="133" spans="1:12">
      <c r="A133" s="60">
        <v>126</v>
      </c>
      <c r="B133" s="60" t="s">
        <v>1083</v>
      </c>
      <c r="C133" s="60">
        <v>22</v>
      </c>
      <c r="D133" s="60">
        <v>0</v>
      </c>
      <c r="E133" s="60">
        <v>22</v>
      </c>
      <c r="F133" s="60">
        <v>0</v>
      </c>
      <c r="G133" s="60">
        <v>0</v>
      </c>
      <c r="H133" s="60">
        <v>0</v>
      </c>
      <c r="I133" s="60">
        <v>0.15</v>
      </c>
      <c r="J133" s="60">
        <v>0.15</v>
      </c>
      <c r="K133" s="60">
        <v>0</v>
      </c>
      <c r="L133" s="60">
        <v>0</v>
      </c>
    </row>
    <row r="134" spans="1:12">
      <c r="A134" s="60">
        <v>127</v>
      </c>
      <c r="B134" s="60" t="s">
        <v>115</v>
      </c>
      <c r="C134" s="60">
        <v>21</v>
      </c>
      <c r="D134" s="60">
        <v>28</v>
      </c>
      <c r="E134" s="60">
        <v>21</v>
      </c>
      <c r="F134" s="60">
        <v>28</v>
      </c>
      <c r="G134" s="60">
        <v>-25</v>
      </c>
      <c r="H134" s="60">
        <v>-25</v>
      </c>
      <c r="I134" s="60">
        <v>0.14000000000000001</v>
      </c>
      <c r="J134" s="60">
        <v>0.14000000000000001</v>
      </c>
      <c r="K134" s="60">
        <v>0.14000000000000001</v>
      </c>
      <c r="L134" s="60">
        <v>0.14000000000000001</v>
      </c>
    </row>
    <row r="135" spans="1:12">
      <c r="A135" s="60">
        <v>128</v>
      </c>
      <c r="B135" s="60" t="s">
        <v>676</v>
      </c>
      <c r="C135" s="60">
        <v>21</v>
      </c>
      <c r="D135" s="60">
        <v>0</v>
      </c>
      <c r="E135" s="60">
        <v>21</v>
      </c>
      <c r="F135" s="60">
        <v>0</v>
      </c>
      <c r="G135" s="60">
        <v>0</v>
      </c>
      <c r="H135" s="60">
        <v>0</v>
      </c>
      <c r="I135" s="60">
        <v>0.14000000000000001</v>
      </c>
      <c r="J135" s="60">
        <v>0.14000000000000001</v>
      </c>
      <c r="K135" s="60">
        <v>0</v>
      </c>
      <c r="L135" s="60">
        <v>0</v>
      </c>
    </row>
    <row r="136" spans="1:12">
      <c r="A136" s="60">
        <v>129</v>
      </c>
      <c r="B136" s="60" t="s">
        <v>82</v>
      </c>
      <c r="C136" s="60">
        <v>20</v>
      </c>
      <c r="D136" s="60">
        <v>60</v>
      </c>
      <c r="E136" s="60">
        <v>20</v>
      </c>
      <c r="F136" s="60">
        <v>60</v>
      </c>
      <c r="G136" s="60">
        <v>-66.67</v>
      </c>
      <c r="H136" s="60">
        <v>-66.67</v>
      </c>
      <c r="I136" s="60">
        <v>0.14000000000000001</v>
      </c>
      <c r="J136" s="60">
        <v>0.14000000000000001</v>
      </c>
      <c r="K136" s="60">
        <v>0.3</v>
      </c>
      <c r="L136" s="60">
        <v>0.3</v>
      </c>
    </row>
    <row r="137" spans="1:12">
      <c r="A137" s="60">
        <v>130</v>
      </c>
      <c r="B137" s="60" t="s">
        <v>180</v>
      </c>
      <c r="C137" s="60">
        <v>20</v>
      </c>
      <c r="D137" s="60">
        <v>16</v>
      </c>
      <c r="E137" s="60">
        <v>20</v>
      </c>
      <c r="F137" s="60">
        <v>16</v>
      </c>
      <c r="G137" s="60">
        <v>25</v>
      </c>
      <c r="H137" s="60">
        <v>25</v>
      </c>
      <c r="I137" s="60">
        <v>0.14000000000000001</v>
      </c>
      <c r="J137" s="60">
        <v>0.14000000000000001</v>
      </c>
      <c r="K137" s="60">
        <v>0.08</v>
      </c>
      <c r="L137" s="60">
        <v>0.08</v>
      </c>
    </row>
    <row r="138" spans="1:12">
      <c r="A138" s="60">
        <v>131</v>
      </c>
      <c r="B138" s="60" t="s">
        <v>149</v>
      </c>
      <c r="C138" s="60">
        <v>20</v>
      </c>
      <c r="D138" s="60">
        <v>0</v>
      </c>
      <c r="E138" s="60">
        <v>20</v>
      </c>
      <c r="F138" s="60">
        <v>0</v>
      </c>
      <c r="G138" s="60">
        <v>0</v>
      </c>
      <c r="H138" s="60">
        <v>0</v>
      </c>
      <c r="I138" s="60">
        <v>0.14000000000000001</v>
      </c>
      <c r="J138" s="60">
        <v>0.14000000000000001</v>
      </c>
      <c r="K138" s="60">
        <v>0</v>
      </c>
      <c r="L138" s="60">
        <v>0</v>
      </c>
    </row>
    <row r="139" spans="1:12">
      <c r="A139" s="60">
        <v>132</v>
      </c>
      <c r="B139" s="60" t="s">
        <v>75</v>
      </c>
      <c r="C139" s="60">
        <v>19</v>
      </c>
      <c r="D139" s="60">
        <v>101</v>
      </c>
      <c r="E139" s="60">
        <v>19</v>
      </c>
      <c r="F139" s="60">
        <v>101</v>
      </c>
      <c r="G139" s="60">
        <v>-81.19</v>
      </c>
      <c r="H139" s="60">
        <v>-81.19</v>
      </c>
      <c r="I139" s="60">
        <v>0.13</v>
      </c>
      <c r="J139" s="60">
        <v>0.13</v>
      </c>
      <c r="K139" s="60">
        <v>0.51</v>
      </c>
      <c r="L139" s="60">
        <v>0.51</v>
      </c>
    </row>
    <row r="140" spans="1:12">
      <c r="A140" s="60">
        <v>133</v>
      </c>
      <c r="B140" s="60" t="s">
        <v>98</v>
      </c>
      <c r="C140" s="60">
        <v>19</v>
      </c>
      <c r="D140" s="60">
        <v>13</v>
      </c>
      <c r="E140" s="60">
        <v>19</v>
      </c>
      <c r="F140" s="60">
        <v>13</v>
      </c>
      <c r="G140" s="60">
        <v>46.15</v>
      </c>
      <c r="H140" s="60">
        <v>46.15</v>
      </c>
      <c r="I140" s="60">
        <v>0.13</v>
      </c>
      <c r="J140" s="60">
        <v>0.13</v>
      </c>
      <c r="K140" s="60">
        <v>7.0000000000000007E-2</v>
      </c>
      <c r="L140" s="60">
        <v>7.0000000000000007E-2</v>
      </c>
    </row>
    <row r="141" spans="1:12">
      <c r="A141" s="60">
        <v>134</v>
      </c>
      <c r="B141" s="60" t="s">
        <v>117</v>
      </c>
      <c r="C141" s="60">
        <v>18</v>
      </c>
      <c r="D141" s="60">
        <v>93</v>
      </c>
      <c r="E141" s="60">
        <v>18</v>
      </c>
      <c r="F141" s="60">
        <v>93</v>
      </c>
      <c r="G141" s="60">
        <v>-80.650000000000006</v>
      </c>
      <c r="H141" s="60">
        <v>-80.650000000000006</v>
      </c>
      <c r="I141" s="60">
        <v>0.12</v>
      </c>
      <c r="J141" s="60">
        <v>0.12</v>
      </c>
      <c r="K141" s="60">
        <v>0.47</v>
      </c>
      <c r="L141" s="60">
        <v>0.47</v>
      </c>
    </row>
    <row r="142" spans="1:12">
      <c r="A142" s="60">
        <v>135</v>
      </c>
      <c r="B142" s="60" t="s">
        <v>137</v>
      </c>
      <c r="C142" s="60">
        <v>18</v>
      </c>
      <c r="D142" s="60">
        <v>21</v>
      </c>
      <c r="E142" s="60">
        <v>18</v>
      </c>
      <c r="F142" s="60">
        <v>21</v>
      </c>
      <c r="G142" s="60">
        <v>-14.29</v>
      </c>
      <c r="H142" s="60">
        <v>-14.29</v>
      </c>
      <c r="I142" s="60">
        <v>0.12</v>
      </c>
      <c r="J142" s="60">
        <v>0.12</v>
      </c>
      <c r="K142" s="60">
        <v>0.11</v>
      </c>
      <c r="L142" s="60">
        <v>0.11</v>
      </c>
    </row>
    <row r="143" spans="1:12">
      <c r="A143" s="60">
        <v>136</v>
      </c>
      <c r="B143" s="60" t="s">
        <v>111</v>
      </c>
      <c r="C143" s="60">
        <v>18</v>
      </c>
      <c r="D143" s="60">
        <v>12</v>
      </c>
      <c r="E143" s="60">
        <v>18</v>
      </c>
      <c r="F143" s="60">
        <v>12</v>
      </c>
      <c r="G143" s="60">
        <v>50</v>
      </c>
      <c r="H143" s="60">
        <v>50</v>
      </c>
      <c r="I143" s="60">
        <v>0.12</v>
      </c>
      <c r="J143" s="60">
        <v>0.12</v>
      </c>
      <c r="K143" s="60">
        <v>0.06</v>
      </c>
      <c r="L143" s="60">
        <v>0.06</v>
      </c>
    </row>
    <row r="144" spans="1:12">
      <c r="A144" s="60">
        <v>137</v>
      </c>
      <c r="B144" s="60" t="s">
        <v>167</v>
      </c>
      <c r="C144" s="60">
        <v>18</v>
      </c>
      <c r="D144" s="60">
        <v>2</v>
      </c>
      <c r="E144" s="60">
        <v>18</v>
      </c>
      <c r="F144" s="60">
        <v>2</v>
      </c>
      <c r="G144" s="60">
        <v>800</v>
      </c>
      <c r="H144" s="60">
        <v>800</v>
      </c>
      <c r="I144" s="60">
        <v>0.12</v>
      </c>
      <c r="J144" s="60">
        <v>0.12</v>
      </c>
      <c r="K144" s="60">
        <v>0.01</v>
      </c>
      <c r="L144" s="60">
        <v>0.01</v>
      </c>
    </row>
    <row r="145" spans="1:12">
      <c r="A145" s="60">
        <v>138</v>
      </c>
      <c r="B145" s="60" t="s">
        <v>1059</v>
      </c>
      <c r="C145" s="60">
        <v>18</v>
      </c>
      <c r="D145" s="60">
        <v>0</v>
      </c>
      <c r="E145" s="60">
        <v>18</v>
      </c>
      <c r="F145" s="60">
        <v>0</v>
      </c>
      <c r="G145" s="60">
        <v>0</v>
      </c>
      <c r="H145" s="60">
        <v>0</v>
      </c>
      <c r="I145" s="60">
        <v>0.12</v>
      </c>
      <c r="J145" s="60">
        <v>0.12</v>
      </c>
      <c r="K145" s="60">
        <v>0</v>
      </c>
      <c r="L145" s="60">
        <v>0</v>
      </c>
    </row>
    <row r="146" spans="1:12">
      <c r="A146" s="60">
        <v>139</v>
      </c>
      <c r="B146" s="60" t="s">
        <v>386</v>
      </c>
      <c r="C146" s="60">
        <v>17</v>
      </c>
      <c r="D146" s="60">
        <v>55</v>
      </c>
      <c r="E146" s="60">
        <v>17</v>
      </c>
      <c r="F146" s="60">
        <v>55</v>
      </c>
      <c r="G146" s="60">
        <v>-69.09</v>
      </c>
      <c r="H146" s="60">
        <v>-69.09</v>
      </c>
      <c r="I146" s="60">
        <v>0.12</v>
      </c>
      <c r="J146" s="60">
        <v>0.12</v>
      </c>
      <c r="K146" s="60">
        <v>0.28000000000000003</v>
      </c>
      <c r="L146" s="60">
        <v>0.28000000000000003</v>
      </c>
    </row>
    <row r="147" spans="1:12">
      <c r="A147" s="60">
        <v>140</v>
      </c>
      <c r="B147" s="60" t="s">
        <v>168</v>
      </c>
      <c r="C147" s="60">
        <v>17</v>
      </c>
      <c r="D147" s="60">
        <v>38</v>
      </c>
      <c r="E147" s="60">
        <v>17</v>
      </c>
      <c r="F147" s="60">
        <v>38</v>
      </c>
      <c r="G147" s="60">
        <v>-55.26</v>
      </c>
      <c r="H147" s="60">
        <v>-55.26</v>
      </c>
      <c r="I147" s="60">
        <v>0.12</v>
      </c>
      <c r="J147" s="60">
        <v>0.12</v>
      </c>
      <c r="K147" s="60">
        <v>0.19</v>
      </c>
      <c r="L147" s="60">
        <v>0.19</v>
      </c>
    </row>
    <row r="148" spans="1:12">
      <c r="A148" s="60">
        <v>141</v>
      </c>
      <c r="B148" s="60" t="s">
        <v>450</v>
      </c>
      <c r="C148" s="60">
        <v>17</v>
      </c>
      <c r="D148" s="60">
        <v>28</v>
      </c>
      <c r="E148" s="60">
        <v>17</v>
      </c>
      <c r="F148" s="60">
        <v>28</v>
      </c>
      <c r="G148" s="60">
        <v>-39.29</v>
      </c>
      <c r="H148" s="60">
        <v>-39.29</v>
      </c>
      <c r="I148" s="60">
        <v>0.12</v>
      </c>
      <c r="J148" s="60">
        <v>0.12</v>
      </c>
      <c r="K148" s="60">
        <v>0.14000000000000001</v>
      </c>
      <c r="L148" s="60">
        <v>0.14000000000000001</v>
      </c>
    </row>
    <row r="149" spans="1:12">
      <c r="A149" s="60">
        <v>142</v>
      </c>
      <c r="B149" s="60" t="s">
        <v>414</v>
      </c>
      <c r="C149" s="60">
        <v>17</v>
      </c>
      <c r="D149" s="60">
        <v>22</v>
      </c>
      <c r="E149" s="60">
        <v>17</v>
      </c>
      <c r="F149" s="60">
        <v>22</v>
      </c>
      <c r="G149" s="60">
        <v>-22.73</v>
      </c>
      <c r="H149" s="60">
        <v>-22.73</v>
      </c>
      <c r="I149" s="60">
        <v>0.12</v>
      </c>
      <c r="J149" s="60">
        <v>0.12</v>
      </c>
      <c r="K149" s="60">
        <v>0.11</v>
      </c>
      <c r="L149" s="60">
        <v>0.11</v>
      </c>
    </row>
    <row r="150" spans="1:12">
      <c r="A150" s="60">
        <v>143</v>
      </c>
      <c r="B150" s="60" t="s">
        <v>636</v>
      </c>
      <c r="C150" s="60">
        <v>16</v>
      </c>
      <c r="D150" s="60">
        <v>112</v>
      </c>
      <c r="E150" s="60">
        <v>16</v>
      </c>
      <c r="F150" s="60">
        <v>112</v>
      </c>
      <c r="G150" s="60">
        <v>-85.71</v>
      </c>
      <c r="H150" s="60">
        <v>-85.71</v>
      </c>
      <c r="I150" s="60">
        <v>0.11</v>
      </c>
      <c r="J150" s="60">
        <v>0.11</v>
      </c>
      <c r="K150" s="60">
        <v>0.56000000000000005</v>
      </c>
      <c r="L150" s="60">
        <v>0.56000000000000005</v>
      </c>
    </row>
    <row r="151" spans="1:12">
      <c r="A151" s="60">
        <v>144</v>
      </c>
      <c r="B151" s="60" t="s">
        <v>181</v>
      </c>
      <c r="C151" s="60">
        <v>16</v>
      </c>
      <c r="D151" s="60">
        <v>7</v>
      </c>
      <c r="E151" s="60">
        <v>16</v>
      </c>
      <c r="F151" s="60">
        <v>7</v>
      </c>
      <c r="G151" s="60">
        <v>128.57</v>
      </c>
      <c r="H151" s="60">
        <v>128.57</v>
      </c>
      <c r="I151" s="60">
        <v>0.11</v>
      </c>
      <c r="J151" s="60">
        <v>0.11</v>
      </c>
      <c r="K151" s="60">
        <v>0.04</v>
      </c>
      <c r="L151" s="60">
        <v>0.04</v>
      </c>
    </row>
    <row r="152" spans="1:12">
      <c r="A152" s="60">
        <v>145</v>
      </c>
      <c r="B152" s="60" t="s">
        <v>132</v>
      </c>
      <c r="C152" s="60">
        <v>16</v>
      </c>
      <c r="D152" s="60">
        <v>3</v>
      </c>
      <c r="E152" s="60">
        <v>16</v>
      </c>
      <c r="F152" s="60">
        <v>3</v>
      </c>
      <c r="G152" s="60">
        <v>433.33</v>
      </c>
      <c r="H152" s="60">
        <v>433.33</v>
      </c>
      <c r="I152" s="60">
        <v>0.11</v>
      </c>
      <c r="J152" s="60">
        <v>0.11</v>
      </c>
      <c r="K152" s="60">
        <v>0.02</v>
      </c>
      <c r="L152" s="60">
        <v>0.02</v>
      </c>
    </row>
    <row r="153" spans="1:12">
      <c r="A153" s="60">
        <v>146</v>
      </c>
      <c r="B153" s="60" t="s">
        <v>220</v>
      </c>
      <c r="C153" s="60">
        <v>16</v>
      </c>
      <c r="D153" s="60">
        <v>3</v>
      </c>
      <c r="E153" s="60">
        <v>16</v>
      </c>
      <c r="F153" s="60">
        <v>3</v>
      </c>
      <c r="G153" s="60">
        <v>433.33</v>
      </c>
      <c r="H153" s="60">
        <v>433.33</v>
      </c>
      <c r="I153" s="60">
        <v>0.11</v>
      </c>
      <c r="J153" s="60">
        <v>0.11</v>
      </c>
      <c r="K153" s="60">
        <v>0.02</v>
      </c>
      <c r="L153" s="60">
        <v>0.02</v>
      </c>
    </row>
    <row r="154" spans="1:12">
      <c r="A154" s="60">
        <v>147</v>
      </c>
      <c r="B154" s="60" t="s">
        <v>1109</v>
      </c>
      <c r="C154" s="60">
        <v>16</v>
      </c>
      <c r="D154" s="60">
        <v>0</v>
      </c>
      <c r="E154" s="60">
        <v>16</v>
      </c>
      <c r="F154" s="60">
        <v>0</v>
      </c>
      <c r="G154" s="60">
        <v>0</v>
      </c>
      <c r="H154" s="60">
        <v>0</v>
      </c>
      <c r="I154" s="60">
        <v>0.11</v>
      </c>
      <c r="J154" s="60">
        <v>0.11</v>
      </c>
      <c r="K154" s="60">
        <v>0</v>
      </c>
      <c r="L154" s="60">
        <v>0</v>
      </c>
    </row>
    <row r="155" spans="1:12">
      <c r="A155" s="60">
        <v>148</v>
      </c>
      <c r="B155" s="60" t="s">
        <v>140</v>
      </c>
      <c r="C155" s="60">
        <v>14</v>
      </c>
      <c r="D155" s="60">
        <v>16</v>
      </c>
      <c r="E155" s="60">
        <v>14</v>
      </c>
      <c r="F155" s="60">
        <v>16</v>
      </c>
      <c r="G155" s="60">
        <v>-12.5</v>
      </c>
      <c r="H155" s="60">
        <v>-12.5</v>
      </c>
      <c r="I155" s="60">
        <v>0.1</v>
      </c>
      <c r="J155" s="60">
        <v>0.1</v>
      </c>
      <c r="K155" s="60">
        <v>0.08</v>
      </c>
      <c r="L155" s="60">
        <v>0.08</v>
      </c>
    </row>
    <row r="156" spans="1:12">
      <c r="A156" s="60">
        <v>149</v>
      </c>
      <c r="B156" s="60" t="s">
        <v>128</v>
      </c>
      <c r="C156" s="60">
        <v>14</v>
      </c>
      <c r="D156" s="60">
        <v>15</v>
      </c>
      <c r="E156" s="60">
        <v>14</v>
      </c>
      <c r="F156" s="60">
        <v>15</v>
      </c>
      <c r="G156" s="60">
        <v>-6.67</v>
      </c>
      <c r="H156" s="60">
        <v>-6.67</v>
      </c>
      <c r="I156" s="60">
        <v>0.1</v>
      </c>
      <c r="J156" s="60">
        <v>0.1</v>
      </c>
      <c r="K156" s="60">
        <v>0.08</v>
      </c>
      <c r="L156" s="60">
        <v>0.08</v>
      </c>
    </row>
    <row r="157" spans="1:12">
      <c r="A157" s="60">
        <v>150</v>
      </c>
      <c r="B157" s="60" t="s">
        <v>641</v>
      </c>
      <c r="C157" s="60">
        <v>14</v>
      </c>
      <c r="D157" s="60">
        <v>14</v>
      </c>
      <c r="E157" s="60">
        <v>14</v>
      </c>
      <c r="F157" s="60">
        <v>14</v>
      </c>
      <c r="G157" s="60">
        <v>0</v>
      </c>
      <c r="H157" s="60">
        <v>0</v>
      </c>
      <c r="I157" s="60">
        <v>0.1</v>
      </c>
      <c r="J157" s="60">
        <v>0.1</v>
      </c>
      <c r="K157" s="60">
        <v>7.0000000000000007E-2</v>
      </c>
      <c r="L157" s="60">
        <v>7.0000000000000007E-2</v>
      </c>
    </row>
    <row r="158" spans="1:12">
      <c r="A158" s="60">
        <v>151</v>
      </c>
      <c r="B158" s="60" t="s">
        <v>133</v>
      </c>
      <c r="C158" s="60">
        <v>14</v>
      </c>
      <c r="D158" s="60">
        <v>10</v>
      </c>
      <c r="E158" s="60">
        <v>14</v>
      </c>
      <c r="F158" s="60">
        <v>10</v>
      </c>
      <c r="G158" s="60">
        <v>40</v>
      </c>
      <c r="H158" s="60">
        <v>40</v>
      </c>
      <c r="I158" s="60">
        <v>0.1</v>
      </c>
      <c r="J158" s="60">
        <v>0.1</v>
      </c>
      <c r="K158" s="60">
        <v>0.05</v>
      </c>
      <c r="L158" s="60">
        <v>0.05</v>
      </c>
    </row>
    <row r="159" spans="1:12">
      <c r="A159" s="60">
        <v>152</v>
      </c>
      <c r="B159" s="60" t="s">
        <v>645</v>
      </c>
      <c r="C159" s="60">
        <v>14</v>
      </c>
      <c r="D159" s="60">
        <v>8</v>
      </c>
      <c r="E159" s="60">
        <v>14</v>
      </c>
      <c r="F159" s="60">
        <v>8</v>
      </c>
      <c r="G159" s="60">
        <v>75</v>
      </c>
      <c r="H159" s="60">
        <v>75</v>
      </c>
      <c r="I159" s="60">
        <v>0.1</v>
      </c>
      <c r="J159" s="60">
        <v>0.1</v>
      </c>
      <c r="K159" s="60">
        <v>0.04</v>
      </c>
      <c r="L159" s="60">
        <v>0.04</v>
      </c>
    </row>
    <row r="160" spans="1:12">
      <c r="A160" s="60">
        <v>153</v>
      </c>
      <c r="B160" s="60" t="s">
        <v>1084</v>
      </c>
      <c r="C160" s="60">
        <v>14</v>
      </c>
      <c r="D160" s="60">
        <v>0</v>
      </c>
      <c r="E160" s="60">
        <v>14</v>
      </c>
      <c r="F160" s="60">
        <v>0</v>
      </c>
      <c r="G160" s="60">
        <v>0</v>
      </c>
      <c r="H160" s="60">
        <v>0</v>
      </c>
      <c r="I160" s="60">
        <v>0.1</v>
      </c>
      <c r="J160" s="60">
        <v>0.1</v>
      </c>
      <c r="K160" s="60">
        <v>0</v>
      </c>
      <c r="L160" s="60">
        <v>0</v>
      </c>
    </row>
    <row r="161" spans="1:12">
      <c r="A161" s="60">
        <v>154</v>
      </c>
      <c r="B161" s="60" t="s">
        <v>165</v>
      </c>
      <c r="C161" s="60">
        <v>13</v>
      </c>
      <c r="D161" s="60">
        <v>43</v>
      </c>
      <c r="E161" s="60">
        <v>13</v>
      </c>
      <c r="F161" s="60">
        <v>43</v>
      </c>
      <c r="G161" s="60">
        <v>-69.77</v>
      </c>
      <c r="H161" s="60">
        <v>-69.77</v>
      </c>
      <c r="I161" s="60">
        <v>0.09</v>
      </c>
      <c r="J161" s="60">
        <v>0.09</v>
      </c>
      <c r="K161" s="60">
        <v>0.22</v>
      </c>
      <c r="L161" s="60">
        <v>0.22</v>
      </c>
    </row>
    <row r="162" spans="1:12">
      <c r="A162" s="60">
        <v>155</v>
      </c>
      <c r="B162" s="60" t="s">
        <v>157</v>
      </c>
      <c r="C162" s="60">
        <v>13</v>
      </c>
      <c r="D162" s="60">
        <v>39</v>
      </c>
      <c r="E162" s="60">
        <v>13</v>
      </c>
      <c r="F162" s="60">
        <v>39</v>
      </c>
      <c r="G162" s="60">
        <v>-66.67</v>
      </c>
      <c r="H162" s="60">
        <v>-66.67</v>
      </c>
      <c r="I162" s="60">
        <v>0.09</v>
      </c>
      <c r="J162" s="60">
        <v>0.09</v>
      </c>
      <c r="K162" s="60">
        <v>0.2</v>
      </c>
      <c r="L162" s="60">
        <v>0.2</v>
      </c>
    </row>
    <row r="163" spans="1:12">
      <c r="A163" s="60">
        <v>156</v>
      </c>
      <c r="B163" s="60" t="s">
        <v>173</v>
      </c>
      <c r="C163" s="60">
        <v>12</v>
      </c>
      <c r="D163" s="60">
        <v>68</v>
      </c>
      <c r="E163" s="60">
        <v>12</v>
      </c>
      <c r="F163" s="60">
        <v>68</v>
      </c>
      <c r="G163" s="60">
        <v>-82.35</v>
      </c>
      <c r="H163" s="60">
        <v>-82.35</v>
      </c>
      <c r="I163" s="60">
        <v>0.08</v>
      </c>
      <c r="J163" s="60">
        <v>0.08</v>
      </c>
      <c r="K163" s="60">
        <v>0.34</v>
      </c>
      <c r="L163" s="60">
        <v>0.34</v>
      </c>
    </row>
    <row r="164" spans="1:12">
      <c r="A164" s="60">
        <v>157</v>
      </c>
      <c r="B164" s="60" t="s">
        <v>515</v>
      </c>
      <c r="C164" s="60">
        <v>12</v>
      </c>
      <c r="D164" s="60">
        <v>48</v>
      </c>
      <c r="E164" s="60">
        <v>12</v>
      </c>
      <c r="F164" s="60">
        <v>48</v>
      </c>
      <c r="G164" s="60">
        <v>-75</v>
      </c>
      <c r="H164" s="60">
        <v>-75</v>
      </c>
      <c r="I164" s="60">
        <v>0.08</v>
      </c>
      <c r="J164" s="60">
        <v>0.08</v>
      </c>
      <c r="K164" s="60">
        <v>0.24</v>
      </c>
      <c r="L164" s="60">
        <v>0.24</v>
      </c>
    </row>
    <row r="165" spans="1:12">
      <c r="A165" s="60">
        <v>158</v>
      </c>
      <c r="B165" s="60" t="s">
        <v>170</v>
      </c>
      <c r="C165" s="60">
        <v>12</v>
      </c>
      <c r="D165" s="60">
        <v>31</v>
      </c>
      <c r="E165" s="60">
        <v>12</v>
      </c>
      <c r="F165" s="60">
        <v>31</v>
      </c>
      <c r="G165" s="60">
        <v>-61.29</v>
      </c>
      <c r="H165" s="60">
        <v>-61.29</v>
      </c>
      <c r="I165" s="60">
        <v>0.08</v>
      </c>
      <c r="J165" s="60">
        <v>0.08</v>
      </c>
      <c r="K165" s="60">
        <v>0.16</v>
      </c>
      <c r="L165" s="60">
        <v>0.16</v>
      </c>
    </row>
    <row r="166" spans="1:12">
      <c r="A166" s="60">
        <v>159</v>
      </c>
      <c r="B166" s="60" t="s">
        <v>672</v>
      </c>
      <c r="C166" s="60">
        <v>12</v>
      </c>
      <c r="D166" s="60">
        <v>20</v>
      </c>
      <c r="E166" s="60">
        <v>12</v>
      </c>
      <c r="F166" s="60">
        <v>20</v>
      </c>
      <c r="G166" s="60">
        <v>-40</v>
      </c>
      <c r="H166" s="60">
        <v>-40</v>
      </c>
      <c r="I166" s="60">
        <v>0.08</v>
      </c>
      <c r="J166" s="60">
        <v>0.08</v>
      </c>
      <c r="K166" s="60">
        <v>0.1</v>
      </c>
      <c r="L166" s="60">
        <v>0.1</v>
      </c>
    </row>
    <row r="167" spans="1:12">
      <c r="A167" s="60">
        <v>160</v>
      </c>
      <c r="B167" s="60" t="s">
        <v>416</v>
      </c>
      <c r="C167" s="60">
        <v>12</v>
      </c>
      <c r="D167" s="60">
        <v>16</v>
      </c>
      <c r="E167" s="60">
        <v>12</v>
      </c>
      <c r="F167" s="60">
        <v>16</v>
      </c>
      <c r="G167" s="60">
        <v>-25</v>
      </c>
      <c r="H167" s="60">
        <v>-25</v>
      </c>
      <c r="I167" s="60">
        <v>0.08</v>
      </c>
      <c r="J167" s="60">
        <v>0.08</v>
      </c>
      <c r="K167" s="60">
        <v>0.08</v>
      </c>
      <c r="L167" s="60">
        <v>0.08</v>
      </c>
    </row>
    <row r="168" spans="1:12">
      <c r="A168" s="60">
        <v>161</v>
      </c>
      <c r="B168" s="60" t="s">
        <v>395</v>
      </c>
      <c r="C168" s="60">
        <v>12</v>
      </c>
      <c r="D168" s="60">
        <v>4</v>
      </c>
      <c r="E168" s="60">
        <v>12</v>
      </c>
      <c r="F168" s="60">
        <v>4</v>
      </c>
      <c r="G168" s="60">
        <v>200</v>
      </c>
      <c r="H168" s="60">
        <v>200</v>
      </c>
      <c r="I168" s="60">
        <v>0.08</v>
      </c>
      <c r="J168" s="60">
        <v>0.08</v>
      </c>
      <c r="K168" s="60">
        <v>0.02</v>
      </c>
      <c r="L168" s="60">
        <v>0.02</v>
      </c>
    </row>
    <row r="169" spans="1:12">
      <c r="A169" s="60">
        <v>162</v>
      </c>
      <c r="B169" s="60" t="s">
        <v>179</v>
      </c>
      <c r="C169" s="60">
        <v>12</v>
      </c>
      <c r="D169" s="60">
        <v>2</v>
      </c>
      <c r="E169" s="60">
        <v>12</v>
      </c>
      <c r="F169" s="60">
        <v>2</v>
      </c>
      <c r="G169" s="60">
        <v>500</v>
      </c>
      <c r="H169" s="60">
        <v>500</v>
      </c>
      <c r="I169" s="60">
        <v>0.08</v>
      </c>
      <c r="J169" s="60">
        <v>0.08</v>
      </c>
      <c r="K169" s="60">
        <v>0.01</v>
      </c>
      <c r="L169" s="60">
        <v>0.01</v>
      </c>
    </row>
    <row r="170" spans="1:12">
      <c r="A170" s="60">
        <v>163</v>
      </c>
      <c r="B170" s="60" t="s">
        <v>228</v>
      </c>
      <c r="C170" s="60">
        <v>12</v>
      </c>
      <c r="D170" s="60">
        <v>1</v>
      </c>
      <c r="E170" s="60">
        <v>12</v>
      </c>
      <c r="F170" s="60">
        <v>1</v>
      </c>
      <c r="G170" s="60">
        <v>1100</v>
      </c>
      <c r="H170" s="60">
        <v>1100</v>
      </c>
      <c r="I170" s="60">
        <v>0.08</v>
      </c>
      <c r="J170" s="60">
        <v>0.08</v>
      </c>
      <c r="K170" s="60">
        <v>0.01</v>
      </c>
      <c r="L170" s="60">
        <v>0.01</v>
      </c>
    </row>
    <row r="171" spans="1:12">
      <c r="A171" s="60">
        <v>164</v>
      </c>
      <c r="B171" s="60" t="s">
        <v>735</v>
      </c>
      <c r="C171" s="60">
        <v>12</v>
      </c>
      <c r="D171" s="60">
        <v>0</v>
      </c>
      <c r="E171" s="60">
        <v>12</v>
      </c>
      <c r="F171" s="60">
        <v>0</v>
      </c>
      <c r="G171" s="60">
        <v>0</v>
      </c>
      <c r="H171" s="60">
        <v>0</v>
      </c>
      <c r="I171" s="60">
        <v>0.08</v>
      </c>
      <c r="J171" s="60">
        <v>0.08</v>
      </c>
      <c r="K171" s="60">
        <v>0</v>
      </c>
      <c r="L171" s="60">
        <v>0</v>
      </c>
    </row>
    <row r="172" spans="1:12">
      <c r="A172" s="60">
        <v>165</v>
      </c>
      <c r="B172" s="60" t="s">
        <v>734</v>
      </c>
      <c r="C172" s="60">
        <v>12</v>
      </c>
      <c r="D172" s="60">
        <v>0</v>
      </c>
      <c r="E172" s="60">
        <v>12</v>
      </c>
      <c r="F172" s="60">
        <v>0</v>
      </c>
      <c r="G172" s="60">
        <v>0</v>
      </c>
      <c r="H172" s="60">
        <v>0</v>
      </c>
      <c r="I172" s="60">
        <v>0.08</v>
      </c>
      <c r="J172" s="60">
        <v>0.08</v>
      </c>
      <c r="K172" s="60">
        <v>0</v>
      </c>
      <c r="L172" s="60">
        <v>0</v>
      </c>
    </row>
    <row r="173" spans="1:12">
      <c r="A173" s="60">
        <v>166</v>
      </c>
      <c r="B173" s="60" t="s">
        <v>188</v>
      </c>
      <c r="C173" s="60">
        <v>11</v>
      </c>
      <c r="D173" s="60">
        <v>18</v>
      </c>
      <c r="E173" s="60">
        <v>11</v>
      </c>
      <c r="F173" s="60">
        <v>18</v>
      </c>
      <c r="G173" s="60">
        <v>-38.89</v>
      </c>
      <c r="H173" s="60">
        <v>-38.89</v>
      </c>
      <c r="I173" s="60">
        <v>0.08</v>
      </c>
      <c r="J173" s="60">
        <v>0.08</v>
      </c>
      <c r="K173" s="60">
        <v>0.09</v>
      </c>
      <c r="L173" s="60">
        <v>0.09</v>
      </c>
    </row>
    <row r="174" spans="1:12">
      <c r="A174" s="60">
        <v>167</v>
      </c>
      <c r="B174" s="60" t="s">
        <v>396</v>
      </c>
      <c r="C174" s="60">
        <v>11</v>
      </c>
      <c r="D174" s="60">
        <v>5</v>
      </c>
      <c r="E174" s="60">
        <v>11</v>
      </c>
      <c r="F174" s="60">
        <v>5</v>
      </c>
      <c r="G174" s="60">
        <v>120</v>
      </c>
      <c r="H174" s="60">
        <v>120</v>
      </c>
      <c r="I174" s="60">
        <v>0.08</v>
      </c>
      <c r="J174" s="60">
        <v>0.08</v>
      </c>
      <c r="K174" s="60">
        <v>0.03</v>
      </c>
      <c r="L174" s="60">
        <v>0.03</v>
      </c>
    </row>
    <row r="175" spans="1:12">
      <c r="A175" s="60">
        <v>168</v>
      </c>
      <c r="B175" s="60" t="s">
        <v>208</v>
      </c>
      <c r="C175" s="60">
        <v>11</v>
      </c>
      <c r="D175" s="60">
        <v>3</v>
      </c>
      <c r="E175" s="60">
        <v>11</v>
      </c>
      <c r="F175" s="60">
        <v>3</v>
      </c>
      <c r="G175" s="60">
        <v>266.67</v>
      </c>
      <c r="H175" s="60">
        <v>266.67</v>
      </c>
      <c r="I175" s="60">
        <v>0.08</v>
      </c>
      <c r="J175" s="60">
        <v>0.08</v>
      </c>
      <c r="K175" s="60">
        <v>0.02</v>
      </c>
      <c r="L175" s="60">
        <v>0.02</v>
      </c>
    </row>
    <row r="176" spans="1:12">
      <c r="A176" s="60">
        <v>169</v>
      </c>
      <c r="B176" s="60" t="s">
        <v>178</v>
      </c>
      <c r="C176" s="60">
        <v>11</v>
      </c>
      <c r="D176" s="60">
        <v>2</v>
      </c>
      <c r="E176" s="60">
        <v>11</v>
      </c>
      <c r="F176" s="60">
        <v>2</v>
      </c>
      <c r="G176" s="60">
        <v>450</v>
      </c>
      <c r="H176" s="60">
        <v>450</v>
      </c>
      <c r="I176" s="60">
        <v>0.08</v>
      </c>
      <c r="J176" s="60">
        <v>0.08</v>
      </c>
      <c r="K176" s="60">
        <v>0.01</v>
      </c>
      <c r="L176" s="60">
        <v>0.01</v>
      </c>
    </row>
    <row r="177" spans="1:12">
      <c r="A177" s="60">
        <v>170</v>
      </c>
      <c r="B177" s="60" t="s">
        <v>65</v>
      </c>
      <c r="C177" s="60">
        <v>10</v>
      </c>
      <c r="D177" s="60">
        <v>190</v>
      </c>
      <c r="E177" s="60">
        <v>10</v>
      </c>
      <c r="F177" s="60">
        <v>190</v>
      </c>
      <c r="G177" s="60">
        <v>-94.74</v>
      </c>
      <c r="H177" s="60">
        <v>-94.74</v>
      </c>
      <c r="I177" s="60">
        <v>7.0000000000000007E-2</v>
      </c>
      <c r="J177" s="60">
        <v>7.0000000000000007E-2</v>
      </c>
      <c r="K177" s="60">
        <v>0.96</v>
      </c>
      <c r="L177" s="60">
        <v>0.96</v>
      </c>
    </row>
    <row r="178" spans="1:12">
      <c r="A178" s="60">
        <v>171</v>
      </c>
      <c r="B178" s="60" t="s">
        <v>593</v>
      </c>
      <c r="C178" s="60">
        <v>10</v>
      </c>
      <c r="D178" s="60">
        <v>39</v>
      </c>
      <c r="E178" s="60">
        <v>10</v>
      </c>
      <c r="F178" s="60">
        <v>39</v>
      </c>
      <c r="G178" s="60">
        <v>-74.36</v>
      </c>
      <c r="H178" s="60">
        <v>-74.36</v>
      </c>
      <c r="I178" s="60">
        <v>7.0000000000000007E-2</v>
      </c>
      <c r="J178" s="60">
        <v>7.0000000000000007E-2</v>
      </c>
      <c r="K178" s="60">
        <v>0.2</v>
      </c>
      <c r="L178" s="60">
        <v>0.2</v>
      </c>
    </row>
    <row r="179" spans="1:12">
      <c r="A179" s="60">
        <v>172</v>
      </c>
      <c r="B179" s="60" t="s">
        <v>190</v>
      </c>
      <c r="C179" s="60">
        <v>10</v>
      </c>
      <c r="D179" s="60">
        <v>13</v>
      </c>
      <c r="E179" s="60">
        <v>10</v>
      </c>
      <c r="F179" s="60">
        <v>13</v>
      </c>
      <c r="G179" s="60">
        <v>-23.08</v>
      </c>
      <c r="H179" s="60">
        <v>-23.08</v>
      </c>
      <c r="I179" s="60">
        <v>7.0000000000000007E-2</v>
      </c>
      <c r="J179" s="60">
        <v>7.0000000000000007E-2</v>
      </c>
      <c r="K179" s="60">
        <v>7.0000000000000007E-2</v>
      </c>
      <c r="L179" s="60">
        <v>7.0000000000000007E-2</v>
      </c>
    </row>
    <row r="180" spans="1:12">
      <c r="A180" s="60">
        <v>173</v>
      </c>
      <c r="B180" s="60" t="s">
        <v>1082</v>
      </c>
      <c r="C180" s="60">
        <v>10</v>
      </c>
      <c r="D180" s="60">
        <v>0</v>
      </c>
      <c r="E180" s="60">
        <v>10</v>
      </c>
      <c r="F180" s="60">
        <v>0</v>
      </c>
      <c r="G180" s="60">
        <v>0</v>
      </c>
      <c r="H180" s="60">
        <v>0</v>
      </c>
      <c r="I180" s="60">
        <v>7.0000000000000007E-2</v>
      </c>
      <c r="J180" s="60">
        <v>7.0000000000000007E-2</v>
      </c>
      <c r="K180" s="60">
        <v>0</v>
      </c>
      <c r="L180" s="60">
        <v>0</v>
      </c>
    </row>
    <row r="181" spans="1:12">
      <c r="A181" s="60">
        <v>174</v>
      </c>
      <c r="B181" s="60" t="s">
        <v>1071</v>
      </c>
      <c r="C181" s="60">
        <v>10</v>
      </c>
      <c r="D181" s="60">
        <v>0</v>
      </c>
      <c r="E181" s="60">
        <v>10</v>
      </c>
      <c r="F181" s="60">
        <v>0</v>
      </c>
      <c r="G181" s="60">
        <v>0</v>
      </c>
      <c r="H181" s="60">
        <v>0</v>
      </c>
      <c r="I181" s="60">
        <v>7.0000000000000007E-2</v>
      </c>
      <c r="J181" s="60">
        <v>7.0000000000000007E-2</v>
      </c>
      <c r="K181" s="60">
        <v>0</v>
      </c>
      <c r="L181" s="60">
        <v>0</v>
      </c>
    </row>
    <row r="182" spans="1:12">
      <c r="A182" s="60">
        <v>175</v>
      </c>
      <c r="B182" s="60" t="s">
        <v>100</v>
      </c>
      <c r="C182" s="60">
        <v>9</v>
      </c>
      <c r="D182" s="60">
        <v>71</v>
      </c>
      <c r="E182" s="60">
        <v>9</v>
      </c>
      <c r="F182" s="60">
        <v>71</v>
      </c>
      <c r="G182" s="60">
        <v>-87.32</v>
      </c>
      <c r="H182" s="60">
        <v>-87.32</v>
      </c>
      <c r="I182" s="60">
        <v>0.06</v>
      </c>
      <c r="J182" s="60">
        <v>0.06</v>
      </c>
      <c r="K182" s="60">
        <v>0.36</v>
      </c>
      <c r="L182" s="60">
        <v>0.36</v>
      </c>
    </row>
    <row r="183" spans="1:12">
      <c r="A183" s="60">
        <v>176</v>
      </c>
      <c r="B183" s="60" t="s">
        <v>197</v>
      </c>
      <c r="C183" s="60">
        <v>9</v>
      </c>
      <c r="D183" s="60">
        <v>8</v>
      </c>
      <c r="E183" s="60">
        <v>9</v>
      </c>
      <c r="F183" s="60">
        <v>8</v>
      </c>
      <c r="G183" s="60">
        <v>12.5</v>
      </c>
      <c r="H183" s="60">
        <v>12.5</v>
      </c>
      <c r="I183" s="60">
        <v>0.06</v>
      </c>
      <c r="J183" s="60">
        <v>0.06</v>
      </c>
      <c r="K183" s="60">
        <v>0.04</v>
      </c>
      <c r="L183" s="60">
        <v>0.04</v>
      </c>
    </row>
    <row r="184" spans="1:12">
      <c r="A184" s="60">
        <v>177</v>
      </c>
      <c r="B184" s="60" t="s">
        <v>198</v>
      </c>
      <c r="C184" s="60">
        <v>9</v>
      </c>
      <c r="D184" s="60">
        <v>2</v>
      </c>
      <c r="E184" s="60">
        <v>9</v>
      </c>
      <c r="F184" s="60">
        <v>2</v>
      </c>
      <c r="G184" s="60">
        <v>350</v>
      </c>
      <c r="H184" s="60">
        <v>350</v>
      </c>
      <c r="I184" s="60">
        <v>0.06</v>
      </c>
      <c r="J184" s="60">
        <v>0.06</v>
      </c>
      <c r="K184" s="60">
        <v>0.01</v>
      </c>
      <c r="L184" s="60">
        <v>0.01</v>
      </c>
    </row>
    <row r="185" spans="1:12">
      <c r="A185" s="60">
        <v>178</v>
      </c>
      <c r="B185" s="60" t="s">
        <v>1069</v>
      </c>
      <c r="C185" s="60">
        <v>9</v>
      </c>
      <c r="D185" s="60">
        <v>0</v>
      </c>
      <c r="E185" s="60">
        <v>9</v>
      </c>
      <c r="F185" s="60">
        <v>0</v>
      </c>
      <c r="G185" s="60">
        <v>0</v>
      </c>
      <c r="H185" s="60">
        <v>0</v>
      </c>
      <c r="I185" s="60">
        <v>0.06</v>
      </c>
      <c r="J185" s="60">
        <v>0.06</v>
      </c>
      <c r="K185" s="60">
        <v>0</v>
      </c>
      <c r="L185" s="60">
        <v>0</v>
      </c>
    </row>
    <row r="186" spans="1:12">
      <c r="A186" s="60">
        <v>179</v>
      </c>
      <c r="B186" s="60" t="s">
        <v>394</v>
      </c>
      <c r="C186" s="60">
        <v>8</v>
      </c>
      <c r="D186" s="60">
        <v>50</v>
      </c>
      <c r="E186" s="60">
        <v>8</v>
      </c>
      <c r="F186" s="60">
        <v>50</v>
      </c>
      <c r="G186" s="60">
        <v>-84</v>
      </c>
      <c r="H186" s="60">
        <v>-84</v>
      </c>
      <c r="I186" s="60">
        <v>0.05</v>
      </c>
      <c r="J186" s="60">
        <v>0.05</v>
      </c>
      <c r="K186" s="60">
        <v>0.25</v>
      </c>
      <c r="L186" s="60">
        <v>0.25</v>
      </c>
    </row>
    <row r="187" spans="1:12">
      <c r="A187" s="60">
        <v>180</v>
      </c>
      <c r="B187" s="60" t="s">
        <v>109</v>
      </c>
      <c r="C187" s="60">
        <v>8</v>
      </c>
      <c r="D187" s="60">
        <v>32</v>
      </c>
      <c r="E187" s="60">
        <v>8</v>
      </c>
      <c r="F187" s="60">
        <v>32</v>
      </c>
      <c r="G187" s="60">
        <v>-75</v>
      </c>
      <c r="H187" s="60">
        <v>-75</v>
      </c>
      <c r="I187" s="60">
        <v>0.05</v>
      </c>
      <c r="J187" s="60">
        <v>0.05</v>
      </c>
      <c r="K187" s="60">
        <v>0.16</v>
      </c>
      <c r="L187" s="60">
        <v>0.16</v>
      </c>
    </row>
    <row r="188" spans="1:12">
      <c r="A188" s="60">
        <v>181</v>
      </c>
      <c r="B188" s="60" t="s">
        <v>420</v>
      </c>
      <c r="C188" s="60">
        <v>8</v>
      </c>
      <c r="D188" s="60">
        <v>19</v>
      </c>
      <c r="E188" s="60">
        <v>8</v>
      </c>
      <c r="F188" s="60">
        <v>19</v>
      </c>
      <c r="G188" s="60">
        <v>-57.89</v>
      </c>
      <c r="H188" s="60">
        <v>-57.89</v>
      </c>
      <c r="I188" s="60">
        <v>0.05</v>
      </c>
      <c r="J188" s="60">
        <v>0.05</v>
      </c>
      <c r="K188" s="60">
        <v>0.1</v>
      </c>
      <c r="L188" s="60">
        <v>0.1</v>
      </c>
    </row>
    <row r="189" spans="1:12">
      <c r="A189" s="60">
        <v>182</v>
      </c>
      <c r="B189" s="60" t="s">
        <v>210</v>
      </c>
      <c r="C189" s="60">
        <v>8</v>
      </c>
      <c r="D189" s="60">
        <v>15</v>
      </c>
      <c r="E189" s="60">
        <v>8</v>
      </c>
      <c r="F189" s="60">
        <v>15</v>
      </c>
      <c r="G189" s="60">
        <v>-46.67</v>
      </c>
      <c r="H189" s="60">
        <v>-46.67</v>
      </c>
      <c r="I189" s="60">
        <v>0.05</v>
      </c>
      <c r="J189" s="60">
        <v>0.05</v>
      </c>
      <c r="K189" s="60">
        <v>0.08</v>
      </c>
      <c r="L189" s="60">
        <v>0.08</v>
      </c>
    </row>
    <row r="190" spans="1:12">
      <c r="A190" s="60">
        <v>183</v>
      </c>
      <c r="B190" s="60" t="s">
        <v>172</v>
      </c>
      <c r="C190" s="60">
        <v>8</v>
      </c>
      <c r="D190" s="60">
        <v>7</v>
      </c>
      <c r="E190" s="60">
        <v>8</v>
      </c>
      <c r="F190" s="60">
        <v>7</v>
      </c>
      <c r="G190" s="60">
        <v>14.29</v>
      </c>
      <c r="H190" s="60">
        <v>14.29</v>
      </c>
      <c r="I190" s="60">
        <v>0.05</v>
      </c>
      <c r="J190" s="60">
        <v>0.05</v>
      </c>
      <c r="K190" s="60">
        <v>0.04</v>
      </c>
      <c r="L190" s="60">
        <v>0.04</v>
      </c>
    </row>
    <row r="191" spans="1:12">
      <c r="A191" s="60">
        <v>184</v>
      </c>
      <c r="B191" s="60" t="s">
        <v>126</v>
      </c>
      <c r="C191" s="60">
        <v>8</v>
      </c>
      <c r="D191" s="60">
        <v>4</v>
      </c>
      <c r="E191" s="60">
        <v>8</v>
      </c>
      <c r="F191" s="60">
        <v>4</v>
      </c>
      <c r="G191" s="60">
        <v>100</v>
      </c>
      <c r="H191" s="60">
        <v>100</v>
      </c>
      <c r="I191" s="60">
        <v>0.05</v>
      </c>
      <c r="J191" s="60">
        <v>0.05</v>
      </c>
      <c r="K191" s="60">
        <v>0.02</v>
      </c>
      <c r="L191" s="60">
        <v>0.02</v>
      </c>
    </row>
    <row r="192" spans="1:12">
      <c r="A192" s="60">
        <v>185</v>
      </c>
      <c r="B192" s="60" t="s">
        <v>191</v>
      </c>
      <c r="C192" s="60">
        <v>8</v>
      </c>
      <c r="D192" s="60">
        <v>4</v>
      </c>
      <c r="E192" s="60">
        <v>8</v>
      </c>
      <c r="F192" s="60">
        <v>4</v>
      </c>
      <c r="G192" s="60">
        <v>100</v>
      </c>
      <c r="H192" s="60">
        <v>100</v>
      </c>
      <c r="I192" s="60">
        <v>0.05</v>
      </c>
      <c r="J192" s="60">
        <v>0.05</v>
      </c>
      <c r="K192" s="60">
        <v>0.02</v>
      </c>
      <c r="L192" s="60">
        <v>0.02</v>
      </c>
    </row>
    <row r="193" spans="1:12">
      <c r="A193" s="60">
        <v>186</v>
      </c>
      <c r="B193" s="60" t="s">
        <v>207</v>
      </c>
      <c r="C193" s="60">
        <v>8</v>
      </c>
      <c r="D193" s="60">
        <v>4</v>
      </c>
      <c r="E193" s="60">
        <v>8</v>
      </c>
      <c r="F193" s="60">
        <v>4</v>
      </c>
      <c r="G193" s="60">
        <v>100</v>
      </c>
      <c r="H193" s="60">
        <v>100</v>
      </c>
      <c r="I193" s="60">
        <v>0.05</v>
      </c>
      <c r="J193" s="60">
        <v>0.05</v>
      </c>
      <c r="K193" s="60">
        <v>0.02</v>
      </c>
      <c r="L193" s="60">
        <v>0.02</v>
      </c>
    </row>
    <row r="194" spans="1:12">
      <c r="A194" s="60">
        <v>187</v>
      </c>
      <c r="B194" s="60" t="s">
        <v>1110</v>
      </c>
      <c r="C194" s="60">
        <v>8</v>
      </c>
      <c r="D194" s="60">
        <v>0</v>
      </c>
      <c r="E194" s="60">
        <v>8</v>
      </c>
      <c r="F194" s="60">
        <v>0</v>
      </c>
      <c r="G194" s="60">
        <v>0</v>
      </c>
      <c r="H194" s="60">
        <v>0</v>
      </c>
      <c r="I194" s="60">
        <v>0.05</v>
      </c>
      <c r="J194" s="60">
        <v>0.05</v>
      </c>
      <c r="K194" s="60">
        <v>0</v>
      </c>
      <c r="L194" s="60">
        <v>0</v>
      </c>
    </row>
    <row r="195" spans="1:12">
      <c r="A195" s="60">
        <v>188</v>
      </c>
      <c r="B195" s="60" t="s">
        <v>621</v>
      </c>
      <c r="C195" s="60">
        <v>7</v>
      </c>
      <c r="D195" s="60">
        <v>321</v>
      </c>
      <c r="E195" s="60">
        <v>7</v>
      </c>
      <c r="F195" s="60">
        <v>321</v>
      </c>
      <c r="G195" s="60">
        <v>-97.82</v>
      </c>
      <c r="H195" s="60">
        <v>-97.82</v>
      </c>
      <c r="I195" s="60">
        <v>0.05</v>
      </c>
      <c r="J195" s="60">
        <v>0.05</v>
      </c>
      <c r="K195" s="60">
        <v>1.61</v>
      </c>
      <c r="L195" s="60">
        <v>1.61</v>
      </c>
    </row>
    <row r="196" spans="1:12">
      <c r="A196" s="60">
        <v>189</v>
      </c>
      <c r="B196" s="60" t="s">
        <v>107</v>
      </c>
      <c r="C196" s="60">
        <v>7</v>
      </c>
      <c r="D196" s="60">
        <v>22</v>
      </c>
      <c r="E196" s="60">
        <v>7</v>
      </c>
      <c r="F196" s="60">
        <v>22</v>
      </c>
      <c r="G196" s="60">
        <v>-68.180000000000007</v>
      </c>
      <c r="H196" s="60">
        <v>-68.180000000000007</v>
      </c>
      <c r="I196" s="60">
        <v>0.05</v>
      </c>
      <c r="J196" s="60">
        <v>0.05</v>
      </c>
      <c r="K196" s="60">
        <v>0.11</v>
      </c>
      <c r="L196" s="60">
        <v>0.11</v>
      </c>
    </row>
    <row r="197" spans="1:12">
      <c r="A197" s="60">
        <v>190</v>
      </c>
      <c r="B197" s="60" t="s">
        <v>187</v>
      </c>
      <c r="C197" s="60">
        <v>7</v>
      </c>
      <c r="D197" s="60">
        <v>22</v>
      </c>
      <c r="E197" s="60">
        <v>7</v>
      </c>
      <c r="F197" s="60">
        <v>22</v>
      </c>
      <c r="G197" s="60">
        <v>-68.180000000000007</v>
      </c>
      <c r="H197" s="60">
        <v>-68.180000000000007</v>
      </c>
      <c r="I197" s="60">
        <v>0.05</v>
      </c>
      <c r="J197" s="60">
        <v>0.05</v>
      </c>
      <c r="K197" s="60">
        <v>0.11</v>
      </c>
      <c r="L197" s="60">
        <v>0.11</v>
      </c>
    </row>
    <row r="198" spans="1:12">
      <c r="A198" s="60">
        <v>191</v>
      </c>
      <c r="B198" s="60" t="s">
        <v>151</v>
      </c>
      <c r="C198" s="60">
        <v>7</v>
      </c>
      <c r="D198" s="60">
        <v>12</v>
      </c>
      <c r="E198" s="60">
        <v>7</v>
      </c>
      <c r="F198" s="60">
        <v>12</v>
      </c>
      <c r="G198" s="60">
        <v>-41.67</v>
      </c>
      <c r="H198" s="60">
        <v>-41.67</v>
      </c>
      <c r="I198" s="60">
        <v>0.05</v>
      </c>
      <c r="J198" s="60">
        <v>0.05</v>
      </c>
      <c r="K198" s="60">
        <v>0.06</v>
      </c>
      <c r="L198" s="60">
        <v>0.06</v>
      </c>
    </row>
    <row r="199" spans="1:12">
      <c r="A199" s="60">
        <v>192</v>
      </c>
      <c r="B199" s="60" t="s">
        <v>1081</v>
      </c>
      <c r="C199" s="60">
        <v>7</v>
      </c>
      <c r="D199" s="60">
        <v>0</v>
      </c>
      <c r="E199" s="60">
        <v>7</v>
      </c>
      <c r="F199" s="60">
        <v>0</v>
      </c>
      <c r="G199" s="60">
        <v>0</v>
      </c>
      <c r="H199" s="60">
        <v>0</v>
      </c>
      <c r="I199" s="60">
        <v>0.05</v>
      </c>
      <c r="J199" s="60">
        <v>0.05</v>
      </c>
      <c r="K199" s="60">
        <v>0</v>
      </c>
      <c r="L199" s="60">
        <v>0</v>
      </c>
    </row>
    <row r="200" spans="1:12">
      <c r="A200" s="60">
        <v>193</v>
      </c>
      <c r="B200" s="60" t="s">
        <v>703</v>
      </c>
      <c r="C200" s="60">
        <v>7</v>
      </c>
      <c r="D200" s="60">
        <v>0</v>
      </c>
      <c r="E200" s="60">
        <v>7</v>
      </c>
      <c r="F200" s="60">
        <v>0</v>
      </c>
      <c r="G200" s="60">
        <v>0</v>
      </c>
      <c r="H200" s="60">
        <v>0</v>
      </c>
      <c r="I200" s="60">
        <v>0.05</v>
      </c>
      <c r="J200" s="60">
        <v>0.05</v>
      </c>
      <c r="K200" s="60">
        <v>0</v>
      </c>
      <c r="L200" s="60">
        <v>0</v>
      </c>
    </row>
    <row r="201" spans="1:12">
      <c r="A201" s="60">
        <v>194</v>
      </c>
      <c r="B201" s="60" t="s">
        <v>158</v>
      </c>
      <c r="C201" s="60">
        <v>6</v>
      </c>
      <c r="D201" s="60">
        <v>10</v>
      </c>
      <c r="E201" s="60">
        <v>6</v>
      </c>
      <c r="F201" s="60">
        <v>10</v>
      </c>
      <c r="G201" s="60">
        <v>-40</v>
      </c>
      <c r="H201" s="60">
        <v>-40</v>
      </c>
      <c r="I201" s="60">
        <v>0.04</v>
      </c>
      <c r="J201" s="60">
        <v>0.04</v>
      </c>
      <c r="K201" s="60">
        <v>0.05</v>
      </c>
      <c r="L201" s="60">
        <v>0.05</v>
      </c>
    </row>
    <row r="202" spans="1:12">
      <c r="A202" s="60">
        <v>195</v>
      </c>
      <c r="B202" s="60" t="s">
        <v>592</v>
      </c>
      <c r="C202" s="60">
        <v>6</v>
      </c>
      <c r="D202" s="60">
        <v>8</v>
      </c>
      <c r="E202" s="60">
        <v>6</v>
      </c>
      <c r="F202" s="60">
        <v>8</v>
      </c>
      <c r="G202" s="60">
        <v>-25</v>
      </c>
      <c r="H202" s="60">
        <v>-25</v>
      </c>
      <c r="I202" s="60">
        <v>0.04</v>
      </c>
      <c r="J202" s="60">
        <v>0.04</v>
      </c>
      <c r="K202" s="60">
        <v>0.04</v>
      </c>
      <c r="L202" s="60">
        <v>0.04</v>
      </c>
    </row>
    <row r="203" spans="1:12">
      <c r="A203" s="60">
        <v>196</v>
      </c>
      <c r="B203" s="60" t="s">
        <v>221</v>
      </c>
      <c r="C203" s="60">
        <v>6</v>
      </c>
      <c r="D203" s="60">
        <v>5</v>
      </c>
      <c r="E203" s="60">
        <v>6</v>
      </c>
      <c r="F203" s="60">
        <v>5</v>
      </c>
      <c r="G203" s="60">
        <v>20</v>
      </c>
      <c r="H203" s="60">
        <v>20</v>
      </c>
      <c r="I203" s="60">
        <v>0.04</v>
      </c>
      <c r="J203" s="60">
        <v>0.04</v>
      </c>
      <c r="K203" s="60">
        <v>0.03</v>
      </c>
      <c r="L203" s="60">
        <v>0.03</v>
      </c>
    </row>
    <row r="204" spans="1:12">
      <c r="A204" s="60">
        <v>197</v>
      </c>
      <c r="B204" s="60" t="s">
        <v>455</v>
      </c>
      <c r="C204" s="60">
        <v>6</v>
      </c>
      <c r="D204" s="60">
        <v>4</v>
      </c>
      <c r="E204" s="60">
        <v>6</v>
      </c>
      <c r="F204" s="60">
        <v>4</v>
      </c>
      <c r="G204" s="60">
        <v>50</v>
      </c>
      <c r="H204" s="60">
        <v>50</v>
      </c>
      <c r="I204" s="60">
        <v>0.04</v>
      </c>
      <c r="J204" s="60">
        <v>0.04</v>
      </c>
      <c r="K204" s="60">
        <v>0.02</v>
      </c>
      <c r="L204" s="60">
        <v>0.02</v>
      </c>
    </row>
    <row r="205" spans="1:12">
      <c r="A205" s="60">
        <v>198</v>
      </c>
      <c r="B205" s="60" t="s">
        <v>209</v>
      </c>
      <c r="C205" s="60">
        <v>6</v>
      </c>
      <c r="D205" s="60">
        <v>1</v>
      </c>
      <c r="E205" s="60">
        <v>6</v>
      </c>
      <c r="F205" s="60">
        <v>1</v>
      </c>
      <c r="G205" s="60">
        <v>500</v>
      </c>
      <c r="H205" s="60">
        <v>500</v>
      </c>
      <c r="I205" s="60">
        <v>0.04</v>
      </c>
      <c r="J205" s="60">
        <v>0.04</v>
      </c>
      <c r="K205" s="60">
        <v>0.01</v>
      </c>
      <c r="L205" s="60">
        <v>0.01</v>
      </c>
    </row>
    <row r="206" spans="1:12">
      <c r="A206" s="60">
        <v>199</v>
      </c>
      <c r="B206" s="60" t="s">
        <v>741</v>
      </c>
      <c r="C206" s="60">
        <v>6</v>
      </c>
      <c r="D206" s="60">
        <v>0</v>
      </c>
      <c r="E206" s="60">
        <v>6</v>
      </c>
      <c r="F206" s="60">
        <v>0</v>
      </c>
      <c r="G206" s="60">
        <v>0</v>
      </c>
      <c r="H206" s="60">
        <v>0</v>
      </c>
      <c r="I206" s="60">
        <v>0.04</v>
      </c>
      <c r="J206" s="60">
        <v>0.04</v>
      </c>
      <c r="K206" s="60">
        <v>0</v>
      </c>
      <c r="L206" s="60">
        <v>0</v>
      </c>
    </row>
    <row r="207" spans="1:12">
      <c r="A207" s="60">
        <v>200</v>
      </c>
      <c r="B207" s="60" t="s">
        <v>673</v>
      </c>
      <c r="C207" s="60">
        <v>5</v>
      </c>
      <c r="D207" s="60">
        <v>2</v>
      </c>
      <c r="E207" s="60">
        <v>5</v>
      </c>
      <c r="F207" s="60">
        <v>2</v>
      </c>
      <c r="G207" s="60">
        <v>150</v>
      </c>
      <c r="H207" s="60">
        <v>150</v>
      </c>
      <c r="I207" s="60">
        <v>0.03</v>
      </c>
      <c r="J207" s="60">
        <v>0.03</v>
      </c>
      <c r="K207" s="60">
        <v>0.01</v>
      </c>
      <c r="L207" s="60">
        <v>0.01</v>
      </c>
    </row>
    <row r="208" spans="1:12">
      <c r="A208" s="60">
        <v>201</v>
      </c>
      <c r="B208" s="60" t="s">
        <v>742</v>
      </c>
      <c r="C208" s="60">
        <v>5</v>
      </c>
      <c r="D208" s="60">
        <v>0</v>
      </c>
      <c r="E208" s="60">
        <v>5</v>
      </c>
      <c r="F208" s="60">
        <v>0</v>
      </c>
      <c r="G208" s="60">
        <v>0</v>
      </c>
      <c r="H208" s="60">
        <v>0</v>
      </c>
      <c r="I208" s="60">
        <v>0.03</v>
      </c>
      <c r="J208" s="60">
        <v>0.03</v>
      </c>
      <c r="K208" s="60">
        <v>0</v>
      </c>
      <c r="L208" s="60">
        <v>0</v>
      </c>
    </row>
    <row r="209" spans="1:12">
      <c r="A209" s="60">
        <v>202</v>
      </c>
      <c r="B209" s="60" t="s">
        <v>227</v>
      </c>
      <c r="C209" s="60">
        <v>4</v>
      </c>
      <c r="D209" s="60">
        <v>30</v>
      </c>
      <c r="E209" s="60">
        <v>4</v>
      </c>
      <c r="F209" s="60">
        <v>30</v>
      </c>
      <c r="G209" s="60">
        <v>-86.67</v>
      </c>
      <c r="H209" s="60">
        <v>-86.67</v>
      </c>
      <c r="I209" s="60">
        <v>0.03</v>
      </c>
      <c r="J209" s="60">
        <v>0.03</v>
      </c>
      <c r="K209" s="60">
        <v>0.15</v>
      </c>
      <c r="L209" s="60">
        <v>0.15</v>
      </c>
    </row>
    <row r="210" spans="1:12">
      <c r="A210" s="60">
        <v>203</v>
      </c>
      <c r="B210" s="60" t="s">
        <v>216</v>
      </c>
      <c r="C210" s="60">
        <v>4</v>
      </c>
      <c r="D210" s="60">
        <v>10</v>
      </c>
      <c r="E210" s="60">
        <v>4</v>
      </c>
      <c r="F210" s="60">
        <v>10</v>
      </c>
      <c r="G210" s="60">
        <v>-60</v>
      </c>
      <c r="H210" s="60">
        <v>-60</v>
      </c>
      <c r="I210" s="60">
        <v>0.03</v>
      </c>
      <c r="J210" s="60">
        <v>0.03</v>
      </c>
      <c r="K210" s="60">
        <v>0.05</v>
      </c>
      <c r="L210" s="60">
        <v>0.05</v>
      </c>
    </row>
    <row r="211" spans="1:12">
      <c r="A211" s="60">
        <v>204</v>
      </c>
      <c r="B211" s="60" t="s">
        <v>643</v>
      </c>
      <c r="C211" s="60">
        <v>4</v>
      </c>
      <c r="D211" s="60">
        <v>10</v>
      </c>
      <c r="E211" s="60">
        <v>4</v>
      </c>
      <c r="F211" s="60">
        <v>10</v>
      </c>
      <c r="G211" s="60">
        <v>-60</v>
      </c>
      <c r="H211" s="60">
        <v>-60</v>
      </c>
      <c r="I211" s="60">
        <v>0.03</v>
      </c>
      <c r="J211" s="60">
        <v>0.03</v>
      </c>
      <c r="K211" s="60">
        <v>0.05</v>
      </c>
      <c r="L211" s="60">
        <v>0.05</v>
      </c>
    </row>
    <row r="212" spans="1:12">
      <c r="A212" s="60">
        <v>205</v>
      </c>
      <c r="B212" s="60" t="s">
        <v>125</v>
      </c>
      <c r="C212" s="60">
        <v>4</v>
      </c>
      <c r="D212" s="60">
        <v>9</v>
      </c>
      <c r="E212" s="60">
        <v>4</v>
      </c>
      <c r="F212" s="60">
        <v>9</v>
      </c>
      <c r="G212" s="60">
        <v>-55.56</v>
      </c>
      <c r="H212" s="60">
        <v>-55.56</v>
      </c>
      <c r="I212" s="60">
        <v>0.03</v>
      </c>
      <c r="J212" s="60">
        <v>0.03</v>
      </c>
      <c r="K212" s="60">
        <v>0.05</v>
      </c>
      <c r="L212" s="60">
        <v>0.05</v>
      </c>
    </row>
    <row r="213" spans="1:12">
      <c r="A213" s="60">
        <v>206</v>
      </c>
      <c r="B213" s="60" t="s">
        <v>222</v>
      </c>
      <c r="C213" s="60">
        <v>4</v>
      </c>
      <c r="D213" s="60">
        <v>3</v>
      </c>
      <c r="E213" s="60">
        <v>4</v>
      </c>
      <c r="F213" s="60">
        <v>3</v>
      </c>
      <c r="G213" s="60">
        <v>33.33</v>
      </c>
      <c r="H213" s="60">
        <v>33.33</v>
      </c>
      <c r="I213" s="60">
        <v>0.03</v>
      </c>
      <c r="J213" s="60">
        <v>0.03</v>
      </c>
      <c r="K213" s="60">
        <v>0.02</v>
      </c>
      <c r="L213" s="60">
        <v>0.02</v>
      </c>
    </row>
    <row r="214" spans="1:12">
      <c r="A214" s="60">
        <v>207</v>
      </c>
      <c r="B214" s="60" t="s">
        <v>226</v>
      </c>
      <c r="C214" s="60">
        <v>4</v>
      </c>
      <c r="D214" s="60">
        <v>2</v>
      </c>
      <c r="E214" s="60">
        <v>4</v>
      </c>
      <c r="F214" s="60">
        <v>2</v>
      </c>
      <c r="G214" s="60">
        <v>100</v>
      </c>
      <c r="H214" s="60">
        <v>100</v>
      </c>
      <c r="I214" s="60">
        <v>0.03</v>
      </c>
      <c r="J214" s="60">
        <v>0.03</v>
      </c>
      <c r="K214" s="60">
        <v>0.01</v>
      </c>
      <c r="L214" s="60">
        <v>0.01</v>
      </c>
    </row>
    <row r="215" spans="1:12">
      <c r="A215" s="60">
        <v>208</v>
      </c>
      <c r="B215" s="60" t="s">
        <v>223</v>
      </c>
      <c r="C215" s="60">
        <v>4</v>
      </c>
      <c r="D215" s="60">
        <v>2</v>
      </c>
      <c r="E215" s="60">
        <v>4</v>
      </c>
      <c r="F215" s="60">
        <v>2</v>
      </c>
      <c r="G215" s="60">
        <v>100</v>
      </c>
      <c r="H215" s="60">
        <v>100</v>
      </c>
      <c r="I215" s="60">
        <v>0.03</v>
      </c>
      <c r="J215" s="60">
        <v>0.03</v>
      </c>
      <c r="K215" s="60">
        <v>0.01</v>
      </c>
      <c r="L215" s="60">
        <v>0.01</v>
      </c>
    </row>
    <row r="216" spans="1:12">
      <c r="A216" s="60">
        <v>209</v>
      </c>
      <c r="B216" s="60" t="s">
        <v>185</v>
      </c>
      <c r="C216" s="60">
        <v>4</v>
      </c>
      <c r="D216" s="60">
        <v>2</v>
      </c>
      <c r="E216" s="60">
        <v>4</v>
      </c>
      <c r="F216" s="60">
        <v>2</v>
      </c>
      <c r="G216" s="60">
        <v>100</v>
      </c>
      <c r="H216" s="60">
        <v>100</v>
      </c>
      <c r="I216" s="60">
        <v>0.03</v>
      </c>
      <c r="J216" s="60">
        <v>0.03</v>
      </c>
      <c r="K216" s="60">
        <v>0.01</v>
      </c>
      <c r="L216" s="60">
        <v>0.01</v>
      </c>
    </row>
    <row r="217" spans="1:12">
      <c r="A217" s="60">
        <v>210</v>
      </c>
      <c r="B217" s="60" t="s">
        <v>724</v>
      </c>
      <c r="C217" s="60">
        <v>4</v>
      </c>
      <c r="D217" s="60">
        <v>0</v>
      </c>
      <c r="E217" s="60">
        <v>4</v>
      </c>
      <c r="F217" s="60">
        <v>0</v>
      </c>
      <c r="G217" s="60">
        <v>0</v>
      </c>
      <c r="H217" s="60">
        <v>0</v>
      </c>
      <c r="I217" s="60">
        <v>0.03</v>
      </c>
      <c r="J217" s="60">
        <v>0.03</v>
      </c>
      <c r="K217" s="60">
        <v>0</v>
      </c>
      <c r="L217" s="60">
        <v>0</v>
      </c>
    </row>
    <row r="218" spans="1:12">
      <c r="A218" s="60">
        <v>211</v>
      </c>
      <c r="B218" s="60" t="s">
        <v>183</v>
      </c>
      <c r="C218" s="60">
        <v>4</v>
      </c>
      <c r="D218" s="60">
        <v>0</v>
      </c>
      <c r="E218" s="60">
        <v>4</v>
      </c>
      <c r="F218" s="60">
        <v>0</v>
      </c>
      <c r="G218" s="60">
        <v>0</v>
      </c>
      <c r="H218" s="60">
        <v>0</v>
      </c>
      <c r="I218" s="60">
        <v>0.03</v>
      </c>
      <c r="J218" s="60">
        <v>0.03</v>
      </c>
      <c r="K218" s="60">
        <v>0</v>
      </c>
      <c r="L218" s="60">
        <v>0</v>
      </c>
    </row>
    <row r="219" spans="1:12">
      <c r="A219" s="60">
        <v>212</v>
      </c>
      <c r="B219" s="60" t="s">
        <v>186</v>
      </c>
      <c r="C219" s="60">
        <v>4</v>
      </c>
      <c r="D219" s="60">
        <v>0</v>
      </c>
      <c r="E219" s="60">
        <v>4</v>
      </c>
      <c r="F219" s="60">
        <v>0</v>
      </c>
      <c r="G219" s="60">
        <v>0</v>
      </c>
      <c r="H219" s="60">
        <v>0</v>
      </c>
      <c r="I219" s="60">
        <v>0.03</v>
      </c>
      <c r="J219" s="60">
        <v>0.03</v>
      </c>
      <c r="K219" s="60">
        <v>0</v>
      </c>
      <c r="L219" s="60">
        <v>0</v>
      </c>
    </row>
    <row r="220" spans="1:12">
      <c r="A220" s="60">
        <v>213</v>
      </c>
      <c r="B220" s="60" t="s">
        <v>202</v>
      </c>
      <c r="C220" s="60">
        <v>3</v>
      </c>
      <c r="D220" s="60">
        <v>33</v>
      </c>
      <c r="E220" s="60">
        <v>3</v>
      </c>
      <c r="F220" s="60">
        <v>33</v>
      </c>
      <c r="G220" s="60">
        <v>-90.91</v>
      </c>
      <c r="H220" s="60">
        <v>-90.91</v>
      </c>
      <c r="I220" s="60">
        <v>0.02</v>
      </c>
      <c r="J220" s="60">
        <v>0.02</v>
      </c>
      <c r="K220" s="60">
        <v>0.17</v>
      </c>
      <c r="L220" s="60">
        <v>0.17</v>
      </c>
    </row>
    <row r="221" spans="1:12">
      <c r="A221" s="60">
        <v>214</v>
      </c>
      <c r="B221" s="60" t="s">
        <v>141</v>
      </c>
      <c r="C221" s="60">
        <v>3</v>
      </c>
      <c r="D221" s="60">
        <v>13</v>
      </c>
      <c r="E221" s="60">
        <v>3</v>
      </c>
      <c r="F221" s="60">
        <v>13</v>
      </c>
      <c r="G221" s="60">
        <v>-76.92</v>
      </c>
      <c r="H221" s="60">
        <v>-76.92</v>
      </c>
      <c r="I221" s="60">
        <v>0.02</v>
      </c>
      <c r="J221" s="60">
        <v>0.02</v>
      </c>
      <c r="K221" s="60">
        <v>7.0000000000000007E-2</v>
      </c>
      <c r="L221" s="60">
        <v>7.0000000000000007E-2</v>
      </c>
    </row>
    <row r="222" spans="1:12">
      <c r="A222" s="60">
        <v>215</v>
      </c>
      <c r="B222" s="60" t="s">
        <v>234</v>
      </c>
      <c r="C222" s="60">
        <v>3</v>
      </c>
      <c r="D222" s="60">
        <v>4</v>
      </c>
      <c r="E222" s="60">
        <v>3</v>
      </c>
      <c r="F222" s="60">
        <v>4</v>
      </c>
      <c r="G222" s="60">
        <v>-25</v>
      </c>
      <c r="H222" s="60">
        <v>-25</v>
      </c>
      <c r="I222" s="60">
        <v>0.02</v>
      </c>
      <c r="J222" s="60">
        <v>0.02</v>
      </c>
      <c r="K222" s="60">
        <v>0.02</v>
      </c>
      <c r="L222" s="60">
        <v>0.02</v>
      </c>
    </row>
    <row r="223" spans="1:12">
      <c r="A223" s="60">
        <v>216</v>
      </c>
      <c r="B223" s="60" t="s">
        <v>215</v>
      </c>
      <c r="C223" s="60">
        <v>3</v>
      </c>
      <c r="D223" s="60">
        <v>3</v>
      </c>
      <c r="E223" s="60">
        <v>3</v>
      </c>
      <c r="F223" s="60">
        <v>3</v>
      </c>
      <c r="G223" s="60">
        <v>0</v>
      </c>
      <c r="H223" s="60">
        <v>0</v>
      </c>
      <c r="I223" s="60">
        <v>0.02</v>
      </c>
      <c r="J223" s="60">
        <v>0.02</v>
      </c>
      <c r="K223" s="60">
        <v>0.02</v>
      </c>
      <c r="L223" s="60">
        <v>0.02</v>
      </c>
    </row>
    <row r="224" spans="1:12">
      <c r="A224" s="60">
        <v>217</v>
      </c>
      <c r="B224" s="60" t="s">
        <v>1024</v>
      </c>
      <c r="C224" s="60">
        <v>3</v>
      </c>
      <c r="D224" s="60">
        <v>0</v>
      </c>
      <c r="E224" s="60">
        <v>3</v>
      </c>
      <c r="F224" s="60">
        <v>0</v>
      </c>
      <c r="G224" s="60">
        <v>0</v>
      </c>
      <c r="H224" s="60">
        <v>0</v>
      </c>
      <c r="I224" s="60">
        <v>0.02</v>
      </c>
      <c r="J224" s="60">
        <v>0.02</v>
      </c>
      <c r="K224" s="60">
        <v>0</v>
      </c>
      <c r="L224" s="60">
        <v>0</v>
      </c>
    </row>
    <row r="225" spans="1:12">
      <c r="A225" s="60">
        <v>218</v>
      </c>
      <c r="B225" s="60" t="s">
        <v>1057</v>
      </c>
      <c r="C225" s="60">
        <v>3</v>
      </c>
      <c r="D225" s="60">
        <v>0</v>
      </c>
      <c r="E225" s="60">
        <v>3</v>
      </c>
      <c r="F225" s="60">
        <v>0</v>
      </c>
      <c r="G225" s="60">
        <v>0</v>
      </c>
      <c r="H225" s="60">
        <v>0</v>
      </c>
      <c r="I225" s="60">
        <v>0.02</v>
      </c>
      <c r="J225" s="60">
        <v>0.02</v>
      </c>
      <c r="K225" s="60">
        <v>0</v>
      </c>
      <c r="L225" s="60">
        <v>0</v>
      </c>
    </row>
    <row r="226" spans="1:12">
      <c r="A226" s="60">
        <v>219</v>
      </c>
      <c r="B226" s="60" t="s">
        <v>1111</v>
      </c>
      <c r="C226" s="60">
        <v>3</v>
      </c>
      <c r="D226" s="60">
        <v>0</v>
      </c>
      <c r="E226" s="60">
        <v>3</v>
      </c>
      <c r="F226" s="60">
        <v>0</v>
      </c>
      <c r="G226" s="60">
        <v>0</v>
      </c>
      <c r="H226" s="60">
        <v>0</v>
      </c>
      <c r="I226" s="60">
        <v>0.02</v>
      </c>
      <c r="J226" s="60">
        <v>0.02</v>
      </c>
      <c r="K226" s="60">
        <v>0</v>
      </c>
      <c r="L226" s="60">
        <v>0</v>
      </c>
    </row>
    <row r="227" spans="1:12">
      <c r="A227" s="60">
        <v>220</v>
      </c>
      <c r="B227" s="60" t="s">
        <v>415</v>
      </c>
      <c r="C227" s="60">
        <v>2</v>
      </c>
      <c r="D227" s="60">
        <v>17</v>
      </c>
      <c r="E227" s="60">
        <v>2</v>
      </c>
      <c r="F227" s="60">
        <v>17</v>
      </c>
      <c r="G227" s="60">
        <v>-88.24</v>
      </c>
      <c r="H227" s="60">
        <v>-88.24</v>
      </c>
      <c r="I227" s="60">
        <v>0.01</v>
      </c>
      <c r="J227" s="60">
        <v>0.01</v>
      </c>
      <c r="K227" s="60">
        <v>0.09</v>
      </c>
      <c r="L227" s="60">
        <v>0.09</v>
      </c>
    </row>
    <row r="228" spans="1:12">
      <c r="A228" s="60">
        <v>221</v>
      </c>
      <c r="B228" s="60" t="s">
        <v>154</v>
      </c>
      <c r="C228" s="60">
        <v>2</v>
      </c>
      <c r="D228" s="60">
        <v>5</v>
      </c>
      <c r="E228" s="60">
        <v>2</v>
      </c>
      <c r="F228" s="60">
        <v>5</v>
      </c>
      <c r="G228" s="60">
        <v>-60</v>
      </c>
      <c r="H228" s="60">
        <v>-60</v>
      </c>
      <c r="I228" s="60">
        <v>0.01</v>
      </c>
      <c r="J228" s="60">
        <v>0.01</v>
      </c>
      <c r="K228" s="60">
        <v>0.03</v>
      </c>
      <c r="L228" s="60">
        <v>0.03</v>
      </c>
    </row>
    <row r="229" spans="1:12">
      <c r="A229" s="60">
        <v>222</v>
      </c>
      <c r="B229" s="60" t="s">
        <v>194</v>
      </c>
      <c r="C229" s="60">
        <v>2</v>
      </c>
      <c r="D229" s="60">
        <v>5</v>
      </c>
      <c r="E229" s="60">
        <v>2</v>
      </c>
      <c r="F229" s="60">
        <v>5</v>
      </c>
      <c r="G229" s="60">
        <v>-60</v>
      </c>
      <c r="H229" s="60">
        <v>-60</v>
      </c>
      <c r="I229" s="60">
        <v>0.01</v>
      </c>
      <c r="J229" s="60">
        <v>0.01</v>
      </c>
      <c r="K229" s="60">
        <v>0.03</v>
      </c>
      <c r="L229" s="60">
        <v>0.03</v>
      </c>
    </row>
    <row r="230" spans="1:12">
      <c r="A230" s="60">
        <v>223</v>
      </c>
      <c r="B230" s="60" t="s">
        <v>193</v>
      </c>
      <c r="C230" s="60">
        <v>2</v>
      </c>
      <c r="D230" s="60">
        <v>3</v>
      </c>
      <c r="E230" s="60">
        <v>2</v>
      </c>
      <c r="F230" s="60">
        <v>3</v>
      </c>
      <c r="G230" s="60">
        <v>-33.33</v>
      </c>
      <c r="H230" s="60">
        <v>-33.33</v>
      </c>
      <c r="I230" s="60">
        <v>0.01</v>
      </c>
      <c r="J230" s="60">
        <v>0.01</v>
      </c>
      <c r="K230" s="60">
        <v>0.02</v>
      </c>
      <c r="L230" s="60">
        <v>0.02</v>
      </c>
    </row>
    <row r="231" spans="1:12">
      <c r="A231" s="60">
        <v>224</v>
      </c>
      <c r="B231" s="60" t="s">
        <v>518</v>
      </c>
      <c r="C231" s="60">
        <v>2</v>
      </c>
      <c r="D231" s="60">
        <v>2</v>
      </c>
      <c r="E231" s="60">
        <v>2</v>
      </c>
      <c r="F231" s="60">
        <v>2</v>
      </c>
      <c r="G231" s="60">
        <v>0</v>
      </c>
      <c r="H231" s="60">
        <v>0</v>
      </c>
      <c r="I231" s="60">
        <v>0.01</v>
      </c>
      <c r="J231" s="60">
        <v>0.01</v>
      </c>
      <c r="K231" s="60">
        <v>0.01</v>
      </c>
      <c r="L231" s="60">
        <v>0.01</v>
      </c>
    </row>
    <row r="232" spans="1:12">
      <c r="A232" s="60">
        <v>225</v>
      </c>
      <c r="B232" s="60" t="s">
        <v>196</v>
      </c>
      <c r="C232" s="60">
        <v>2</v>
      </c>
      <c r="D232" s="60">
        <v>1</v>
      </c>
      <c r="E232" s="60">
        <v>2</v>
      </c>
      <c r="F232" s="60">
        <v>1</v>
      </c>
      <c r="G232" s="60">
        <v>100</v>
      </c>
      <c r="H232" s="60">
        <v>100</v>
      </c>
      <c r="I232" s="60">
        <v>0.01</v>
      </c>
      <c r="J232" s="60">
        <v>0.01</v>
      </c>
      <c r="K232" s="60">
        <v>0.01</v>
      </c>
      <c r="L232" s="60">
        <v>0.01</v>
      </c>
    </row>
    <row r="233" spans="1:12">
      <c r="A233" s="60">
        <v>226</v>
      </c>
      <c r="B233" s="60" t="s">
        <v>212</v>
      </c>
      <c r="C233" s="60">
        <v>2</v>
      </c>
      <c r="D233" s="60">
        <v>1</v>
      </c>
      <c r="E233" s="60">
        <v>2</v>
      </c>
      <c r="F233" s="60">
        <v>1</v>
      </c>
      <c r="G233" s="60">
        <v>100</v>
      </c>
      <c r="H233" s="60">
        <v>100</v>
      </c>
      <c r="I233" s="60">
        <v>0.01</v>
      </c>
      <c r="J233" s="60">
        <v>0.01</v>
      </c>
      <c r="K233" s="60">
        <v>0.01</v>
      </c>
      <c r="L233" s="60">
        <v>0.01</v>
      </c>
    </row>
    <row r="234" spans="1:12">
      <c r="A234" s="60">
        <v>227</v>
      </c>
      <c r="B234" s="60" t="s">
        <v>224</v>
      </c>
      <c r="C234" s="60">
        <v>2</v>
      </c>
      <c r="D234" s="60">
        <v>1</v>
      </c>
      <c r="E234" s="60">
        <v>2</v>
      </c>
      <c r="F234" s="60">
        <v>1</v>
      </c>
      <c r="G234" s="60">
        <v>100</v>
      </c>
      <c r="H234" s="60">
        <v>100</v>
      </c>
      <c r="I234" s="60">
        <v>0.01</v>
      </c>
      <c r="J234" s="60">
        <v>0.01</v>
      </c>
      <c r="K234" s="60">
        <v>0.01</v>
      </c>
      <c r="L234" s="60">
        <v>0.01</v>
      </c>
    </row>
    <row r="235" spans="1:12">
      <c r="A235" s="60">
        <v>228</v>
      </c>
      <c r="B235" s="60" t="s">
        <v>746</v>
      </c>
      <c r="C235" s="60">
        <v>2</v>
      </c>
      <c r="D235" s="60">
        <v>0</v>
      </c>
      <c r="E235" s="60">
        <v>2</v>
      </c>
      <c r="F235" s="60">
        <v>0</v>
      </c>
      <c r="G235" s="60">
        <v>0</v>
      </c>
      <c r="H235" s="60">
        <v>0</v>
      </c>
      <c r="I235" s="60">
        <v>0.01</v>
      </c>
      <c r="J235" s="60">
        <v>0.01</v>
      </c>
      <c r="K235" s="60">
        <v>0</v>
      </c>
      <c r="L235" s="60">
        <v>0</v>
      </c>
    </row>
    <row r="236" spans="1:12">
      <c r="A236" s="60">
        <v>229</v>
      </c>
      <c r="B236" s="60" t="s">
        <v>195</v>
      </c>
      <c r="C236" s="60">
        <v>2</v>
      </c>
      <c r="D236" s="60">
        <v>0</v>
      </c>
      <c r="E236" s="60">
        <v>2</v>
      </c>
      <c r="F236" s="60">
        <v>0</v>
      </c>
      <c r="G236" s="60">
        <v>0</v>
      </c>
      <c r="H236" s="60">
        <v>0</v>
      </c>
      <c r="I236" s="60">
        <v>0.01</v>
      </c>
      <c r="J236" s="60">
        <v>0.01</v>
      </c>
      <c r="K236" s="60">
        <v>0</v>
      </c>
      <c r="L236" s="60">
        <v>0</v>
      </c>
    </row>
    <row r="237" spans="1:12">
      <c r="A237" s="60">
        <v>230</v>
      </c>
      <c r="B237" s="60" t="s">
        <v>218</v>
      </c>
      <c r="C237" s="60">
        <v>2</v>
      </c>
      <c r="D237" s="60">
        <v>0</v>
      </c>
      <c r="E237" s="60">
        <v>2</v>
      </c>
      <c r="F237" s="60">
        <v>0</v>
      </c>
      <c r="G237" s="60">
        <v>0</v>
      </c>
      <c r="H237" s="60">
        <v>0</v>
      </c>
      <c r="I237" s="60">
        <v>0.01</v>
      </c>
      <c r="J237" s="60">
        <v>0.01</v>
      </c>
      <c r="K237" s="60">
        <v>0</v>
      </c>
      <c r="L237" s="60">
        <v>0</v>
      </c>
    </row>
    <row r="238" spans="1:12">
      <c r="A238" s="60">
        <v>231</v>
      </c>
      <c r="B238" s="60" t="s">
        <v>705</v>
      </c>
      <c r="C238" s="60">
        <v>2</v>
      </c>
      <c r="D238" s="60">
        <v>0</v>
      </c>
      <c r="E238" s="60">
        <v>2</v>
      </c>
      <c r="F238" s="60">
        <v>0</v>
      </c>
      <c r="G238" s="60">
        <v>0</v>
      </c>
      <c r="H238" s="60">
        <v>0</v>
      </c>
      <c r="I238" s="60">
        <v>0.01</v>
      </c>
      <c r="J238" s="60">
        <v>0.01</v>
      </c>
      <c r="K238" s="60">
        <v>0</v>
      </c>
      <c r="L238" s="60">
        <v>0</v>
      </c>
    </row>
    <row r="239" spans="1:12">
      <c r="A239" s="60">
        <v>232</v>
      </c>
      <c r="B239" s="60" t="s">
        <v>213</v>
      </c>
      <c r="C239" s="60">
        <v>2</v>
      </c>
      <c r="D239" s="60">
        <v>0</v>
      </c>
      <c r="E239" s="60">
        <v>2</v>
      </c>
      <c r="F239" s="60">
        <v>0</v>
      </c>
      <c r="G239" s="60">
        <v>0</v>
      </c>
      <c r="H239" s="60">
        <v>0</v>
      </c>
      <c r="I239" s="60">
        <v>0.01</v>
      </c>
      <c r="J239" s="60">
        <v>0.01</v>
      </c>
      <c r="K239" s="60">
        <v>0</v>
      </c>
      <c r="L239" s="60">
        <v>0</v>
      </c>
    </row>
    <row r="240" spans="1:12">
      <c r="A240" s="60">
        <v>233</v>
      </c>
      <c r="B240" s="60" t="s">
        <v>407</v>
      </c>
      <c r="C240" s="60">
        <v>2</v>
      </c>
      <c r="D240" s="60">
        <v>0</v>
      </c>
      <c r="E240" s="60">
        <v>2</v>
      </c>
      <c r="F240" s="60">
        <v>0</v>
      </c>
      <c r="G240" s="60">
        <v>0</v>
      </c>
      <c r="H240" s="60">
        <v>0</v>
      </c>
      <c r="I240" s="60">
        <v>0.01</v>
      </c>
      <c r="J240" s="60">
        <v>0.01</v>
      </c>
      <c r="K240" s="60">
        <v>0</v>
      </c>
      <c r="L240" s="60">
        <v>0</v>
      </c>
    </row>
    <row r="241" spans="1:12">
      <c r="A241" s="60">
        <v>234</v>
      </c>
      <c r="B241" s="60" t="s">
        <v>114</v>
      </c>
      <c r="C241" s="60">
        <v>1</v>
      </c>
      <c r="D241" s="60">
        <v>219</v>
      </c>
      <c r="E241" s="60">
        <v>1</v>
      </c>
      <c r="F241" s="60">
        <v>219</v>
      </c>
      <c r="G241" s="60">
        <v>-99.54</v>
      </c>
      <c r="H241" s="60">
        <v>-99.54</v>
      </c>
      <c r="I241" s="60">
        <v>0.01</v>
      </c>
      <c r="J241" s="60">
        <v>0.01</v>
      </c>
      <c r="K241" s="60">
        <v>1.1000000000000001</v>
      </c>
      <c r="L241" s="60">
        <v>1.1000000000000001</v>
      </c>
    </row>
    <row r="242" spans="1:12">
      <c r="A242" s="60">
        <v>235</v>
      </c>
      <c r="B242" s="60" t="s">
        <v>204</v>
      </c>
      <c r="C242" s="60">
        <v>1</v>
      </c>
      <c r="D242" s="60">
        <v>34</v>
      </c>
      <c r="E242" s="60">
        <v>1</v>
      </c>
      <c r="F242" s="60">
        <v>34</v>
      </c>
      <c r="G242" s="60">
        <v>-97.06</v>
      </c>
      <c r="H242" s="60">
        <v>-97.06</v>
      </c>
      <c r="I242" s="60">
        <v>0.01</v>
      </c>
      <c r="J242" s="60">
        <v>0.01</v>
      </c>
      <c r="K242" s="60">
        <v>0.17</v>
      </c>
      <c r="L242" s="60">
        <v>0.17</v>
      </c>
    </row>
    <row r="243" spans="1:12">
      <c r="A243" s="60">
        <v>236</v>
      </c>
      <c r="B243" s="60" t="s">
        <v>156</v>
      </c>
      <c r="C243" s="60">
        <v>1</v>
      </c>
      <c r="D243" s="60">
        <v>24</v>
      </c>
      <c r="E243" s="60">
        <v>1</v>
      </c>
      <c r="F243" s="60">
        <v>24</v>
      </c>
      <c r="G243" s="60">
        <v>-95.83</v>
      </c>
      <c r="H243" s="60">
        <v>-95.83</v>
      </c>
      <c r="I243" s="60">
        <v>0.01</v>
      </c>
      <c r="J243" s="60">
        <v>0.01</v>
      </c>
      <c r="K243" s="60">
        <v>0.12</v>
      </c>
      <c r="L243" s="60">
        <v>0.12</v>
      </c>
    </row>
    <row r="244" spans="1:12">
      <c r="A244" s="60">
        <v>237</v>
      </c>
      <c r="B244" s="60" t="s">
        <v>150</v>
      </c>
      <c r="C244" s="60">
        <v>1</v>
      </c>
      <c r="D244" s="60">
        <v>14</v>
      </c>
      <c r="E244" s="60">
        <v>1</v>
      </c>
      <c r="F244" s="60">
        <v>14</v>
      </c>
      <c r="G244" s="60">
        <v>-92.86</v>
      </c>
      <c r="H244" s="60">
        <v>-92.86</v>
      </c>
      <c r="I244" s="60">
        <v>0.01</v>
      </c>
      <c r="J244" s="60">
        <v>0.01</v>
      </c>
      <c r="K244" s="60">
        <v>7.0000000000000007E-2</v>
      </c>
      <c r="L244" s="60">
        <v>7.0000000000000007E-2</v>
      </c>
    </row>
    <row r="245" spans="1:12">
      <c r="A245" s="60">
        <v>238</v>
      </c>
      <c r="B245" s="60" t="s">
        <v>139</v>
      </c>
      <c r="C245" s="60">
        <v>1</v>
      </c>
      <c r="D245" s="60">
        <v>13</v>
      </c>
      <c r="E245" s="60">
        <v>1</v>
      </c>
      <c r="F245" s="60">
        <v>13</v>
      </c>
      <c r="G245" s="60">
        <v>-92.31</v>
      </c>
      <c r="H245" s="60">
        <v>-92.31</v>
      </c>
      <c r="I245" s="60">
        <v>0.01</v>
      </c>
      <c r="J245" s="60">
        <v>0.01</v>
      </c>
      <c r="K245" s="60">
        <v>7.0000000000000007E-2</v>
      </c>
      <c r="L245" s="60">
        <v>7.0000000000000007E-2</v>
      </c>
    </row>
    <row r="246" spans="1:12">
      <c r="A246" s="60">
        <v>239</v>
      </c>
      <c r="B246" s="60" t="s">
        <v>231</v>
      </c>
      <c r="C246" s="60">
        <v>1</v>
      </c>
      <c r="D246" s="60">
        <v>4</v>
      </c>
      <c r="E246" s="60">
        <v>1</v>
      </c>
      <c r="F246" s="60">
        <v>4</v>
      </c>
      <c r="G246" s="60">
        <v>-75</v>
      </c>
      <c r="H246" s="60">
        <v>-75</v>
      </c>
      <c r="I246" s="60">
        <v>0.01</v>
      </c>
      <c r="J246" s="60">
        <v>0.01</v>
      </c>
      <c r="K246" s="60">
        <v>0.02</v>
      </c>
      <c r="L246" s="60">
        <v>0.02</v>
      </c>
    </row>
    <row r="247" spans="1:12">
      <c r="A247" s="60">
        <v>240</v>
      </c>
      <c r="B247" s="60" t="s">
        <v>214</v>
      </c>
      <c r="C247" s="60">
        <v>1</v>
      </c>
      <c r="D247" s="60">
        <v>3</v>
      </c>
      <c r="E247" s="60">
        <v>1</v>
      </c>
      <c r="F247" s="60">
        <v>3</v>
      </c>
      <c r="G247" s="60">
        <v>-66.67</v>
      </c>
      <c r="H247" s="60">
        <v>-66.67</v>
      </c>
      <c r="I247" s="60">
        <v>0.01</v>
      </c>
      <c r="J247" s="60">
        <v>0.01</v>
      </c>
      <c r="K247" s="60">
        <v>0.02</v>
      </c>
      <c r="L247" s="60">
        <v>0.02</v>
      </c>
    </row>
    <row r="248" spans="1:12">
      <c r="A248" s="60">
        <v>241</v>
      </c>
      <c r="B248" s="60" t="s">
        <v>232</v>
      </c>
      <c r="C248" s="60">
        <v>1</v>
      </c>
      <c r="D248" s="60">
        <v>3</v>
      </c>
      <c r="E248" s="60">
        <v>1</v>
      </c>
      <c r="F248" s="60">
        <v>3</v>
      </c>
      <c r="G248" s="60">
        <v>-66.67</v>
      </c>
      <c r="H248" s="60">
        <v>-66.67</v>
      </c>
      <c r="I248" s="60">
        <v>0.01</v>
      </c>
      <c r="J248" s="60">
        <v>0.01</v>
      </c>
      <c r="K248" s="60">
        <v>0.02</v>
      </c>
      <c r="L248" s="60">
        <v>0.02</v>
      </c>
    </row>
    <row r="249" spans="1:12">
      <c r="A249" s="60">
        <v>242</v>
      </c>
      <c r="B249" s="60" t="s">
        <v>517</v>
      </c>
      <c r="C249" s="60">
        <v>1</v>
      </c>
      <c r="D249" s="60">
        <v>2</v>
      </c>
      <c r="E249" s="60">
        <v>1</v>
      </c>
      <c r="F249" s="60">
        <v>2</v>
      </c>
      <c r="G249" s="60">
        <v>-50</v>
      </c>
      <c r="H249" s="60">
        <v>-50</v>
      </c>
      <c r="I249" s="60">
        <v>0.01</v>
      </c>
      <c r="J249" s="60">
        <v>0.01</v>
      </c>
      <c r="K249" s="60">
        <v>0.01</v>
      </c>
      <c r="L249" s="60">
        <v>0.01</v>
      </c>
    </row>
    <row r="250" spans="1:12">
      <c r="A250" s="60">
        <v>243</v>
      </c>
      <c r="B250" s="60" t="s">
        <v>388</v>
      </c>
      <c r="C250" s="60">
        <v>1</v>
      </c>
      <c r="D250" s="60">
        <v>2</v>
      </c>
      <c r="E250" s="60">
        <v>1</v>
      </c>
      <c r="F250" s="60">
        <v>2</v>
      </c>
      <c r="G250" s="60">
        <v>-50</v>
      </c>
      <c r="H250" s="60">
        <v>-50</v>
      </c>
      <c r="I250" s="60">
        <v>0.01</v>
      </c>
      <c r="J250" s="60">
        <v>0.01</v>
      </c>
      <c r="K250" s="60">
        <v>0.01</v>
      </c>
      <c r="L250" s="60">
        <v>0.01</v>
      </c>
    </row>
    <row r="251" spans="1:12">
      <c r="A251" s="60">
        <v>244</v>
      </c>
      <c r="B251" s="60" t="s">
        <v>176</v>
      </c>
      <c r="C251" s="60">
        <v>1</v>
      </c>
      <c r="D251" s="60">
        <v>2</v>
      </c>
      <c r="E251" s="60">
        <v>1</v>
      </c>
      <c r="F251" s="60">
        <v>2</v>
      </c>
      <c r="G251" s="60">
        <v>-50</v>
      </c>
      <c r="H251" s="60">
        <v>-50</v>
      </c>
      <c r="I251" s="60">
        <v>0.01</v>
      </c>
      <c r="J251" s="60">
        <v>0.01</v>
      </c>
      <c r="K251" s="60">
        <v>0.01</v>
      </c>
      <c r="L251" s="60">
        <v>0.01</v>
      </c>
    </row>
    <row r="252" spans="1:12">
      <c r="A252" s="60">
        <v>245</v>
      </c>
      <c r="B252" s="60" t="s">
        <v>521</v>
      </c>
      <c r="C252" s="60">
        <v>1</v>
      </c>
      <c r="D252" s="60">
        <v>2</v>
      </c>
      <c r="E252" s="60">
        <v>1</v>
      </c>
      <c r="F252" s="60">
        <v>2</v>
      </c>
      <c r="G252" s="60">
        <v>-50</v>
      </c>
      <c r="H252" s="60">
        <v>-50</v>
      </c>
      <c r="I252" s="60">
        <v>0.01</v>
      </c>
      <c r="J252" s="60">
        <v>0.01</v>
      </c>
      <c r="K252" s="60">
        <v>0.01</v>
      </c>
      <c r="L252" s="60">
        <v>0.01</v>
      </c>
    </row>
    <row r="253" spans="1:12">
      <c r="A253" s="60">
        <v>246</v>
      </c>
      <c r="B253" s="60" t="s">
        <v>465</v>
      </c>
      <c r="C253" s="60">
        <v>1</v>
      </c>
      <c r="D253" s="60">
        <v>1</v>
      </c>
      <c r="E253" s="60">
        <v>1</v>
      </c>
      <c r="F253" s="60">
        <v>1</v>
      </c>
      <c r="G253" s="60">
        <v>0</v>
      </c>
      <c r="H253" s="60">
        <v>0</v>
      </c>
      <c r="I253" s="60">
        <v>0.01</v>
      </c>
      <c r="J253" s="60">
        <v>0.01</v>
      </c>
      <c r="K253" s="60">
        <v>0.01</v>
      </c>
      <c r="L253" s="60">
        <v>0.01</v>
      </c>
    </row>
    <row r="254" spans="1:12">
      <c r="A254" s="60">
        <v>247</v>
      </c>
      <c r="B254" s="60" t="s">
        <v>230</v>
      </c>
      <c r="C254" s="60">
        <v>1</v>
      </c>
      <c r="D254" s="60">
        <v>1</v>
      </c>
      <c r="E254" s="60">
        <v>1</v>
      </c>
      <c r="F254" s="60">
        <v>1</v>
      </c>
      <c r="G254" s="60">
        <v>0</v>
      </c>
      <c r="H254" s="60">
        <v>0</v>
      </c>
      <c r="I254" s="60">
        <v>0.01</v>
      </c>
      <c r="J254" s="60">
        <v>0.01</v>
      </c>
      <c r="K254" s="60">
        <v>0.01</v>
      </c>
      <c r="L254" s="60">
        <v>0.01</v>
      </c>
    </row>
    <row r="255" spans="1:12">
      <c r="A255" s="60">
        <v>248</v>
      </c>
      <c r="B255" s="60" t="s">
        <v>701</v>
      </c>
      <c r="C255" s="60">
        <v>1</v>
      </c>
      <c r="D255" s="60">
        <v>0</v>
      </c>
      <c r="E255" s="60">
        <v>1</v>
      </c>
      <c r="F255" s="60">
        <v>0</v>
      </c>
      <c r="G255" s="60">
        <v>0</v>
      </c>
      <c r="H255" s="60">
        <v>0</v>
      </c>
      <c r="I255" s="60">
        <v>0.01</v>
      </c>
      <c r="J255" s="60">
        <v>0.01</v>
      </c>
      <c r="K255" s="60">
        <v>0</v>
      </c>
      <c r="L255" s="60">
        <v>0</v>
      </c>
    </row>
    <row r="256" spans="1:12">
      <c r="A256" s="60">
        <v>249</v>
      </c>
      <c r="B256" s="60" t="s">
        <v>1112</v>
      </c>
      <c r="C256" s="60">
        <v>1</v>
      </c>
      <c r="D256" s="60">
        <v>0</v>
      </c>
      <c r="E256" s="60">
        <v>1</v>
      </c>
      <c r="F256" s="60">
        <v>0</v>
      </c>
      <c r="G256" s="60">
        <v>0</v>
      </c>
      <c r="H256" s="60">
        <v>0</v>
      </c>
      <c r="I256" s="60">
        <v>0.01</v>
      </c>
      <c r="J256" s="60">
        <v>0.01</v>
      </c>
      <c r="K256" s="60">
        <v>0</v>
      </c>
      <c r="L256" s="60">
        <v>0</v>
      </c>
    </row>
    <row r="257" spans="1:12">
      <c r="A257" s="60">
        <v>250</v>
      </c>
      <c r="B257" s="60" t="s">
        <v>725</v>
      </c>
      <c r="C257" s="60">
        <v>1</v>
      </c>
      <c r="D257" s="60">
        <v>0</v>
      </c>
      <c r="E257" s="60">
        <v>1</v>
      </c>
      <c r="F257" s="60">
        <v>0</v>
      </c>
      <c r="G257" s="60">
        <v>0</v>
      </c>
      <c r="H257" s="60">
        <v>0</v>
      </c>
      <c r="I257" s="60">
        <v>0.01</v>
      </c>
      <c r="J257" s="60">
        <v>0.01</v>
      </c>
      <c r="K257" s="60">
        <v>0</v>
      </c>
      <c r="L257" s="60">
        <v>0</v>
      </c>
    </row>
    <row r="258" spans="1:12">
      <c r="A258" s="60">
        <v>251</v>
      </c>
      <c r="B258" s="60" t="s">
        <v>707</v>
      </c>
      <c r="C258" s="60">
        <v>1</v>
      </c>
      <c r="D258" s="60">
        <v>0</v>
      </c>
      <c r="E258" s="60">
        <v>1</v>
      </c>
      <c r="F258" s="60">
        <v>0</v>
      </c>
      <c r="G258" s="60">
        <v>0</v>
      </c>
      <c r="H258" s="60">
        <v>0</v>
      </c>
      <c r="I258" s="60">
        <v>0.01</v>
      </c>
      <c r="J258" s="60">
        <v>0.01</v>
      </c>
      <c r="K258" s="60">
        <v>0</v>
      </c>
      <c r="L258" s="60">
        <v>0</v>
      </c>
    </row>
    <row r="259" spans="1:12">
      <c r="A259" s="60">
        <v>252</v>
      </c>
      <c r="B259" s="60" t="s">
        <v>390</v>
      </c>
      <c r="C259" s="60">
        <v>1</v>
      </c>
      <c r="D259" s="60">
        <v>0</v>
      </c>
      <c r="E259" s="60">
        <v>1</v>
      </c>
      <c r="F259" s="60">
        <v>0</v>
      </c>
      <c r="G259" s="60">
        <v>0</v>
      </c>
      <c r="H259" s="60">
        <v>0</v>
      </c>
      <c r="I259" s="60">
        <v>0.01</v>
      </c>
      <c r="J259" s="60">
        <v>0.01</v>
      </c>
      <c r="K259" s="60">
        <v>0</v>
      </c>
      <c r="L259" s="60">
        <v>0</v>
      </c>
    </row>
    <row r="260" spans="1:12">
      <c r="A260" s="60">
        <v>253</v>
      </c>
      <c r="B260" s="60" t="s">
        <v>1113</v>
      </c>
      <c r="C260" s="60">
        <v>1</v>
      </c>
      <c r="D260" s="60">
        <v>0</v>
      </c>
      <c r="E260" s="60">
        <v>1</v>
      </c>
      <c r="F260" s="60">
        <v>0</v>
      </c>
      <c r="G260" s="60">
        <v>0</v>
      </c>
      <c r="H260" s="60">
        <v>0</v>
      </c>
      <c r="I260" s="60">
        <v>0.01</v>
      </c>
      <c r="J260" s="60">
        <v>0.01</v>
      </c>
      <c r="K260" s="60">
        <v>0</v>
      </c>
      <c r="L260" s="60">
        <v>0</v>
      </c>
    </row>
    <row r="261" spans="1:12">
      <c r="A261" s="60">
        <v>254</v>
      </c>
      <c r="B261" s="60" t="s">
        <v>704</v>
      </c>
      <c r="C261" s="60">
        <v>1</v>
      </c>
      <c r="D261" s="60">
        <v>0</v>
      </c>
      <c r="E261" s="60">
        <v>1</v>
      </c>
      <c r="F261" s="60">
        <v>0</v>
      </c>
      <c r="G261" s="60">
        <v>0</v>
      </c>
      <c r="H261" s="60">
        <v>0</v>
      </c>
      <c r="I261" s="60">
        <v>0.01</v>
      </c>
      <c r="J261" s="60">
        <v>0.01</v>
      </c>
      <c r="K261" s="60">
        <v>0</v>
      </c>
      <c r="L261" s="60">
        <v>0</v>
      </c>
    </row>
    <row r="262" spans="1:12">
      <c r="A262" s="60">
        <v>255</v>
      </c>
      <c r="B262" s="60" t="s">
        <v>1060</v>
      </c>
      <c r="C262" s="60">
        <v>1</v>
      </c>
      <c r="D262" s="60">
        <v>0</v>
      </c>
      <c r="E262" s="60">
        <v>1</v>
      </c>
      <c r="F262" s="60">
        <v>0</v>
      </c>
      <c r="G262" s="60">
        <v>0</v>
      </c>
      <c r="H262" s="60">
        <v>0</v>
      </c>
      <c r="I262" s="60">
        <v>0.01</v>
      </c>
      <c r="J262" s="60">
        <v>0.01</v>
      </c>
      <c r="K262" s="60">
        <v>0</v>
      </c>
      <c r="L262" s="60">
        <v>0</v>
      </c>
    </row>
    <row r="263" spans="1:12">
      <c r="A263" s="60">
        <v>256</v>
      </c>
      <c r="B263" s="60" t="s">
        <v>166</v>
      </c>
      <c r="C263" s="60">
        <v>1</v>
      </c>
      <c r="D263" s="60">
        <v>0</v>
      </c>
      <c r="E263" s="60">
        <v>1</v>
      </c>
      <c r="F263" s="60">
        <v>0</v>
      </c>
      <c r="G263" s="60">
        <v>0</v>
      </c>
      <c r="H263" s="60">
        <v>0</v>
      </c>
      <c r="I263" s="60">
        <v>0.01</v>
      </c>
      <c r="J263" s="60">
        <v>0.01</v>
      </c>
      <c r="K263" s="60">
        <v>0</v>
      </c>
      <c r="L263" s="60">
        <v>0</v>
      </c>
    </row>
    <row r="264" spans="1:12">
      <c r="A264" s="60">
        <v>257</v>
      </c>
      <c r="B264" s="60" t="s">
        <v>437</v>
      </c>
      <c r="C264" s="60">
        <v>1</v>
      </c>
      <c r="D264" s="60">
        <v>0</v>
      </c>
      <c r="E264" s="60">
        <v>1</v>
      </c>
      <c r="F264" s="60">
        <v>0</v>
      </c>
      <c r="G264" s="60">
        <v>0</v>
      </c>
      <c r="H264" s="60">
        <v>0</v>
      </c>
      <c r="I264" s="60">
        <v>0.01</v>
      </c>
      <c r="J264" s="60">
        <v>0.01</v>
      </c>
      <c r="K264" s="60">
        <v>0</v>
      </c>
      <c r="L264" s="60">
        <v>0</v>
      </c>
    </row>
    <row r="265" spans="1:12">
      <c r="A265" s="60">
        <v>258</v>
      </c>
      <c r="B265" s="60" t="s">
        <v>119</v>
      </c>
      <c r="C265" s="60">
        <v>1</v>
      </c>
      <c r="D265" s="60">
        <v>0</v>
      </c>
      <c r="E265" s="60">
        <v>1</v>
      </c>
      <c r="F265" s="60">
        <v>0</v>
      </c>
      <c r="G265" s="60">
        <v>0</v>
      </c>
      <c r="H265" s="60">
        <v>0</v>
      </c>
      <c r="I265" s="60">
        <v>0.01</v>
      </c>
      <c r="J265" s="60">
        <v>0.01</v>
      </c>
      <c r="K265" s="60">
        <v>0</v>
      </c>
      <c r="L265" s="60">
        <v>0</v>
      </c>
    </row>
    <row r="266" spans="1:12">
      <c r="A266" s="60">
        <v>259</v>
      </c>
      <c r="B266" s="60" t="s">
        <v>706</v>
      </c>
      <c r="C266" s="60">
        <v>1</v>
      </c>
      <c r="D266" s="60">
        <v>0</v>
      </c>
      <c r="E266" s="60">
        <v>1</v>
      </c>
      <c r="F266" s="60">
        <v>0</v>
      </c>
      <c r="G266" s="60">
        <v>0</v>
      </c>
      <c r="H266" s="60">
        <v>0</v>
      </c>
      <c r="I266" s="60">
        <v>0.01</v>
      </c>
      <c r="J266" s="60">
        <v>0.01</v>
      </c>
      <c r="K266" s="60">
        <v>0</v>
      </c>
      <c r="L266" s="60">
        <v>0</v>
      </c>
    </row>
    <row r="267" spans="1:12">
      <c r="A267" s="60">
        <v>260</v>
      </c>
      <c r="B267" s="60" t="s">
        <v>225</v>
      </c>
      <c r="C267" s="60">
        <v>1</v>
      </c>
      <c r="D267" s="60">
        <v>0</v>
      </c>
      <c r="E267" s="60">
        <v>1</v>
      </c>
      <c r="F267" s="60">
        <v>0</v>
      </c>
      <c r="G267" s="68">
        <v>0</v>
      </c>
      <c r="H267" s="68">
        <v>0</v>
      </c>
      <c r="I267" s="60">
        <v>0.01</v>
      </c>
      <c r="J267" s="60">
        <v>0.01</v>
      </c>
      <c r="K267" s="60">
        <v>0</v>
      </c>
      <c r="L267" s="60">
        <v>0</v>
      </c>
    </row>
    <row r="268" spans="1:12">
      <c r="A268" s="60">
        <v>261</v>
      </c>
      <c r="B268" s="60" t="s">
        <v>629</v>
      </c>
      <c r="C268" s="60">
        <v>0</v>
      </c>
      <c r="D268" s="60">
        <v>119</v>
      </c>
      <c r="E268" s="60">
        <v>0</v>
      </c>
      <c r="F268" s="60">
        <v>119</v>
      </c>
      <c r="G268" s="60">
        <v>-100</v>
      </c>
      <c r="H268" s="60">
        <v>-100</v>
      </c>
      <c r="I268" s="60">
        <v>0</v>
      </c>
      <c r="J268" s="60">
        <v>0</v>
      </c>
      <c r="K268" s="60">
        <v>0.6</v>
      </c>
      <c r="L268" s="60">
        <v>0.6</v>
      </c>
    </row>
    <row r="269" spans="1:12">
      <c r="A269" s="60">
        <v>262</v>
      </c>
      <c r="B269" s="60" t="s">
        <v>145</v>
      </c>
      <c r="C269" s="60">
        <v>0</v>
      </c>
      <c r="D269" s="60">
        <v>52</v>
      </c>
      <c r="E269" s="60">
        <v>0</v>
      </c>
      <c r="F269" s="60">
        <v>52</v>
      </c>
      <c r="G269" s="60">
        <v>-100</v>
      </c>
      <c r="H269" s="60">
        <v>-100</v>
      </c>
      <c r="I269" s="60">
        <v>0</v>
      </c>
      <c r="J269" s="60">
        <v>0</v>
      </c>
      <c r="K269" s="60">
        <v>0.26</v>
      </c>
      <c r="L269" s="60">
        <v>0.26</v>
      </c>
    </row>
    <row r="270" spans="1:12">
      <c r="A270" s="60">
        <v>263</v>
      </c>
      <c r="B270" s="60" t="s">
        <v>205</v>
      </c>
      <c r="C270" s="60">
        <v>0</v>
      </c>
      <c r="D270" s="60">
        <v>34</v>
      </c>
      <c r="E270" s="60">
        <v>0</v>
      </c>
      <c r="F270" s="60">
        <v>34</v>
      </c>
      <c r="G270" s="60">
        <v>-100</v>
      </c>
      <c r="H270" s="60">
        <v>-100</v>
      </c>
      <c r="I270" s="60">
        <v>0</v>
      </c>
      <c r="J270" s="60">
        <v>0</v>
      </c>
      <c r="K270" s="60">
        <v>0.17</v>
      </c>
      <c r="L270" s="60">
        <v>0.17</v>
      </c>
    </row>
    <row r="271" spans="1:12">
      <c r="A271" s="60">
        <v>264</v>
      </c>
      <c r="B271" s="60" t="s">
        <v>120</v>
      </c>
      <c r="C271" s="60">
        <v>0</v>
      </c>
      <c r="D271" s="60">
        <v>19</v>
      </c>
      <c r="E271" s="60">
        <v>0</v>
      </c>
      <c r="F271" s="60">
        <v>19</v>
      </c>
      <c r="G271" s="60">
        <v>-100</v>
      </c>
      <c r="H271" s="60">
        <v>-100</v>
      </c>
      <c r="I271" s="60">
        <v>0</v>
      </c>
      <c r="J271" s="60">
        <v>0</v>
      </c>
      <c r="K271" s="60">
        <v>0.1</v>
      </c>
      <c r="L271" s="60">
        <v>0.1</v>
      </c>
    </row>
    <row r="272" spans="1:12">
      <c r="A272" s="60">
        <v>265</v>
      </c>
      <c r="B272" s="60" t="s">
        <v>144</v>
      </c>
      <c r="C272" s="60">
        <v>0</v>
      </c>
      <c r="D272" s="60">
        <v>15</v>
      </c>
      <c r="E272" s="60">
        <v>0</v>
      </c>
      <c r="F272" s="60">
        <v>15</v>
      </c>
      <c r="G272" s="60">
        <v>-100</v>
      </c>
      <c r="H272" s="60">
        <v>-100</v>
      </c>
      <c r="I272" s="60">
        <v>0</v>
      </c>
      <c r="J272" s="60">
        <v>0</v>
      </c>
      <c r="K272" s="60">
        <v>0.08</v>
      </c>
      <c r="L272" s="60">
        <v>0.08</v>
      </c>
    </row>
    <row r="273" spans="1:12">
      <c r="A273" s="60">
        <v>266</v>
      </c>
      <c r="B273" s="60" t="s">
        <v>116</v>
      </c>
      <c r="C273" s="60">
        <v>0</v>
      </c>
      <c r="D273" s="60">
        <v>12</v>
      </c>
      <c r="E273" s="60">
        <v>0</v>
      </c>
      <c r="F273" s="60">
        <v>12</v>
      </c>
      <c r="G273" s="60">
        <v>-100</v>
      </c>
      <c r="H273" s="60">
        <v>-100</v>
      </c>
      <c r="I273" s="60">
        <v>0</v>
      </c>
      <c r="J273" s="60">
        <v>0</v>
      </c>
      <c r="K273" s="60">
        <v>0.06</v>
      </c>
      <c r="L273" s="60">
        <v>0.06</v>
      </c>
    </row>
    <row r="274" spans="1:12">
      <c r="A274" s="60">
        <v>267</v>
      </c>
      <c r="B274" s="60" t="s">
        <v>164</v>
      </c>
      <c r="C274" s="60">
        <v>0</v>
      </c>
      <c r="D274" s="60">
        <v>12</v>
      </c>
      <c r="E274" s="60">
        <v>0</v>
      </c>
      <c r="F274" s="60">
        <v>12</v>
      </c>
      <c r="G274" s="68">
        <v>-100</v>
      </c>
      <c r="H274" s="60">
        <v>-100</v>
      </c>
      <c r="I274" s="60">
        <v>0</v>
      </c>
      <c r="J274" s="60">
        <v>0</v>
      </c>
      <c r="K274" s="60">
        <v>0.06</v>
      </c>
      <c r="L274" s="60">
        <v>0.06</v>
      </c>
    </row>
    <row r="275" spans="1:12">
      <c r="A275" s="60">
        <v>268</v>
      </c>
      <c r="B275" s="60" t="s">
        <v>135</v>
      </c>
      <c r="C275" s="24">
        <v>0</v>
      </c>
      <c r="D275" s="24">
        <v>11</v>
      </c>
      <c r="E275" s="24">
        <v>0</v>
      </c>
      <c r="F275" s="24">
        <v>11</v>
      </c>
      <c r="G275" s="68">
        <v>-100</v>
      </c>
      <c r="H275" s="68">
        <v>-100</v>
      </c>
      <c r="I275" s="60">
        <v>0</v>
      </c>
      <c r="J275" s="60">
        <v>0</v>
      </c>
      <c r="K275" s="60">
        <v>0.06</v>
      </c>
      <c r="L275" s="60">
        <v>0.06</v>
      </c>
    </row>
    <row r="276" spans="1:12">
      <c r="A276" s="60">
        <v>269</v>
      </c>
      <c r="B276" s="60" t="s">
        <v>233</v>
      </c>
      <c r="C276" s="24">
        <v>0</v>
      </c>
      <c r="D276" s="60">
        <v>9</v>
      </c>
      <c r="E276" s="24">
        <v>0</v>
      </c>
      <c r="F276" s="60">
        <v>9</v>
      </c>
      <c r="G276" s="60">
        <v>-100</v>
      </c>
      <c r="H276" s="60">
        <v>-100</v>
      </c>
      <c r="I276" s="60">
        <v>0</v>
      </c>
      <c r="J276" s="60">
        <v>0</v>
      </c>
      <c r="K276" s="60">
        <v>0.05</v>
      </c>
      <c r="L276" s="60">
        <v>0.05</v>
      </c>
    </row>
    <row r="277" spans="1:12">
      <c r="A277" s="60">
        <v>270</v>
      </c>
      <c r="B277" s="60" t="s">
        <v>192</v>
      </c>
      <c r="C277" s="60">
        <v>0</v>
      </c>
      <c r="D277" s="60">
        <v>7</v>
      </c>
      <c r="E277" s="60">
        <v>0</v>
      </c>
      <c r="F277" s="60">
        <v>7</v>
      </c>
      <c r="G277" s="60">
        <v>-100</v>
      </c>
      <c r="H277" s="60">
        <v>-100</v>
      </c>
      <c r="I277" s="60">
        <v>0</v>
      </c>
      <c r="J277" s="60">
        <v>0</v>
      </c>
      <c r="K277" s="60">
        <v>0.04</v>
      </c>
      <c r="L277" s="60">
        <v>0.04</v>
      </c>
    </row>
    <row r="278" spans="1:12">
      <c r="A278" s="60">
        <v>271</v>
      </c>
      <c r="B278" s="60" t="s">
        <v>163</v>
      </c>
      <c r="C278" s="60">
        <v>0</v>
      </c>
      <c r="D278" s="60">
        <v>6</v>
      </c>
      <c r="E278" s="60">
        <v>0</v>
      </c>
      <c r="F278" s="60">
        <v>6</v>
      </c>
      <c r="G278" s="60">
        <v>-100</v>
      </c>
      <c r="H278" s="60">
        <v>-100</v>
      </c>
      <c r="I278" s="60">
        <v>0</v>
      </c>
      <c r="J278" s="60">
        <v>0</v>
      </c>
      <c r="K278" s="60">
        <v>0.03</v>
      </c>
      <c r="L278" s="60">
        <v>0.03</v>
      </c>
    </row>
    <row r="279" spans="1:12">
      <c r="A279" s="60">
        <v>272</v>
      </c>
      <c r="B279" s="60" t="s">
        <v>211</v>
      </c>
      <c r="C279" s="60">
        <v>0</v>
      </c>
      <c r="D279" s="60">
        <v>5</v>
      </c>
      <c r="E279" s="60">
        <v>0</v>
      </c>
      <c r="F279" s="60">
        <v>5</v>
      </c>
      <c r="G279" s="60">
        <v>-100</v>
      </c>
      <c r="H279" s="60">
        <v>-100</v>
      </c>
      <c r="I279" s="60">
        <v>0</v>
      </c>
      <c r="J279" s="60">
        <v>0</v>
      </c>
      <c r="K279" s="60">
        <v>0.03</v>
      </c>
      <c r="L279" s="60">
        <v>0.03</v>
      </c>
    </row>
    <row r="280" spans="1:12">
      <c r="A280" s="60">
        <v>273</v>
      </c>
      <c r="B280" s="60" t="s">
        <v>189</v>
      </c>
      <c r="C280" s="60">
        <v>0</v>
      </c>
      <c r="D280" s="60">
        <v>5</v>
      </c>
      <c r="E280" s="60">
        <v>0</v>
      </c>
      <c r="F280" s="60">
        <v>5</v>
      </c>
      <c r="G280" s="60">
        <v>-100</v>
      </c>
      <c r="H280" s="60">
        <v>-100</v>
      </c>
      <c r="I280" s="60">
        <v>0</v>
      </c>
      <c r="J280" s="60">
        <v>0</v>
      </c>
      <c r="K280" s="60">
        <v>0.03</v>
      </c>
      <c r="L280" s="60">
        <v>0.03</v>
      </c>
    </row>
    <row r="281" spans="1:12">
      <c r="A281" s="60">
        <v>274</v>
      </c>
      <c r="B281" s="60" t="s">
        <v>142</v>
      </c>
      <c r="C281" s="60">
        <v>0</v>
      </c>
      <c r="D281" s="60">
        <v>4</v>
      </c>
      <c r="E281" s="60">
        <v>0</v>
      </c>
      <c r="F281" s="60">
        <v>4</v>
      </c>
      <c r="G281" s="60">
        <v>-100</v>
      </c>
      <c r="H281" s="60">
        <v>-100</v>
      </c>
      <c r="I281" s="60">
        <v>0</v>
      </c>
      <c r="J281" s="60">
        <v>0</v>
      </c>
      <c r="K281" s="60">
        <v>0.02</v>
      </c>
      <c r="L281" s="60">
        <v>0.02</v>
      </c>
    </row>
    <row r="282" spans="1:12">
      <c r="A282" s="60">
        <v>275</v>
      </c>
      <c r="B282" s="60" t="s">
        <v>199</v>
      </c>
      <c r="C282" s="60">
        <v>0</v>
      </c>
      <c r="D282" s="60">
        <v>4</v>
      </c>
      <c r="E282" s="60">
        <v>0</v>
      </c>
      <c r="F282" s="60">
        <v>4</v>
      </c>
      <c r="G282" s="60">
        <v>-100</v>
      </c>
      <c r="H282" s="60">
        <v>-100</v>
      </c>
      <c r="I282" s="60">
        <v>0</v>
      </c>
      <c r="J282" s="60">
        <v>0</v>
      </c>
      <c r="K282" s="60">
        <v>0.02</v>
      </c>
      <c r="L282" s="60">
        <v>0.02</v>
      </c>
    </row>
    <row r="283" spans="1:12">
      <c r="A283" s="60">
        <v>276</v>
      </c>
      <c r="B283" s="60" t="s">
        <v>391</v>
      </c>
      <c r="C283" s="60">
        <v>0</v>
      </c>
      <c r="D283" s="60">
        <v>3</v>
      </c>
      <c r="E283" s="60">
        <v>0</v>
      </c>
      <c r="F283" s="60">
        <v>3</v>
      </c>
      <c r="G283" s="60">
        <v>-100</v>
      </c>
      <c r="H283" s="60">
        <v>-100</v>
      </c>
      <c r="I283" s="60">
        <v>0</v>
      </c>
      <c r="J283" s="60">
        <v>0</v>
      </c>
      <c r="K283" s="60">
        <v>0.02</v>
      </c>
      <c r="L283" s="60">
        <v>0.02</v>
      </c>
    </row>
    <row r="284" spans="1:12">
      <c r="A284" s="60">
        <v>277</v>
      </c>
      <c r="B284" s="60" t="s">
        <v>591</v>
      </c>
      <c r="C284" s="60">
        <v>0</v>
      </c>
      <c r="D284" s="60">
        <v>3</v>
      </c>
      <c r="E284" s="60">
        <v>0</v>
      </c>
      <c r="F284" s="60">
        <v>3</v>
      </c>
      <c r="G284" s="60">
        <v>-100</v>
      </c>
      <c r="H284" s="60">
        <v>-100</v>
      </c>
      <c r="I284" s="60">
        <v>0</v>
      </c>
      <c r="J284" s="60">
        <v>0</v>
      </c>
      <c r="K284" s="60">
        <v>0.02</v>
      </c>
      <c r="L284" s="60">
        <v>0.02</v>
      </c>
    </row>
    <row r="285" spans="1:12">
      <c r="A285" s="60">
        <v>278</v>
      </c>
      <c r="B285" s="60" t="s">
        <v>217</v>
      </c>
      <c r="C285" s="60">
        <v>0</v>
      </c>
      <c r="D285" s="60">
        <v>3</v>
      </c>
      <c r="E285" s="60">
        <v>0</v>
      </c>
      <c r="F285" s="60">
        <v>3</v>
      </c>
      <c r="G285" s="68">
        <v>-100</v>
      </c>
      <c r="H285" s="68">
        <v>-100</v>
      </c>
      <c r="I285" s="60">
        <v>0</v>
      </c>
      <c r="J285" s="60">
        <v>0</v>
      </c>
      <c r="K285" s="60">
        <v>0.02</v>
      </c>
      <c r="L285" s="60">
        <v>0.02</v>
      </c>
    </row>
    <row r="286" spans="1:12">
      <c r="A286" s="60">
        <v>279</v>
      </c>
      <c r="B286" s="60" t="s">
        <v>200</v>
      </c>
      <c r="C286" s="60">
        <v>0</v>
      </c>
      <c r="D286" s="60">
        <v>2</v>
      </c>
      <c r="E286" s="60">
        <v>0</v>
      </c>
      <c r="F286" s="60">
        <v>2</v>
      </c>
      <c r="G286" s="60">
        <v>-100</v>
      </c>
      <c r="H286" s="60">
        <v>-100</v>
      </c>
      <c r="I286" s="60">
        <v>0</v>
      </c>
      <c r="J286" s="60">
        <v>0</v>
      </c>
      <c r="K286" s="60">
        <v>0.01</v>
      </c>
      <c r="L286" s="60">
        <v>0.01</v>
      </c>
    </row>
    <row r="287" spans="1:12">
      <c r="A287" s="60">
        <v>280</v>
      </c>
      <c r="B287" s="60" t="s">
        <v>519</v>
      </c>
      <c r="C287" s="60">
        <v>0</v>
      </c>
      <c r="D287" s="60">
        <v>1</v>
      </c>
      <c r="E287" s="60">
        <v>0</v>
      </c>
      <c r="F287" s="60">
        <v>1</v>
      </c>
      <c r="G287" s="60">
        <v>-100</v>
      </c>
      <c r="H287" s="60">
        <v>-100</v>
      </c>
      <c r="I287" s="60">
        <v>0</v>
      </c>
      <c r="J287" s="60">
        <v>0</v>
      </c>
      <c r="K287" s="60">
        <v>0.01</v>
      </c>
      <c r="L287" s="60">
        <v>0.01</v>
      </c>
    </row>
    <row r="288" spans="1:12">
      <c r="A288" s="60">
        <v>281</v>
      </c>
      <c r="B288" s="60" t="s">
        <v>131</v>
      </c>
      <c r="C288" s="60">
        <v>0</v>
      </c>
      <c r="D288" s="60">
        <v>1</v>
      </c>
      <c r="E288" s="60">
        <v>0</v>
      </c>
      <c r="F288" s="60">
        <v>1</v>
      </c>
      <c r="G288" s="60">
        <v>-100</v>
      </c>
      <c r="H288" s="60">
        <v>-100</v>
      </c>
      <c r="I288" s="60">
        <v>0</v>
      </c>
      <c r="J288" s="60">
        <v>0</v>
      </c>
      <c r="K288" s="60">
        <v>0.01</v>
      </c>
      <c r="L288" s="60">
        <v>0.01</v>
      </c>
    </row>
    <row r="289" spans="1:12">
      <c r="A289" s="60">
        <v>282</v>
      </c>
      <c r="B289" s="60" t="s">
        <v>584</v>
      </c>
      <c r="C289" s="60">
        <v>0</v>
      </c>
      <c r="D289" s="60">
        <v>1</v>
      </c>
      <c r="E289" s="60">
        <v>0</v>
      </c>
      <c r="F289" s="60">
        <v>1</v>
      </c>
      <c r="G289" s="60">
        <v>-100</v>
      </c>
      <c r="H289" s="60">
        <v>-100</v>
      </c>
      <c r="I289" s="60">
        <v>0</v>
      </c>
      <c r="J289" s="60">
        <v>0</v>
      </c>
      <c r="K289" s="60">
        <v>0.01</v>
      </c>
      <c r="L289" s="60">
        <v>0.01</v>
      </c>
    </row>
    <row r="290" spans="1:12">
      <c r="A290" s="60">
        <v>283</v>
      </c>
      <c r="B290" s="60" t="s">
        <v>389</v>
      </c>
      <c r="C290" s="60">
        <v>0</v>
      </c>
      <c r="D290" s="60">
        <v>1</v>
      </c>
      <c r="E290" s="60">
        <v>0</v>
      </c>
      <c r="F290" s="60">
        <v>1</v>
      </c>
      <c r="G290" s="60">
        <v>-100</v>
      </c>
      <c r="H290" s="60">
        <v>-100</v>
      </c>
      <c r="I290" s="60">
        <v>0</v>
      </c>
      <c r="J290" s="60">
        <v>0</v>
      </c>
      <c r="K290" s="60">
        <v>0.01</v>
      </c>
      <c r="L290" s="60">
        <v>0.01</v>
      </c>
    </row>
    <row r="291" spans="1:12">
      <c r="A291" s="60">
        <v>284</v>
      </c>
      <c r="B291" s="60" t="s">
        <v>606</v>
      </c>
      <c r="C291" s="60">
        <v>0</v>
      </c>
      <c r="D291" s="60">
        <v>1</v>
      </c>
      <c r="E291" s="60">
        <v>0</v>
      </c>
      <c r="F291" s="60">
        <v>1</v>
      </c>
      <c r="G291" s="60">
        <v>-100</v>
      </c>
      <c r="H291" s="60">
        <v>-100</v>
      </c>
      <c r="I291" s="60">
        <v>0</v>
      </c>
      <c r="J291" s="60">
        <v>0</v>
      </c>
      <c r="K291" s="60">
        <v>0.01</v>
      </c>
      <c r="L291" s="60">
        <v>0.01</v>
      </c>
    </row>
    <row r="292" spans="1:12">
      <c r="A292" s="60">
        <v>285</v>
      </c>
      <c r="B292" s="60" t="s">
        <v>585</v>
      </c>
      <c r="C292" s="60">
        <v>0</v>
      </c>
      <c r="D292" s="60">
        <v>1</v>
      </c>
      <c r="E292" s="60">
        <v>0</v>
      </c>
      <c r="F292" s="60">
        <v>1</v>
      </c>
      <c r="G292" s="60">
        <v>-100</v>
      </c>
      <c r="H292" s="60">
        <v>-100</v>
      </c>
      <c r="I292" s="60">
        <v>0</v>
      </c>
      <c r="J292" s="60">
        <v>0</v>
      </c>
      <c r="K292" s="60">
        <v>0.01</v>
      </c>
      <c r="L292" s="60">
        <v>0.01</v>
      </c>
    </row>
    <row r="293" spans="1:12">
      <c r="A293" s="60">
        <v>286</v>
      </c>
      <c r="B293" s="60" t="s">
        <v>229</v>
      </c>
      <c r="C293" s="60">
        <v>0</v>
      </c>
      <c r="D293" s="60">
        <v>1</v>
      </c>
      <c r="E293" s="60">
        <v>0</v>
      </c>
      <c r="F293" s="60">
        <v>1</v>
      </c>
      <c r="G293" s="60">
        <v>-100</v>
      </c>
      <c r="H293" s="60">
        <v>-100</v>
      </c>
      <c r="I293" s="60">
        <v>0</v>
      </c>
      <c r="J293" s="60">
        <v>0</v>
      </c>
      <c r="K293" s="60">
        <v>0.01</v>
      </c>
      <c r="L293" s="60">
        <v>0.01</v>
      </c>
    </row>
    <row r="294" spans="1:12">
      <c r="A294" s="60">
        <v>287</v>
      </c>
      <c r="B294" s="60" t="s">
        <v>512</v>
      </c>
      <c r="C294" s="60">
        <v>0</v>
      </c>
      <c r="D294" s="60">
        <v>1</v>
      </c>
      <c r="E294" s="60">
        <v>0</v>
      </c>
      <c r="F294" s="60">
        <v>1</v>
      </c>
      <c r="G294" s="60">
        <v>-100</v>
      </c>
      <c r="H294" s="60">
        <v>-100</v>
      </c>
      <c r="I294" s="60">
        <v>0</v>
      </c>
      <c r="J294" s="60">
        <v>0</v>
      </c>
      <c r="K294" s="60">
        <v>0.01</v>
      </c>
      <c r="L294" s="60">
        <v>0.01</v>
      </c>
    </row>
    <row r="295" spans="1:12">
      <c r="A295" s="60">
        <v>288</v>
      </c>
      <c r="B295" s="60" t="s">
        <v>520</v>
      </c>
      <c r="C295" s="60">
        <v>0</v>
      </c>
      <c r="D295" s="60">
        <v>1</v>
      </c>
      <c r="E295" s="60">
        <v>0</v>
      </c>
      <c r="F295" s="60">
        <v>1</v>
      </c>
      <c r="G295" s="60">
        <v>-100</v>
      </c>
      <c r="H295" s="60">
        <v>-100</v>
      </c>
      <c r="I295" s="60">
        <v>0</v>
      </c>
      <c r="J295" s="60">
        <v>0</v>
      </c>
      <c r="K295" s="60">
        <v>0.01</v>
      </c>
      <c r="L295" s="60">
        <v>0.01</v>
      </c>
    </row>
    <row r="296" spans="1:12">
      <c r="A296" s="60">
        <v>289</v>
      </c>
      <c r="B296" s="60" t="s">
        <v>182</v>
      </c>
      <c r="C296" s="60">
        <v>0</v>
      </c>
      <c r="D296" s="60">
        <v>1</v>
      </c>
      <c r="E296" s="60">
        <v>0</v>
      </c>
      <c r="F296" s="60">
        <v>1</v>
      </c>
      <c r="G296" s="60">
        <v>-100</v>
      </c>
      <c r="H296" s="60">
        <v>-100</v>
      </c>
      <c r="I296" s="60">
        <v>0</v>
      </c>
      <c r="J296" s="60">
        <v>0</v>
      </c>
      <c r="K296" s="60">
        <v>0.01</v>
      </c>
      <c r="L296" s="60">
        <v>0.01</v>
      </c>
    </row>
    <row r="297" spans="1:12">
      <c r="A297" s="60">
        <v>290</v>
      </c>
      <c r="B297" s="60" t="s">
        <v>105</v>
      </c>
      <c r="C297" s="60">
        <v>0</v>
      </c>
      <c r="D297" s="60">
        <v>1</v>
      </c>
      <c r="E297" s="60">
        <v>0</v>
      </c>
      <c r="F297" s="60">
        <v>1</v>
      </c>
      <c r="G297" s="60">
        <v>-100</v>
      </c>
      <c r="H297" s="60">
        <v>-100</v>
      </c>
      <c r="I297" s="60">
        <v>0</v>
      </c>
      <c r="J297" s="60">
        <v>0</v>
      </c>
      <c r="K297" s="60">
        <v>0.01</v>
      </c>
      <c r="L297" s="60">
        <v>0.01</v>
      </c>
    </row>
    <row r="298" spans="1:12">
      <c r="A298" s="60">
        <v>291</v>
      </c>
      <c r="B298" s="60" t="s">
        <v>417</v>
      </c>
      <c r="C298" s="60">
        <v>0</v>
      </c>
      <c r="D298" s="60">
        <v>1</v>
      </c>
      <c r="E298" s="60">
        <v>0</v>
      </c>
      <c r="F298" s="60">
        <v>1</v>
      </c>
      <c r="G298" s="60">
        <v>-100</v>
      </c>
      <c r="H298" s="60">
        <v>-100</v>
      </c>
      <c r="I298" s="60">
        <v>0</v>
      </c>
      <c r="J298" s="60">
        <v>0</v>
      </c>
      <c r="K298" s="60">
        <v>0.01</v>
      </c>
      <c r="L298" s="60">
        <v>0.01</v>
      </c>
    </row>
    <row r="299" spans="1:12">
      <c r="A299" s="60">
        <v>292</v>
      </c>
      <c r="B299" s="60" t="s">
        <v>169</v>
      </c>
      <c r="C299" s="60">
        <v>0</v>
      </c>
      <c r="D299" s="60">
        <v>1</v>
      </c>
      <c r="E299" s="60">
        <v>0</v>
      </c>
      <c r="F299" s="60">
        <v>1</v>
      </c>
      <c r="G299" s="60">
        <v>-100</v>
      </c>
      <c r="H299" s="60">
        <v>-100</v>
      </c>
      <c r="I299" s="60">
        <v>0</v>
      </c>
      <c r="J299" s="60">
        <v>0</v>
      </c>
      <c r="K299" s="60">
        <v>0.01</v>
      </c>
      <c r="L299" s="60">
        <v>0.01</v>
      </c>
    </row>
    <row r="300" spans="1:12">
      <c r="A300" s="162">
        <v>293</v>
      </c>
      <c r="B300" s="162" t="s">
        <v>631</v>
      </c>
      <c r="C300" s="162">
        <v>0</v>
      </c>
      <c r="D300" s="162">
        <v>1</v>
      </c>
      <c r="E300" s="162">
        <v>0</v>
      </c>
      <c r="F300" s="162">
        <v>1</v>
      </c>
      <c r="G300" s="162">
        <v>-100</v>
      </c>
      <c r="H300" s="162">
        <v>-100</v>
      </c>
      <c r="I300" s="162">
        <v>0</v>
      </c>
      <c r="J300" s="162">
        <v>0</v>
      </c>
      <c r="K300" s="162">
        <v>0.01</v>
      </c>
      <c r="L300" s="162">
        <v>0.01</v>
      </c>
    </row>
    <row r="301" spans="1:12">
      <c r="A301" s="162">
        <v>294</v>
      </c>
      <c r="B301" s="162" t="s">
        <v>219</v>
      </c>
      <c r="C301" s="162">
        <v>6</v>
      </c>
      <c r="D301" s="162">
        <v>30</v>
      </c>
      <c r="E301" s="162">
        <v>6</v>
      </c>
      <c r="F301" s="162">
        <v>30</v>
      </c>
      <c r="G301" s="162">
        <v>-80</v>
      </c>
      <c r="H301" s="162">
        <v>-80</v>
      </c>
      <c r="I301" s="162">
        <v>0.04</v>
      </c>
      <c r="J301" s="162">
        <v>0.04</v>
      </c>
      <c r="K301" s="162">
        <v>0.15</v>
      </c>
      <c r="L301" s="162">
        <v>0.15</v>
      </c>
    </row>
    <row r="302" spans="1:12">
      <c r="A302" s="162"/>
      <c r="B302" s="163" t="s">
        <v>485</v>
      </c>
      <c r="C302" s="162">
        <f>SUBTOTAL(109,getAggModelsPB[antalPerioden])</f>
        <v>14601</v>
      </c>
      <c r="D302" s="162">
        <f>SUBTOTAL(109,getAggModelsPB[antalFGPeriod])</f>
        <v>19893</v>
      </c>
      <c r="E302" s="162">
        <f>SUBTOTAL(109,getAggModelsPB[antalÅret])</f>
        <v>14601</v>
      </c>
      <c r="F302" s="162">
        <f>SUBTOTAL(109,getAggModelsPB[antalFGAr])</f>
        <v>19893</v>
      </c>
      <c r="G302" s="164">
        <f>IF(getAggModelsPB[[#Totals],[antalFGPeriod]] &gt; 0,(getAggModelsPB[[#Totals],[antalPerioden]] - getAggModelsPB[[#Totals],[antalFGPeriod]] ) / getAggModelsPB[[#Totals],[antalFGPeriod]] * 100,0)</f>
        <v>-26.602322424973607</v>
      </c>
      <c r="H302" s="164">
        <f>IF(getAggModelsPB[[#Totals],[antalFGAr]] &gt; 0,(getAggModelsPB[[#Totals],[antalÅret]] - getAggModelsPB[[#Totals],[antalFGAr]]) / getAggModelsPB[[#Totals],[antalFGAr]] * 100,0)</f>
        <v>-26.602322424973607</v>
      </c>
      <c r="I302" s="165" t="str">
        <f>TEXT(100,"0,00")</f>
        <v>100,00</v>
      </c>
      <c r="J302" s="165" t="str">
        <f>TEXT(100,"0,00")</f>
        <v>100,00</v>
      </c>
      <c r="K302" s="165" t="str">
        <f>TEXT(100,"0,00")</f>
        <v>100,00</v>
      </c>
      <c r="L302" s="165" t="str">
        <f>TEXT(100,"0,00")</f>
        <v>100,00</v>
      </c>
    </row>
    <row r="303" spans="1:12">
      <c r="A303" s="162"/>
      <c r="B303" s="163"/>
      <c r="C303" s="162"/>
      <c r="D303" s="162"/>
      <c r="E303" s="162"/>
      <c r="F303" s="162"/>
      <c r="G303" s="164"/>
      <c r="H303" s="164"/>
      <c r="I303" s="165"/>
      <c r="J303" s="165"/>
      <c r="K303" s="165"/>
      <c r="L303" s="165"/>
    </row>
    <row r="304" spans="1:12">
      <c r="A304" s="162"/>
      <c r="B304" s="162"/>
      <c r="C304" s="162"/>
      <c r="D304" s="162"/>
      <c r="E304" s="162"/>
      <c r="F304" s="162"/>
      <c r="G304" s="162"/>
      <c r="H304" s="162"/>
      <c r="I304" s="162"/>
      <c r="J304" s="162"/>
      <c r="K304" s="162"/>
      <c r="L304" s="162"/>
    </row>
    <row r="305" spans="1:12">
      <c r="A305" t="s">
        <v>716</v>
      </c>
      <c r="B305" s="162"/>
      <c r="C305" s="162"/>
      <c r="D305" s="162"/>
      <c r="E305" s="162"/>
      <c r="F305" s="162"/>
      <c r="G305" s="162"/>
      <c r="H305" s="162"/>
      <c r="I305" s="162"/>
      <c r="J305" s="162"/>
      <c r="K305" s="162"/>
      <c r="L305" s="162"/>
    </row>
    <row r="306" spans="1:12">
      <c r="A306" s="162"/>
      <c r="B306" s="162"/>
      <c r="C306" s="162"/>
      <c r="D306" s="162"/>
      <c r="E306" s="162"/>
      <c r="F306" s="162"/>
      <c r="G306" s="162"/>
      <c r="H306" s="162"/>
      <c r="I306" s="162"/>
      <c r="J306" s="162"/>
      <c r="K306" s="162"/>
      <c r="L306" s="162"/>
    </row>
    <row r="307" spans="1:12">
      <c r="A307" s="162"/>
      <c r="B307" s="162"/>
      <c r="C307" s="162"/>
      <c r="D307" s="162"/>
      <c r="E307" s="162"/>
      <c r="F307" s="162"/>
      <c r="G307" s="162"/>
      <c r="H307" s="162"/>
      <c r="I307" s="162"/>
      <c r="J307" s="162"/>
      <c r="K307" s="162"/>
      <c r="L307" s="162"/>
    </row>
    <row r="308" spans="1:12">
      <c r="A308" s="162"/>
      <c r="B308" s="162"/>
      <c r="C308" s="162"/>
      <c r="D308" s="162"/>
      <c r="E308" s="162"/>
      <c r="F308" s="162"/>
      <c r="G308" s="162"/>
      <c r="H308" s="162"/>
      <c r="I308" s="162"/>
      <c r="J308" s="162"/>
      <c r="K308" s="162"/>
      <c r="L308" s="162"/>
    </row>
    <row r="309" spans="1:12">
      <c r="A309" s="162"/>
      <c r="B309" s="162"/>
      <c r="C309" s="162"/>
      <c r="D309" s="162"/>
      <c r="E309" s="162"/>
      <c r="F309" s="162"/>
      <c r="G309" s="162"/>
      <c r="H309" s="162"/>
      <c r="I309" s="162"/>
      <c r="J309" s="162"/>
      <c r="K309" s="162"/>
      <c r="L309" s="162"/>
    </row>
    <row r="310" spans="1:12">
      <c r="A310" s="162"/>
      <c r="B310" s="162"/>
      <c r="C310" s="162"/>
      <c r="D310" s="162"/>
      <c r="E310" s="162"/>
      <c r="F310" s="162"/>
      <c r="G310" s="162"/>
      <c r="H310" s="162"/>
      <c r="I310" s="162"/>
      <c r="J310" s="162"/>
      <c r="K310" s="162"/>
      <c r="L310" s="162"/>
    </row>
    <row r="311" spans="1:12">
      <c r="A311" s="162"/>
      <c r="B311" s="162"/>
      <c r="C311" s="162"/>
      <c r="D311" s="162"/>
      <c r="E311" s="162"/>
      <c r="F311" s="162"/>
      <c r="G311" s="162"/>
      <c r="H311" s="162"/>
      <c r="I311" s="162"/>
      <c r="J311" s="162"/>
      <c r="K311" s="162"/>
      <c r="L311" s="162"/>
    </row>
    <row r="312" spans="1:12">
      <c r="A312" s="162"/>
      <c r="B312" s="162"/>
      <c r="C312" s="162"/>
      <c r="D312" s="162"/>
      <c r="E312" s="162"/>
      <c r="F312" s="162"/>
      <c r="G312" s="162"/>
      <c r="H312" s="162"/>
      <c r="I312" s="162"/>
      <c r="J312" s="162"/>
      <c r="K312" s="162"/>
      <c r="L312" s="162"/>
    </row>
    <row r="313" spans="1:12">
      <c r="A313" s="162"/>
      <c r="B313" s="162"/>
      <c r="C313" s="162"/>
      <c r="D313" s="162"/>
      <c r="E313" s="162"/>
      <c r="F313" s="162"/>
      <c r="G313" s="162"/>
      <c r="H313" s="162"/>
      <c r="I313" s="162"/>
      <c r="J313" s="162"/>
      <c r="K313" s="162"/>
      <c r="L313" s="162"/>
    </row>
    <row r="314" spans="1:12">
      <c r="A314" s="162"/>
      <c r="B314" s="162"/>
      <c r="C314" s="162"/>
      <c r="D314" s="162"/>
      <c r="E314" s="162"/>
      <c r="F314" s="162"/>
      <c r="G314" s="162"/>
      <c r="H314" s="162"/>
      <c r="I314" s="162"/>
      <c r="J314" s="162"/>
      <c r="K314" s="162"/>
      <c r="L314" s="162"/>
    </row>
    <row r="315" spans="1:12" s="11" customFormat="1" ht="16">
      <c r="A315" s="162"/>
      <c r="B315" s="162"/>
      <c r="C315" s="162"/>
      <c r="D315" s="162"/>
      <c r="E315" s="162"/>
      <c r="F315" s="162"/>
      <c r="G315" s="162"/>
      <c r="H315" s="162"/>
      <c r="I315" s="162"/>
      <c r="J315" s="162"/>
      <c r="K315" s="162"/>
      <c r="L315" s="162"/>
    </row>
    <row r="316" spans="1:12">
      <c r="A316" s="162"/>
      <c r="B316" s="162"/>
      <c r="C316" s="162"/>
      <c r="D316" s="162"/>
      <c r="E316" s="162"/>
      <c r="F316" s="162"/>
      <c r="G316" s="162"/>
      <c r="H316" s="162"/>
      <c r="I316" s="162"/>
      <c r="J316" s="162"/>
      <c r="K316" s="162"/>
      <c r="L316" s="162"/>
    </row>
    <row r="317" spans="1:12">
      <c r="A317" s="162"/>
      <c r="B317" s="162"/>
      <c r="C317" s="162"/>
      <c r="D317" s="162"/>
      <c r="E317" s="162"/>
      <c r="F317" s="162"/>
      <c r="G317" s="162"/>
      <c r="H317" s="162"/>
      <c r="I317" s="162"/>
      <c r="J317" s="162"/>
      <c r="K317" s="162"/>
      <c r="L317" s="162"/>
    </row>
    <row r="318" spans="1:12">
      <c r="A318" s="162"/>
      <c r="B318" s="162"/>
      <c r="C318" s="162"/>
      <c r="D318" s="162"/>
      <c r="E318" s="162"/>
      <c r="F318" s="162"/>
      <c r="G318" s="162"/>
      <c r="H318" s="162"/>
      <c r="I318" s="162"/>
      <c r="J318" s="162"/>
      <c r="K318" s="162"/>
      <c r="L318" s="162"/>
    </row>
    <row r="319" spans="1:12">
      <c r="A319" s="162"/>
      <c r="B319" s="162"/>
      <c r="C319" s="162"/>
      <c r="D319" s="162"/>
      <c r="E319" s="162"/>
      <c r="F319" s="162"/>
      <c r="G319" s="162"/>
      <c r="H319" s="162"/>
      <c r="I319" s="162"/>
      <c r="J319" s="162"/>
      <c r="K319" s="162"/>
      <c r="L319" s="162"/>
    </row>
    <row r="320" spans="1:12">
      <c r="A320" s="162"/>
      <c r="B320" s="162"/>
      <c r="C320" s="162"/>
      <c r="D320" s="162"/>
      <c r="E320" s="162"/>
      <c r="F320" s="162"/>
      <c r="G320" s="162"/>
      <c r="H320" s="162"/>
      <c r="I320" s="162"/>
      <c r="J320" s="162"/>
      <c r="K320" s="162"/>
      <c r="L320" s="162"/>
    </row>
    <row r="321" spans="1:12">
      <c r="A321" s="162"/>
      <c r="B321" s="162"/>
      <c r="C321" s="162"/>
      <c r="D321" s="162"/>
      <c r="E321" s="162"/>
      <c r="F321" s="162"/>
      <c r="G321" s="162"/>
      <c r="H321" s="162"/>
      <c r="I321" s="162"/>
      <c r="J321" s="162"/>
      <c r="K321" s="162"/>
      <c r="L321" s="162"/>
    </row>
    <row r="322" spans="1:12">
      <c r="A322" s="162"/>
      <c r="B322" s="162"/>
      <c r="C322" s="162"/>
      <c r="D322" s="162"/>
      <c r="E322" s="162"/>
      <c r="F322" s="162"/>
      <c r="G322" s="162"/>
      <c r="H322" s="162"/>
      <c r="I322" s="162"/>
      <c r="J322" s="162"/>
      <c r="K322" s="162"/>
      <c r="L322" s="162"/>
    </row>
    <row r="323" spans="1:12">
      <c r="A323" s="162"/>
      <c r="B323" s="162"/>
      <c r="C323" s="162"/>
      <c r="D323" s="162"/>
      <c r="E323" s="162"/>
      <c r="F323" s="162"/>
      <c r="G323" s="162"/>
      <c r="H323" s="162"/>
      <c r="I323" s="162"/>
      <c r="J323" s="162"/>
      <c r="K323" s="162"/>
      <c r="L323" s="162"/>
    </row>
    <row r="324" spans="1:12">
      <c r="A324" s="162"/>
      <c r="B324" s="162"/>
      <c r="C324" s="162"/>
      <c r="D324" s="162"/>
      <c r="E324" s="162"/>
      <c r="F324" s="162"/>
      <c r="G324" s="162"/>
      <c r="H324" s="162"/>
      <c r="I324" s="162"/>
      <c r="J324" s="162"/>
      <c r="K324" s="162"/>
      <c r="L324" s="162"/>
    </row>
    <row r="325" spans="1:12">
      <c r="A325" s="162"/>
      <c r="B325" s="162"/>
      <c r="C325" s="162"/>
      <c r="D325" s="162"/>
      <c r="E325" s="162"/>
      <c r="F325" s="162"/>
      <c r="G325" s="162"/>
      <c r="H325" s="162"/>
      <c r="I325" s="162"/>
      <c r="J325" s="162"/>
      <c r="K325" s="162"/>
      <c r="L325" s="162"/>
    </row>
    <row r="326" spans="1:12">
      <c r="A326" s="162"/>
      <c r="B326" s="162"/>
      <c r="C326" s="162"/>
      <c r="D326" s="162"/>
      <c r="E326" s="162"/>
      <c r="F326" s="162"/>
      <c r="G326" s="162"/>
      <c r="H326" s="162"/>
      <c r="I326" s="162"/>
      <c r="J326" s="162"/>
      <c r="K326" s="162"/>
      <c r="L326" s="162"/>
    </row>
    <row r="327" spans="1:12">
      <c r="A327" s="162"/>
      <c r="B327" s="162"/>
      <c r="C327" s="162"/>
      <c r="D327" s="162"/>
      <c r="E327" s="162"/>
      <c r="F327" s="162"/>
      <c r="G327" s="162"/>
      <c r="H327" s="162"/>
      <c r="I327" s="162"/>
      <c r="J327" s="162"/>
      <c r="K327" s="162"/>
      <c r="L327" s="162"/>
    </row>
    <row r="328" spans="1:12">
      <c r="A328" s="162"/>
      <c r="B328" s="162"/>
      <c r="C328" s="162"/>
      <c r="D328" s="162"/>
      <c r="E328" s="162"/>
      <c r="F328" s="162"/>
      <c r="G328" s="162"/>
      <c r="H328" s="162"/>
      <c r="I328" s="162"/>
      <c r="J328" s="162"/>
      <c r="K328" s="162"/>
      <c r="L328" s="162"/>
    </row>
    <row r="329" spans="1:12">
      <c r="A329" s="162"/>
      <c r="B329" s="162"/>
      <c r="C329" s="162"/>
      <c r="D329" s="162"/>
      <c r="E329" s="162"/>
      <c r="F329" s="162"/>
      <c r="G329" s="162"/>
      <c r="H329" s="162"/>
      <c r="I329" s="162"/>
      <c r="J329" s="162"/>
      <c r="K329" s="162"/>
      <c r="L329" s="162"/>
    </row>
    <row r="330" spans="1:12">
      <c r="A330" s="162"/>
      <c r="B330" s="162"/>
      <c r="C330" s="162"/>
      <c r="D330" s="162"/>
      <c r="E330" s="162"/>
      <c r="F330" s="162"/>
      <c r="G330" s="162"/>
      <c r="H330" s="162"/>
      <c r="I330" s="162"/>
      <c r="J330" s="162"/>
      <c r="K330" s="162"/>
      <c r="L330" s="162"/>
    </row>
    <row r="331" spans="1:12">
      <c r="A331" s="162"/>
      <c r="B331" s="162"/>
      <c r="C331" s="162"/>
      <c r="D331" s="162"/>
      <c r="E331" s="162"/>
      <c r="F331" s="162"/>
      <c r="G331" s="162"/>
      <c r="H331" s="162"/>
      <c r="I331" s="162"/>
      <c r="J331" s="162"/>
      <c r="K331" s="162"/>
      <c r="L331" s="162"/>
    </row>
    <row r="332" spans="1:12">
      <c r="A332" s="162"/>
      <c r="B332" s="162"/>
      <c r="C332" s="162"/>
      <c r="D332" s="162"/>
      <c r="E332" s="162"/>
      <c r="F332" s="162"/>
      <c r="G332" s="162"/>
      <c r="H332" s="162"/>
      <c r="I332" s="162"/>
      <c r="J332" s="162"/>
      <c r="K332" s="162"/>
      <c r="L332" s="162"/>
    </row>
    <row r="333" spans="1:12">
      <c r="A333" s="162"/>
      <c r="B333" s="162"/>
      <c r="C333" s="162"/>
      <c r="D333" s="162"/>
      <c r="E333" s="162"/>
      <c r="F333" s="162"/>
      <c r="G333" s="162"/>
      <c r="H333" s="162"/>
      <c r="I333" s="162"/>
      <c r="J333" s="162"/>
      <c r="K333" s="162"/>
      <c r="L333" s="162"/>
    </row>
    <row r="334" spans="1:12">
      <c r="A334" s="162"/>
      <c r="B334" s="162"/>
      <c r="C334" s="162"/>
      <c r="D334" s="162"/>
      <c r="E334" s="162"/>
      <c r="F334" s="162"/>
      <c r="G334" s="162"/>
      <c r="H334" s="162"/>
      <c r="I334" s="162"/>
      <c r="J334" s="162"/>
      <c r="K334" s="162"/>
      <c r="L334" s="162"/>
    </row>
    <row r="335" spans="1:12">
      <c r="A335" s="162"/>
      <c r="B335" s="162"/>
      <c r="C335" s="162"/>
      <c r="D335" s="162"/>
      <c r="E335" s="162"/>
      <c r="F335" s="162"/>
      <c r="G335" s="162"/>
      <c r="H335" s="162"/>
      <c r="I335" s="162"/>
      <c r="J335" s="162"/>
      <c r="K335" s="162"/>
      <c r="L335" s="162"/>
    </row>
    <row r="336" spans="1:12">
      <c r="A336" s="162"/>
      <c r="B336" s="162"/>
      <c r="C336" s="162"/>
      <c r="D336" s="162"/>
      <c r="E336" s="162"/>
      <c r="F336" s="162"/>
      <c r="G336" s="162"/>
      <c r="H336" s="162"/>
      <c r="I336" s="162"/>
      <c r="J336" s="162"/>
      <c r="K336" s="162"/>
      <c r="L336" s="162"/>
    </row>
    <row r="337" spans="1:12">
      <c r="A337" s="162"/>
      <c r="B337" s="162"/>
      <c r="C337" s="162"/>
      <c r="D337" s="162"/>
      <c r="E337" s="162"/>
      <c r="F337" s="162"/>
      <c r="G337" s="162"/>
      <c r="H337" s="162"/>
      <c r="I337" s="162"/>
      <c r="J337" s="162"/>
      <c r="K337" s="162"/>
      <c r="L337" s="162"/>
    </row>
    <row r="338" spans="1:12">
      <c r="A338" s="162"/>
      <c r="B338" s="162"/>
      <c r="C338" s="162"/>
      <c r="D338" s="162"/>
      <c r="E338" s="162"/>
      <c r="F338" s="162"/>
      <c r="G338" s="162"/>
      <c r="H338" s="162"/>
      <c r="I338" s="162"/>
      <c r="J338" s="162"/>
      <c r="K338" s="162"/>
      <c r="L338" s="162"/>
    </row>
    <row r="339" spans="1:12">
      <c r="A339" s="162"/>
      <c r="B339" s="162"/>
      <c r="C339" s="162"/>
      <c r="D339" s="162"/>
      <c r="E339" s="162"/>
      <c r="F339" s="162"/>
      <c r="G339" s="162"/>
      <c r="H339" s="162"/>
      <c r="I339" s="162"/>
      <c r="J339" s="162"/>
      <c r="K339" s="162"/>
      <c r="L339" s="162"/>
    </row>
    <row r="340" spans="1:12">
      <c r="A340" s="162"/>
      <c r="B340" s="162"/>
      <c r="C340" s="162"/>
      <c r="D340" s="162"/>
      <c r="E340" s="162"/>
      <c r="F340" s="162"/>
      <c r="G340" s="162"/>
      <c r="H340" s="162"/>
      <c r="I340" s="162"/>
      <c r="J340" s="162"/>
      <c r="K340" s="162"/>
      <c r="L340" s="162"/>
    </row>
    <row r="341" spans="1:12">
      <c r="A341" s="162"/>
      <c r="B341" s="162"/>
      <c r="C341" s="162"/>
      <c r="D341" s="162"/>
      <c r="E341" s="162"/>
      <c r="F341" s="162"/>
      <c r="G341" s="162"/>
      <c r="H341" s="162"/>
      <c r="I341" s="162"/>
      <c r="J341" s="162"/>
      <c r="K341" s="162"/>
      <c r="L341" s="162"/>
    </row>
    <row r="342" spans="1:12">
      <c r="A342" s="162"/>
      <c r="B342" s="162"/>
      <c r="C342" s="162"/>
      <c r="D342" s="162"/>
      <c r="E342" s="162"/>
      <c r="F342" s="162"/>
      <c r="G342" s="162"/>
      <c r="H342" s="162"/>
      <c r="I342" s="162"/>
      <c r="J342" s="162"/>
      <c r="K342" s="162"/>
      <c r="L342" s="162"/>
    </row>
    <row r="343" spans="1:12">
      <c r="A343" s="162"/>
      <c r="B343" s="162"/>
      <c r="C343" s="162"/>
      <c r="D343" s="162"/>
      <c r="E343" s="162"/>
      <c r="F343" s="162"/>
      <c r="G343" s="162"/>
      <c r="H343" s="162"/>
      <c r="I343" s="162"/>
      <c r="J343" s="162"/>
      <c r="K343" s="162"/>
      <c r="L343" s="162"/>
    </row>
    <row r="344" spans="1:12">
      <c r="A344" s="162"/>
      <c r="B344" s="162"/>
      <c r="C344" s="162"/>
      <c r="D344" s="162"/>
      <c r="E344" s="162"/>
      <c r="F344" s="162"/>
      <c r="G344" s="162"/>
      <c r="H344" s="162"/>
      <c r="I344" s="162"/>
      <c r="J344" s="162"/>
      <c r="K344" s="162"/>
      <c r="L344" s="162"/>
    </row>
    <row r="345" spans="1:12">
      <c r="A345" s="162"/>
      <c r="B345" s="162"/>
      <c r="C345" s="162"/>
      <c r="D345" s="162"/>
      <c r="E345" s="162"/>
      <c r="F345" s="162"/>
      <c r="G345" s="162"/>
      <c r="H345" s="162"/>
      <c r="I345" s="162"/>
      <c r="J345" s="162"/>
      <c r="K345" s="162"/>
      <c r="L345" s="162"/>
    </row>
    <row r="346" spans="1:12">
      <c r="A346" s="162"/>
      <c r="B346" s="162"/>
      <c r="C346" s="162"/>
      <c r="D346" s="162"/>
      <c r="E346" s="162"/>
      <c r="F346" s="162"/>
      <c r="G346" s="162"/>
      <c r="H346" s="162"/>
      <c r="I346" s="162"/>
      <c r="J346" s="162"/>
      <c r="K346" s="162"/>
      <c r="L346" s="162"/>
    </row>
    <row r="347" spans="1:12">
      <c r="A347" s="162"/>
      <c r="B347" s="162"/>
      <c r="C347" s="162"/>
      <c r="D347" s="162"/>
      <c r="E347" s="162"/>
      <c r="F347" s="162"/>
      <c r="G347" s="162"/>
      <c r="H347" s="162"/>
      <c r="I347" s="162"/>
      <c r="J347" s="162"/>
      <c r="K347" s="162"/>
      <c r="L347" s="162"/>
    </row>
    <row r="348" spans="1:12">
      <c r="A348" s="162"/>
      <c r="B348" s="162"/>
      <c r="C348" s="162"/>
      <c r="D348" s="162"/>
      <c r="E348" s="162"/>
      <c r="F348" s="162"/>
      <c r="G348" s="162"/>
      <c r="H348" s="162"/>
      <c r="I348" s="162"/>
      <c r="J348" s="162"/>
      <c r="K348" s="162"/>
      <c r="L348" s="162"/>
    </row>
    <row r="349" spans="1:12">
      <c r="A349" s="162"/>
      <c r="B349" s="162"/>
      <c r="C349" s="162"/>
      <c r="D349" s="162"/>
      <c r="E349" s="162"/>
      <c r="F349" s="162"/>
      <c r="G349" s="162"/>
      <c r="H349" s="162"/>
      <c r="I349" s="162"/>
      <c r="J349" s="162"/>
      <c r="K349" s="162"/>
      <c r="L349" s="162"/>
    </row>
    <row r="350" spans="1:12">
      <c r="A350" s="162"/>
      <c r="B350" s="162"/>
      <c r="C350" s="162"/>
      <c r="D350" s="162"/>
      <c r="E350" s="162"/>
      <c r="F350" s="162"/>
      <c r="G350" s="162"/>
      <c r="H350" s="162"/>
      <c r="I350" s="162"/>
      <c r="J350" s="162"/>
      <c r="K350" s="162"/>
      <c r="L350" s="162"/>
    </row>
    <row r="351" spans="1:12">
      <c r="A351" s="162"/>
      <c r="B351" s="162"/>
      <c r="C351" s="162"/>
      <c r="D351" s="162"/>
      <c r="E351" s="162"/>
      <c r="F351" s="162"/>
      <c r="G351" s="162"/>
      <c r="H351" s="162"/>
      <c r="I351" s="162"/>
      <c r="J351" s="162"/>
      <c r="K351" s="162"/>
      <c r="L351" s="162"/>
    </row>
    <row r="352" spans="1:12">
      <c r="A352" s="162"/>
      <c r="B352" s="162"/>
      <c r="C352" s="162"/>
      <c r="D352" s="162"/>
      <c r="E352" s="162"/>
      <c r="F352" s="162"/>
      <c r="G352" s="162"/>
      <c r="H352" s="162"/>
      <c r="I352" s="162"/>
      <c r="J352" s="162"/>
      <c r="K352" s="162"/>
      <c r="L352" s="162"/>
    </row>
    <row r="353" spans="1:12">
      <c r="A353" s="162"/>
      <c r="B353" s="162"/>
      <c r="C353" s="162"/>
      <c r="D353" s="162"/>
      <c r="E353" s="162"/>
      <c r="F353" s="162"/>
      <c r="G353" s="162"/>
      <c r="H353" s="162"/>
      <c r="I353" s="162"/>
      <c r="J353" s="162"/>
      <c r="K353" s="162"/>
      <c r="L353" s="162"/>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366"/>
  <sheetViews>
    <sheetView zoomScaleNormal="100" workbookViewId="0">
      <pane ySplit="9" topLeftCell="A10" activePane="bottomLeft" state="frozen"/>
      <selection pane="bottomLeft" activeCell="Q29" sqref="Q29"/>
    </sheetView>
  </sheetViews>
  <sheetFormatPr baseColWidth="10" defaultColWidth="8.83203125" defaultRowHeight="14" outlineLevelRow="1"/>
  <cols>
    <col min="1" max="1" width="6.5" style="41" customWidth="1"/>
    <col min="2" max="2" width="18.5" style="27" customWidth="1"/>
    <col min="3" max="3" width="4.1640625" style="198" customWidth="1"/>
    <col min="4" max="4" width="3.5" style="199" customWidth="1"/>
    <col min="5" max="6" width="7.6640625" style="27" customWidth="1"/>
    <col min="7" max="7" width="8.5" style="27" customWidth="1"/>
    <col min="8" max="8" width="9.5" style="27" bestFit="1" customWidth="1"/>
    <col min="9" max="9" width="8.6640625" style="27" customWidth="1"/>
    <col min="10" max="11" width="7.6640625" style="27" customWidth="1"/>
    <col min="12" max="12" width="8.5" style="27" customWidth="1"/>
    <col min="13" max="16384" width="8.83203125" style="27"/>
  </cols>
  <sheetData>
    <row r="1" spans="1:19" ht="20" thickBot="1">
      <c r="E1" s="273" t="s">
        <v>1132</v>
      </c>
      <c r="F1" s="273"/>
      <c r="G1" s="273"/>
      <c r="H1" s="273"/>
      <c r="I1" s="273"/>
      <c r="J1" s="273"/>
      <c r="K1" s="273"/>
      <c r="L1" s="273"/>
      <c r="M1" s="273"/>
      <c r="N1" s="273"/>
    </row>
    <row r="2" spans="1:19" ht="3.75" customHeight="1">
      <c r="E2" s="200"/>
      <c r="F2" s="200"/>
      <c r="G2" s="200"/>
    </row>
    <row r="3" spans="1:19">
      <c r="G3" s="201" t="s">
        <v>749</v>
      </c>
      <c r="H3" s="202">
        <f>CntPeriod/RegDagar</f>
        <v>695.28571428571433</v>
      </c>
      <c r="J3" s="203" t="s">
        <v>750</v>
      </c>
      <c r="K3" s="204">
        <v>21</v>
      </c>
      <c r="L3" s="204"/>
    </row>
    <row r="4" spans="1:19">
      <c r="G4" s="201" t="s">
        <v>751</v>
      </c>
      <c r="H4" s="203">
        <f>CntPeriod</f>
        <v>14601</v>
      </c>
      <c r="J4" s="203"/>
      <c r="K4" s="203"/>
      <c r="L4" s="203"/>
      <c r="M4" s="203"/>
    </row>
    <row r="5" spans="1:19" ht="13.25" customHeight="1">
      <c r="B5" s="203"/>
      <c r="C5" s="205"/>
      <c r="E5" s="206"/>
      <c r="F5" s="203"/>
      <c r="G5" s="203"/>
      <c r="H5" s="203"/>
      <c r="I5" s="203"/>
      <c r="J5" s="203"/>
      <c r="K5" s="203"/>
      <c r="L5" s="203"/>
    </row>
    <row r="6" spans="1:19">
      <c r="E6" s="274" t="s">
        <v>752</v>
      </c>
      <c r="F6" s="275"/>
      <c r="G6" s="275"/>
      <c r="H6" s="275"/>
      <c r="I6" s="276"/>
      <c r="J6" s="274" t="s">
        <v>753</v>
      </c>
      <c r="K6" s="275"/>
      <c r="L6" s="275"/>
      <c r="M6" s="275"/>
      <c r="N6" s="276"/>
      <c r="R6" s="207"/>
      <c r="S6" s="207"/>
    </row>
    <row r="7" spans="1:19">
      <c r="A7" s="256" t="s">
        <v>754</v>
      </c>
      <c r="B7" s="256"/>
      <c r="C7" s="256"/>
      <c r="D7" s="263"/>
      <c r="E7" s="264" t="s">
        <v>1133</v>
      </c>
      <c r="F7" s="265"/>
      <c r="G7" s="265"/>
      <c r="H7" s="265"/>
      <c r="I7" s="266"/>
      <c r="J7" s="267" t="s">
        <v>755</v>
      </c>
      <c r="K7" s="268"/>
      <c r="L7" s="268"/>
      <c r="M7" s="268"/>
      <c r="N7" s="269"/>
    </row>
    <row r="8" spans="1:19" ht="13.25" customHeight="1">
      <c r="A8" s="208" t="s">
        <v>756</v>
      </c>
      <c r="E8" s="270" t="s">
        <v>757</v>
      </c>
      <c r="F8" s="271"/>
      <c r="G8" s="254" t="s">
        <v>758</v>
      </c>
      <c r="H8" s="270" t="s">
        <v>573</v>
      </c>
      <c r="I8" s="272"/>
      <c r="J8" s="270" t="s">
        <v>757</v>
      </c>
      <c r="K8" s="271"/>
      <c r="L8" s="254" t="s">
        <v>758</v>
      </c>
      <c r="M8" s="270" t="s">
        <v>573</v>
      </c>
      <c r="N8" s="272"/>
    </row>
    <row r="9" spans="1:19">
      <c r="A9" s="208" t="s">
        <v>759</v>
      </c>
      <c r="B9" s="207" t="s">
        <v>484</v>
      </c>
      <c r="C9" s="209"/>
      <c r="E9" s="210">
        <v>2023</v>
      </c>
      <c r="F9" s="211">
        <v>2022</v>
      </c>
      <c r="G9" s="212" t="s">
        <v>760</v>
      </c>
      <c r="H9" s="211">
        <v>2023</v>
      </c>
      <c r="I9" s="213">
        <v>2022</v>
      </c>
      <c r="J9" s="210">
        <v>2023</v>
      </c>
      <c r="K9" s="211">
        <v>2022</v>
      </c>
      <c r="L9" s="212" t="s">
        <v>760</v>
      </c>
      <c r="M9" s="211">
        <v>2023</v>
      </c>
      <c r="N9" s="213">
        <v>2022</v>
      </c>
    </row>
    <row r="10" spans="1:19" collapsed="1">
      <c r="A10" s="208" t="s">
        <v>761</v>
      </c>
      <c r="B10" s="207" t="s">
        <v>308</v>
      </c>
      <c r="C10" s="214">
        <f t="shared" ref="C10:C73" si="0">IF(K10=0,"",SUM(((J10-K10)/K10)*100))</f>
        <v>-18.677774791722655</v>
      </c>
      <c r="E10" s="210">
        <v>3026</v>
      </c>
      <c r="F10" s="211">
        <v>3721</v>
      </c>
      <c r="G10" s="215">
        <f t="shared" ref="G10:G73" si="1">IF(F10=0,"",SUM(((E10-F10)/F10)*100))</f>
        <v>-18.677774791722655</v>
      </c>
      <c r="H10" s="216">
        <f t="shared" ref="H10:H73" si="2">IF(E10=0,"",SUM((E10/CntPeriod)*100))</f>
        <v>20.724607903568248</v>
      </c>
      <c r="I10" s="216">
        <f t="shared" ref="I10:I73" si="3">IF(F10=0,"",SUM((F10/CntPeriodPrevYear)*100))</f>
        <v>18.70507213592721</v>
      </c>
      <c r="J10" s="210">
        <v>3026</v>
      </c>
      <c r="K10" s="211">
        <v>3721</v>
      </c>
      <c r="L10" s="215">
        <f t="shared" ref="L10:L73" si="4">IF(K10=0,"",SUM(((J10-K10)/K10)*100))</f>
        <v>-18.677774791722655</v>
      </c>
      <c r="M10" s="216">
        <f t="shared" ref="M10:M73" si="5">IF(J10=0,"",SUM((J10/CntYearAck)*100))</f>
        <v>20.724607903568248</v>
      </c>
      <c r="N10" s="217">
        <f t="shared" ref="N10:N73" si="6">IF(K10=0,"",SUM((K10/CntPrevYearAck)*100))</f>
        <v>18.70507213592721</v>
      </c>
    </row>
    <row r="11" spans="1:19" hidden="1" outlineLevel="1">
      <c r="A11" s="208"/>
      <c r="B11" s="218" t="s">
        <v>762</v>
      </c>
      <c r="C11" s="214">
        <f t="shared" si="0"/>
        <v>-34.907749077490777</v>
      </c>
      <c r="E11" s="210">
        <v>882</v>
      </c>
      <c r="F11" s="211">
        <v>1355</v>
      </c>
      <c r="G11" s="219">
        <f t="shared" si="1"/>
        <v>-34.907749077490777</v>
      </c>
      <c r="H11" s="216">
        <f t="shared" si="2"/>
        <v>6.0406821450585575</v>
      </c>
      <c r="I11" s="216">
        <f t="shared" si="3"/>
        <v>6.8114412104760467</v>
      </c>
      <c r="J11" s="210">
        <v>882</v>
      </c>
      <c r="K11" s="211">
        <v>1355</v>
      </c>
      <c r="L11" s="219">
        <f t="shared" si="4"/>
        <v>-34.907749077490777</v>
      </c>
      <c r="M11" s="216">
        <f t="shared" si="5"/>
        <v>6.0406821450585575</v>
      </c>
      <c r="N11" s="217">
        <f t="shared" si="6"/>
        <v>6.8114412104760467</v>
      </c>
    </row>
    <row r="12" spans="1:19" hidden="1" outlineLevel="1">
      <c r="A12" s="208"/>
      <c r="B12" s="218" t="s">
        <v>763</v>
      </c>
      <c r="C12" s="214">
        <f t="shared" si="0"/>
        <v>-10.407239819004525</v>
      </c>
      <c r="E12" s="210">
        <v>792</v>
      </c>
      <c r="F12" s="211">
        <v>884</v>
      </c>
      <c r="G12" s="219">
        <f t="shared" si="1"/>
        <v>-10.407239819004525</v>
      </c>
      <c r="H12" s="216">
        <f t="shared" si="2"/>
        <v>5.4242860078076847</v>
      </c>
      <c r="I12" s="216">
        <f t="shared" si="3"/>
        <v>4.4437741919268081</v>
      </c>
      <c r="J12" s="210">
        <v>792</v>
      </c>
      <c r="K12" s="211">
        <v>884</v>
      </c>
      <c r="L12" s="219">
        <f t="shared" si="4"/>
        <v>-10.407239819004525</v>
      </c>
      <c r="M12" s="216">
        <f t="shared" si="5"/>
        <v>5.4242860078076847</v>
      </c>
      <c r="N12" s="217">
        <f t="shared" si="6"/>
        <v>4.4437741919268081</v>
      </c>
    </row>
    <row r="13" spans="1:19" hidden="1" outlineLevel="1">
      <c r="A13" s="208"/>
      <c r="B13" s="218" t="s">
        <v>764</v>
      </c>
      <c r="C13" s="214">
        <f t="shared" si="0"/>
        <v>-22.732626619552416</v>
      </c>
      <c r="E13" s="210">
        <v>656</v>
      </c>
      <c r="F13" s="211">
        <v>849</v>
      </c>
      <c r="G13" s="219">
        <f t="shared" si="1"/>
        <v>-22.732626619552416</v>
      </c>
      <c r="H13" s="216">
        <f t="shared" si="2"/>
        <v>4.4928429559619207</v>
      </c>
      <c r="I13" s="216">
        <f t="shared" si="3"/>
        <v>4.2678329060473539</v>
      </c>
      <c r="J13" s="210">
        <v>656</v>
      </c>
      <c r="K13" s="211">
        <v>849</v>
      </c>
      <c r="L13" s="219">
        <f t="shared" si="4"/>
        <v>-22.732626619552416</v>
      </c>
      <c r="M13" s="216">
        <f t="shared" si="5"/>
        <v>4.4928429559619207</v>
      </c>
      <c r="N13" s="217">
        <f t="shared" si="6"/>
        <v>4.2678329060473539</v>
      </c>
    </row>
    <row r="14" spans="1:19" hidden="1" outlineLevel="1">
      <c r="A14" s="208"/>
      <c r="B14" s="218" t="s">
        <v>767</v>
      </c>
      <c r="C14" s="214">
        <f t="shared" si="0"/>
        <v>455.22388059701495</v>
      </c>
      <c r="E14" s="210">
        <v>372</v>
      </c>
      <c r="F14" s="211">
        <v>67</v>
      </c>
      <c r="G14" s="219">
        <f t="shared" si="1"/>
        <v>455.22388059701495</v>
      </c>
      <c r="H14" s="216">
        <f t="shared" si="2"/>
        <v>2.547770700636943</v>
      </c>
      <c r="I14" s="216">
        <f t="shared" si="3"/>
        <v>0.33680189011209971</v>
      </c>
      <c r="J14" s="210">
        <v>372</v>
      </c>
      <c r="K14" s="211">
        <v>67</v>
      </c>
      <c r="L14" s="219">
        <f t="shared" si="4"/>
        <v>455.22388059701495</v>
      </c>
      <c r="M14" s="216">
        <f t="shared" si="5"/>
        <v>2.547770700636943</v>
      </c>
      <c r="N14" s="217">
        <f t="shared" si="6"/>
        <v>0.33680189011209971</v>
      </c>
    </row>
    <row r="15" spans="1:19" hidden="1" outlineLevel="1">
      <c r="A15" s="208"/>
      <c r="B15" s="218" t="s">
        <v>766</v>
      </c>
      <c r="C15" s="214">
        <f t="shared" si="0"/>
        <v>-19.270833333333336</v>
      </c>
      <c r="E15" s="210">
        <v>155</v>
      </c>
      <c r="F15" s="211">
        <v>192</v>
      </c>
      <c r="G15" s="219">
        <f t="shared" si="1"/>
        <v>-19.270833333333336</v>
      </c>
      <c r="H15" s="216">
        <f t="shared" si="2"/>
        <v>1.0615711252653928</v>
      </c>
      <c r="I15" s="216">
        <f t="shared" si="3"/>
        <v>0.96516362539586786</v>
      </c>
      <c r="J15" s="210">
        <v>155</v>
      </c>
      <c r="K15" s="211">
        <v>192</v>
      </c>
      <c r="L15" s="219">
        <f t="shared" si="4"/>
        <v>-19.270833333333336</v>
      </c>
      <c r="M15" s="216">
        <f t="shared" si="5"/>
        <v>1.0615711252653928</v>
      </c>
      <c r="N15" s="217">
        <f t="shared" si="6"/>
        <v>0.96516362539586786</v>
      </c>
    </row>
    <row r="16" spans="1:19" hidden="1" outlineLevel="1">
      <c r="A16" s="208"/>
      <c r="B16" s="218" t="s">
        <v>765</v>
      </c>
      <c r="C16" s="214">
        <f t="shared" si="0"/>
        <v>-56.81818181818182</v>
      </c>
      <c r="E16" s="210">
        <v>152</v>
      </c>
      <c r="F16" s="211">
        <v>352</v>
      </c>
      <c r="G16" s="219">
        <f t="shared" si="1"/>
        <v>-56.81818181818182</v>
      </c>
      <c r="H16" s="216">
        <f t="shared" si="2"/>
        <v>1.0410245873570303</v>
      </c>
      <c r="I16" s="216">
        <f t="shared" si="3"/>
        <v>1.7694666465590911</v>
      </c>
      <c r="J16" s="210">
        <v>152</v>
      </c>
      <c r="K16" s="211">
        <v>352</v>
      </c>
      <c r="L16" s="219">
        <f t="shared" si="4"/>
        <v>-56.81818181818182</v>
      </c>
      <c r="M16" s="216">
        <f t="shared" si="5"/>
        <v>1.0410245873570303</v>
      </c>
      <c r="N16" s="217">
        <f t="shared" si="6"/>
        <v>1.7694666465590911</v>
      </c>
    </row>
    <row r="17" spans="1:14" hidden="1" outlineLevel="1">
      <c r="A17" s="208"/>
      <c r="B17" s="218" t="s">
        <v>768</v>
      </c>
      <c r="C17" s="214">
        <f t="shared" si="0"/>
        <v>-22.727272727272727</v>
      </c>
      <c r="E17" s="210">
        <v>17</v>
      </c>
      <c r="F17" s="211">
        <v>22</v>
      </c>
      <c r="G17" s="219">
        <f t="shared" si="1"/>
        <v>-22.727272727272727</v>
      </c>
      <c r="H17" s="216">
        <f t="shared" si="2"/>
        <v>0.1164303814807205</v>
      </c>
      <c r="I17" s="216">
        <f t="shared" si="3"/>
        <v>0.1105916654099432</v>
      </c>
      <c r="J17" s="210">
        <v>17</v>
      </c>
      <c r="K17" s="211">
        <v>22</v>
      </c>
      <c r="L17" s="219">
        <f t="shared" si="4"/>
        <v>-22.727272727272727</v>
      </c>
      <c r="M17" s="216">
        <f t="shared" si="5"/>
        <v>0.1164303814807205</v>
      </c>
      <c r="N17" s="217">
        <f t="shared" si="6"/>
        <v>0.1105916654099432</v>
      </c>
    </row>
    <row r="18" spans="1:14" collapsed="1">
      <c r="A18" s="208" t="s">
        <v>1036</v>
      </c>
      <c r="B18" s="207" t="s">
        <v>286</v>
      </c>
      <c r="C18" s="214">
        <f t="shared" si="0"/>
        <v>-47.683056243367531</v>
      </c>
      <c r="E18" s="210">
        <v>1479</v>
      </c>
      <c r="F18" s="211">
        <v>2827</v>
      </c>
      <c r="G18" s="219">
        <f t="shared" si="1"/>
        <v>-47.683056243367531</v>
      </c>
      <c r="H18" s="216">
        <f t="shared" si="2"/>
        <v>10.129443188822682</v>
      </c>
      <c r="I18" s="216">
        <f t="shared" si="3"/>
        <v>14.2110290051777</v>
      </c>
      <c r="J18" s="210">
        <v>1479</v>
      </c>
      <c r="K18" s="211">
        <v>2827</v>
      </c>
      <c r="L18" s="219">
        <f t="shared" si="4"/>
        <v>-47.683056243367531</v>
      </c>
      <c r="M18" s="216">
        <f t="shared" si="5"/>
        <v>10.129443188822682</v>
      </c>
      <c r="N18" s="217">
        <f t="shared" si="6"/>
        <v>14.2110290051777</v>
      </c>
    </row>
    <row r="19" spans="1:14" hidden="1" outlineLevel="1">
      <c r="A19" s="208"/>
      <c r="B19" s="218" t="s">
        <v>772</v>
      </c>
      <c r="C19" s="214">
        <f t="shared" si="0"/>
        <v>45.051194539249146</v>
      </c>
      <c r="E19" s="210">
        <v>425</v>
      </c>
      <c r="F19" s="211">
        <v>293</v>
      </c>
      <c r="G19" s="219">
        <f t="shared" si="1"/>
        <v>45.051194539249146</v>
      </c>
      <c r="H19" s="216">
        <f t="shared" si="2"/>
        <v>2.9107595370180128</v>
      </c>
      <c r="I19" s="216">
        <f t="shared" si="3"/>
        <v>1.4728799075051526</v>
      </c>
      <c r="J19" s="210">
        <v>425</v>
      </c>
      <c r="K19" s="211">
        <v>293</v>
      </c>
      <c r="L19" s="219">
        <f t="shared" si="4"/>
        <v>45.051194539249146</v>
      </c>
      <c r="M19" s="216">
        <f t="shared" si="5"/>
        <v>2.9107595370180128</v>
      </c>
      <c r="N19" s="217">
        <f t="shared" si="6"/>
        <v>1.4728799075051526</v>
      </c>
    </row>
    <row r="20" spans="1:14" hidden="1" outlineLevel="1">
      <c r="A20" s="208"/>
      <c r="B20" s="218" t="s">
        <v>771</v>
      </c>
      <c r="C20" s="214">
        <f t="shared" si="0"/>
        <v>3266.6666666666665</v>
      </c>
      <c r="E20" s="210">
        <v>303</v>
      </c>
      <c r="F20" s="211">
        <v>9</v>
      </c>
      <c r="G20" s="219">
        <f t="shared" si="1"/>
        <v>3266.6666666666665</v>
      </c>
      <c r="H20" s="216">
        <f t="shared" si="2"/>
        <v>2.0752003287446064</v>
      </c>
      <c r="I20" s="216">
        <f t="shared" si="3"/>
        <v>4.5242044940431304E-2</v>
      </c>
      <c r="J20" s="210">
        <v>303</v>
      </c>
      <c r="K20" s="211">
        <v>9</v>
      </c>
      <c r="L20" s="219">
        <f t="shared" si="4"/>
        <v>3266.6666666666665</v>
      </c>
      <c r="M20" s="216">
        <f t="shared" si="5"/>
        <v>2.0752003287446064</v>
      </c>
      <c r="N20" s="217">
        <f t="shared" si="6"/>
        <v>4.5242044940431304E-2</v>
      </c>
    </row>
    <row r="21" spans="1:14" hidden="1" outlineLevel="1">
      <c r="A21" s="208"/>
      <c r="B21" s="218" t="s">
        <v>769</v>
      </c>
      <c r="C21" s="214">
        <f t="shared" si="0"/>
        <v>-76.923076923076934</v>
      </c>
      <c r="E21" s="210">
        <v>297</v>
      </c>
      <c r="F21" s="211">
        <v>1287</v>
      </c>
      <c r="G21" s="219">
        <f t="shared" si="1"/>
        <v>-76.923076923076934</v>
      </c>
      <c r="H21" s="216">
        <f t="shared" si="2"/>
        <v>2.0341072529278819</v>
      </c>
      <c r="I21" s="216">
        <f t="shared" si="3"/>
        <v>6.4696124264816772</v>
      </c>
      <c r="J21" s="210">
        <v>297</v>
      </c>
      <c r="K21" s="211">
        <v>1287</v>
      </c>
      <c r="L21" s="219">
        <f t="shared" si="4"/>
        <v>-76.923076923076934</v>
      </c>
      <c r="M21" s="216">
        <f t="shared" si="5"/>
        <v>2.0341072529278819</v>
      </c>
      <c r="N21" s="217">
        <f t="shared" si="6"/>
        <v>6.4696124264816772</v>
      </c>
    </row>
    <row r="22" spans="1:14" hidden="1" outlineLevel="1">
      <c r="A22" s="208"/>
      <c r="B22" s="218" t="s">
        <v>770</v>
      </c>
      <c r="C22" s="214">
        <f t="shared" si="0"/>
        <v>-60.442600276625171</v>
      </c>
      <c r="E22" s="210">
        <v>286</v>
      </c>
      <c r="F22" s="211">
        <v>723</v>
      </c>
      <c r="G22" s="219">
        <f t="shared" si="1"/>
        <v>-60.442600276625171</v>
      </c>
      <c r="H22" s="216">
        <f t="shared" si="2"/>
        <v>1.9587699472638858</v>
      </c>
      <c r="I22" s="216">
        <f t="shared" si="3"/>
        <v>3.634444276881315</v>
      </c>
      <c r="J22" s="210">
        <v>286</v>
      </c>
      <c r="K22" s="211">
        <v>723</v>
      </c>
      <c r="L22" s="219">
        <f t="shared" si="4"/>
        <v>-60.442600276625171</v>
      </c>
      <c r="M22" s="216">
        <f t="shared" si="5"/>
        <v>1.9587699472638858</v>
      </c>
      <c r="N22" s="217">
        <f t="shared" si="6"/>
        <v>3.634444276881315</v>
      </c>
    </row>
    <row r="23" spans="1:14" hidden="1" outlineLevel="1">
      <c r="A23" s="208"/>
      <c r="B23" s="218" t="s">
        <v>775</v>
      </c>
      <c r="C23" s="214">
        <f t="shared" si="0"/>
        <v>-30.693069306930692</v>
      </c>
      <c r="E23" s="210">
        <v>70</v>
      </c>
      <c r="F23" s="211">
        <v>101</v>
      </c>
      <c r="G23" s="219">
        <f t="shared" si="1"/>
        <v>-30.693069306930692</v>
      </c>
      <c r="H23" s="216">
        <f t="shared" si="2"/>
        <v>0.47941921786179026</v>
      </c>
      <c r="I23" s="216">
        <f t="shared" si="3"/>
        <v>0.50771628210928466</v>
      </c>
      <c r="J23" s="210">
        <v>70</v>
      </c>
      <c r="K23" s="211">
        <v>101</v>
      </c>
      <c r="L23" s="219">
        <f t="shared" si="4"/>
        <v>-30.693069306930692</v>
      </c>
      <c r="M23" s="216">
        <f t="shared" si="5"/>
        <v>0.47941921786179026</v>
      </c>
      <c r="N23" s="217">
        <f t="shared" si="6"/>
        <v>0.50771628210928466</v>
      </c>
    </row>
    <row r="24" spans="1:14" hidden="1" outlineLevel="1">
      <c r="A24" s="208"/>
      <c r="B24" s="218" t="s">
        <v>774</v>
      </c>
      <c r="C24" s="214">
        <f t="shared" si="0"/>
        <v>-17.1875</v>
      </c>
      <c r="E24" s="210">
        <v>53</v>
      </c>
      <c r="F24" s="211">
        <v>64</v>
      </c>
      <c r="G24" s="219">
        <f t="shared" si="1"/>
        <v>-17.1875</v>
      </c>
      <c r="H24" s="216">
        <f t="shared" si="2"/>
        <v>0.36298883638106982</v>
      </c>
      <c r="I24" s="216">
        <f t="shared" si="3"/>
        <v>0.32172120846528929</v>
      </c>
      <c r="J24" s="210">
        <v>53</v>
      </c>
      <c r="K24" s="211">
        <v>64</v>
      </c>
      <c r="L24" s="219">
        <f t="shared" si="4"/>
        <v>-17.1875</v>
      </c>
      <c r="M24" s="216">
        <f t="shared" si="5"/>
        <v>0.36298883638106982</v>
      </c>
      <c r="N24" s="217">
        <f t="shared" si="6"/>
        <v>0.32172120846528929</v>
      </c>
    </row>
    <row r="25" spans="1:14" hidden="1" outlineLevel="1">
      <c r="A25" s="208"/>
      <c r="B25" s="218" t="s">
        <v>773</v>
      </c>
      <c r="C25" s="214">
        <f t="shared" si="0"/>
        <v>-88.571428571428569</v>
      </c>
      <c r="E25" s="210">
        <v>24</v>
      </c>
      <c r="F25" s="211">
        <v>210</v>
      </c>
      <c r="G25" s="219">
        <f t="shared" si="1"/>
        <v>-88.571428571428569</v>
      </c>
      <c r="H25" s="216">
        <f t="shared" si="2"/>
        <v>0.16437230326689953</v>
      </c>
      <c r="I25" s="216">
        <f t="shared" si="3"/>
        <v>1.0556477152767305</v>
      </c>
      <c r="J25" s="210">
        <v>24</v>
      </c>
      <c r="K25" s="211">
        <v>210</v>
      </c>
      <c r="L25" s="219">
        <f t="shared" si="4"/>
        <v>-88.571428571428569</v>
      </c>
      <c r="M25" s="216">
        <f t="shared" si="5"/>
        <v>0.16437230326689953</v>
      </c>
      <c r="N25" s="217">
        <f t="shared" si="6"/>
        <v>1.0556477152767305</v>
      </c>
    </row>
    <row r="26" spans="1:14" hidden="1" outlineLevel="1">
      <c r="A26" s="208"/>
      <c r="B26" s="218" t="s">
        <v>777</v>
      </c>
      <c r="C26" s="214">
        <f t="shared" si="0"/>
        <v>-82.35294117647058</v>
      </c>
      <c r="E26" s="210">
        <v>12</v>
      </c>
      <c r="F26" s="211">
        <v>68</v>
      </c>
      <c r="G26" s="219">
        <f t="shared" si="1"/>
        <v>-82.35294117647058</v>
      </c>
      <c r="H26" s="216">
        <f t="shared" si="2"/>
        <v>8.2186151633449764E-2</v>
      </c>
      <c r="I26" s="216">
        <f t="shared" si="3"/>
        <v>0.34182878399436989</v>
      </c>
      <c r="J26" s="210">
        <v>12</v>
      </c>
      <c r="K26" s="211">
        <v>68</v>
      </c>
      <c r="L26" s="219">
        <f t="shared" si="4"/>
        <v>-82.35294117647058</v>
      </c>
      <c r="M26" s="216">
        <f t="shared" si="5"/>
        <v>8.2186151633449764E-2</v>
      </c>
      <c r="N26" s="217">
        <f t="shared" si="6"/>
        <v>0.34182878399436989</v>
      </c>
    </row>
    <row r="27" spans="1:14" hidden="1" outlineLevel="1">
      <c r="A27" s="208"/>
      <c r="B27" s="218" t="s">
        <v>776</v>
      </c>
      <c r="C27" s="214">
        <f t="shared" si="0"/>
        <v>-87.323943661971825</v>
      </c>
      <c r="E27" s="210">
        <v>9</v>
      </c>
      <c r="F27" s="211">
        <v>71</v>
      </c>
      <c r="G27" s="219">
        <f t="shared" si="1"/>
        <v>-87.323943661971825</v>
      </c>
      <c r="H27" s="216">
        <f t="shared" si="2"/>
        <v>6.1639613725087326E-2</v>
      </c>
      <c r="I27" s="216">
        <f t="shared" si="3"/>
        <v>0.35690946564118031</v>
      </c>
      <c r="J27" s="210">
        <v>9</v>
      </c>
      <c r="K27" s="211">
        <v>71</v>
      </c>
      <c r="L27" s="219">
        <f t="shared" si="4"/>
        <v>-87.323943661971825</v>
      </c>
      <c r="M27" s="216">
        <f t="shared" si="5"/>
        <v>6.1639613725087326E-2</v>
      </c>
      <c r="N27" s="217">
        <f t="shared" si="6"/>
        <v>0.35690946564118031</v>
      </c>
    </row>
    <row r="28" spans="1:14" hidden="1" outlineLevel="1">
      <c r="A28" s="208"/>
      <c r="B28" s="218" t="s">
        <v>778</v>
      </c>
      <c r="C28" s="214">
        <f t="shared" si="0"/>
        <v>-100</v>
      </c>
      <c r="E28" s="210">
        <v>0</v>
      </c>
      <c r="F28" s="211">
        <v>1</v>
      </c>
      <c r="G28" s="219">
        <f t="shared" si="1"/>
        <v>-100</v>
      </c>
      <c r="H28" s="216" t="str">
        <f t="shared" si="2"/>
        <v/>
      </c>
      <c r="I28" s="216">
        <f t="shared" si="3"/>
        <v>5.0268938822701451E-3</v>
      </c>
      <c r="J28" s="210">
        <v>0</v>
      </c>
      <c r="K28" s="211">
        <v>1</v>
      </c>
      <c r="L28" s="219">
        <f t="shared" si="4"/>
        <v>-100</v>
      </c>
      <c r="M28" s="216" t="str">
        <f t="shared" si="5"/>
        <v/>
      </c>
      <c r="N28" s="217">
        <f t="shared" si="6"/>
        <v>5.0268938822701451E-3</v>
      </c>
    </row>
    <row r="29" spans="1:14" collapsed="1">
      <c r="A29" s="208" t="s">
        <v>1134</v>
      </c>
      <c r="B29" s="207" t="s">
        <v>306</v>
      </c>
      <c r="C29" s="214">
        <f t="shared" si="0"/>
        <v>-11.933904528763769</v>
      </c>
      <c r="E29" s="210">
        <v>1439</v>
      </c>
      <c r="F29" s="211">
        <v>1634</v>
      </c>
      <c r="G29" s="219">
        <f t="shared" si="1"/>
        <v>-11.933904528763769</v>
      </c>
      <c r="H29" s="216">
        <f t="shared" si="2"/>
        <v>9.8554893500445182</v>
      </c>
      <c r="I29" s="216">
        <f t="shared" si="3"/>
        <v>8.2139446036294164</v>
      </c>
      <c r="J29" s="210">
        <v>1439</v>
      </c>
      <c r="K29" s="211">
        <v>1634</v>
      </c>
      <c r="L29" s="219">
        <f t="shared" si="4"/>
        <v>-11.933904528763769</v>
      </c>
      <c r="M29" s="216">
        <f t="shared" si="5"/>
        <v>9.8554893500445182</v>
      </c>
      <c r="N29" s="217">
        <f t="shared" si="6"/>
        <v>8.2139446036294164</v>
      </c>
    </row>
    <row r="30" spans="1:14" hidden="1" outlineLevel="1">
      <c r="A30" s="208"/>
      <c r="B30" s="218" t="s">
        <v>1067</v>
      </c>
      <c r="C30" s="214" t="str">
        <f t="shared" si="0"/>
        <v/>
      </c>
      <c r="E30" s="210">
        <v>330</v>
      </c>
      <c r="F30" s="211">
        <v>0</v>
      </c>
      <c r="G30" s="219" t="str">
        <f t="shared" si="1"/>
        <v/>
      </c>
      <c r="H30" s="216">
        <f t="shared" si="2"/>
        <v>2.2601191699198684</v>
      </c>
      <c r="I30" s="216" t="str">
        <f t="shared" si="3"/>
        <v/>
      </c>
      <c r="J30" s="210">
        <v>330</v>
      </c>
      <c r="K30" s="211">
        <v>0</v>
      </c>
      <c r="L30" s="219" t="str">
        <f t="shared" si="4"/>
        <v/>
      </c>
      <c r="M30" s="216">
        <f t="shared" si="5"/>
        <v>2.2601191699198684</v>
      </c>
      <c r="N30" s="217" t="str">
        <f t="shared" si="6"/>
        <v/>
      </c>
    </row>
    <row r="31" spans="1:14" hidden="1" outlineLevel="1">
      <c r="A31" s="208"/>
      <c r="B31" s="218" t="s">
        <v>802</v>
      </c>
      <c r="C31" s="214">
        <f t="shared" si="0"/>
        <v>13.333333333333334</v>
      </c>
      <c r="E31" s="210">
        <v>306</v>
      </c>
      <c r="F31" s="211">
        <v>270</v>
      </c>
      <c r="G31" s="219">
        <f t="shared" si="1"/>
        <v>13.333333333333334</v>
      </c>
      <c r="H31" s="216">
        <f t="shared" si="2"/>
        <v>2.0957468666529691</v>
      </c>
      <c r="I31" s="216">
        <f t="shared" si="3"/>
        <v>1.3572613482129392</v>
      </c>
      <c r="J31" s="210">
        <v>306</v>
      </c>
      <c r="K31" s="211">
        <v>270</v>
      </c>
      <c r="L31" s="219">
        <f t="shared" si="4"/>
        <v>13.333333333333334</v>
      </c>
      <c r="M31" s="216">
        <f t="shared" si="5"/>
        <v>2.0957468666529691</v>
      </c>
      <c r="N31" s="217">
        <f t="shared" si="6"/>
        <v>1.3572613482129392</v>
      </c>
    </row>
    <row r="32" spans="1:14" hidden="1" outlineLevel="1">
      <c r="A32" s="208"/>
      <c r="B32" s="218" t="s">
        <v>798</v>
      </c>
      <c r="C32" s="214">
        <f t="shared" si="0"/>
        <v>-61.872909698996658</v>
      </c>
      <c r="E32" s="210">
        <v>228</v>
      </c>
      <c r="F32" s="211">
        <v>598</v>
      </c>
      <c r="G32" s="219">
        <f t="shared" si="1"/>
        <v>-61.872909698996658</v>
      </c>
      <c r="H32" s="216">
        <f t="shared" si="2"/>
        <v>1.5615368810355457</v>
      </c>
      <c r="I32" s="216">
        <f t="shared" si="3"/>
        <v>3.006082541597547</v>
      </c>
      <c r="J32" s="210">
        <v>228</v>
      </c>
      <c r="K32" s="211">
        <v>598</v>
      </c>
      <c r="L32" s="219">
        <f t="shared" si="4"/>
        <v>-61.872909698996658</v>
      </c>
      <c r="M32" s="216">
        <f t="shared" si="5"/>
        <v>1.5615368810355457</v>
      </c>
      <c r="N32" s="217">
        <f t="shared" si="6"/>
        <v>3.006082541597547</v>
      </c>
    </row>
    <row r="33" spans="1:14" hidden="1" outlineLevel="1">
      <c r="A33" s="208"/>
      <c r="B33" s="218" t="s">
        <v>801</v>
      </c>
      <c r="C33" s="214">
        <f t="shared" si="0"/>
        <v>-14.77832512315271</v>
      </c>
      <c r="E33" s="210">
        <v>173</v>
      </c>
      <c r="F33" s="211">
        <v>203</v>
      </c>
      <c r="G33" s="219">
        <f t="shared" si="1"/>
        <v>-14.77832512315271</v>
      </c>
      <c r="H33" s="216">
        <f t="shared" si="2"/>
        <v>1.1848503527155674</v>
      </c>
      <c r="I33" s="216">
        <f t="shared" si="3"/>
        <v>1.0204594581008395</v>
      </c>
      <c r="J33" s="210">
        <v>173</v>
      </c>
      <c r="K33" s="211">
        <v>203</v>
      </c>
      <c r="L33" s="219">
        <f t="shared" si="4"/>
        <v>-14.77832512315271</v>
      </c>
      <c r="M33" s="216">
        <f t="shared" si="5"/>
        <v>1.1848503527155674</v>
      </c>
      <c r="N33" s="217">
        <f t="shared" si="6"/>
        <v>1.0204594581008395</v>
      </c>
    </row>
    <row r="34" spans="1:14" hidden="1" outlineLevel="1">
      <c r="A34" s="208"/>
      <c r="B34" s="218" t="s">
        <v>800</v>
      </c>
      <c r="C34" s="214">
        <f t="shared" si="0"/>
        <v>-37.269372693726936</v>
      </c>
      <c r="E34" s="210">
        <v>170</v>
      </c>
      <c r="F34" s="211">
        <v>271</v>
      </c>
      <c r="G34" s="219">
        <f t="shared" si="1"/>
        <v>-37.269372693726936</v>
      </c>
      <c r="H34" s="216">
        <f t="shared" si="2"/>
        <v>1.1643038148072049</v>
      </c>
      <c r="I34" s="216">
        <f t="shared" si="3"/>
        <v>1.3622882420952094</v>
      </c>
      <c r="J34" s="210">
        <v>170</v>
      </c>
      <c r="K34" s="211">
        <v>271</v>
      </c>
      <c r="L34" s="219">
        <f t="shared" si="4"/>
        <v>-37.269372693726936</v>
      </c>
      <c r="M34" s="216">
        <f t="shared" si="5"/>
        <v>1.1643038148072049</v>
      </c>
      <c r="N34" s="217">
        <f t="shared" si="6"/>
        <v>1.3622882420952094</v>
      </c>
    </row>
    <row r="35" spans="1:14" hidden="1" outlineLevel="1">
      <c r="A35" s="208"/>
      <c r="B35" s="218" t="s">
        <v>799</v>
      </c>
      <c r="C35" s="214">
        <f t="shared" si="0"/>
        <v>-49.327354260089685</v>
      </c>
      <c r="E35" s="210">
        <v>113</v>
      </c>
      <c r="F35" s="211">
        <v>223</v>
      </c>
      <c r="G35" s="219">
        <f t="shared" si="1"/>
        <v>-49.327354260089685</v>
      </c>
      <c r="H35" s="216">
        <f t="shared" si="2"/>
        <v>0.7739195945483186</v>
      </c>
      <c r="I35" s="216">
        <f t="shared" si="3"/>
        <v>1.1209973357462424</v>
      </c>
      <c r="J35" s="210">
        <v>113</v>
      </c>
      <c r="K35" s="211">
        <v>223</v>
      </c>
      <c r="L35" s="219">
        <f t="shared" si="4"/>
        <v>-49.327354260089685</v>
      </c>
      <c r="M35" s="216">
        <f t="shared" si="5"/>
        <v>0.7739195945483186</v>
      </c>
      <c r="N35" s="217">
        <f t="shared" si="6"/>
        <v>1.1209973357462424</v>
      </c>
    </row>
    <row r="36" spans="1:14" hidden="1" outlineLevel="1">
      <c r="A36" s="208"/>
      <c r="B36" s="218" t="s">
        <v>803</v>
      </c>
      <c r="C36" s="214" t="str">
        <f t="shared" si="0"/>
        <v/>
      </c>
      <c r="E36" s="210">
        <v>65</v>
      </c>
      <c r="F36" s="211">
        <v>0</v>
      </c>
      <c r="G36" s="219" t="str">
        <f t="shared" si="1"/>
        <v/>
      </c>
      <c r="H36" s="216">
        <f t="shared" si="2"/>
        <v>0.4451749880145196</v>
      </c>
      <c r="I36" s="216" t="str">
        <f t="shared" si="3"/>
        <v/>
      </c>
      <c r="J36" s="210">
        <v>65</v>
      </c>
      <c r="K36" s="211">
        <v>0</v>
      </c>
      <c r="L36" s="219" t="str">
        <f t="shared" si="4"/>
        <v/>
      </c>
      <c r="M36" s="216">
        <f t="shared" si="5"/>
        <v>0.4451749880145196</v>
      </c>
      <c r="N36" s="217" t="str">
        <f t="shared" si="6"/>
        <v/>
      </c>
    </row>
    <row r="37" spans="1:14" hidden="1" outlineLevel="1">
      <c r="A37" s="208"/>
      <c r="B37" s="218" t="s">
        <v>805</v>
      </c>
      <c r="C37" s="214">
        <f t="shared" si="0"/>
        <v>-15.625</v>
      </c>
      <c r="E37" s="210">
        <v>27</v>
      </c>
      <c r="F37" s="211">
        <v>32</v>
      </c>
      <c r="G37" s="219">
        <f t="shared" si="1"/>
        <v>-15.625</v>
      </c>
      <c r="H37" s="216">
        <f t="shared" si="2"/>
        <v>0.18491884117526197</v>
      </c>
      <c r="I37" s="216">
        <f t="shared" si="3"/>
        <v>0.16086060423264464</v>
      </c>
      <c r="J37" s="210">
        <v>27</v>
      </c>
      <c r="K37" s="211">
        <v>32</v>
      </c>
      <c r="L37" s="219">
        <f t="shared" si="4"/>
        <v>-15.625</v>
      </c>
      <c r="M37" s="216">
        <f t="shared" si="5"/>
        <v>0.18491884117526197</v>
      </c>
      <c r="N37" s="217">
        <f t="shared" si="6"/>
        <v>0.16086060423264464</v>
      </c>
    </row>
    <row r="38" spans="1:14" hidden="1" outlineLevel="1">
      <c r="A38" s="208"/>
      <c r="B38" s="218" t="s">
        <v>806</v>
      </c>
      <c r="C38" s="214">
        <f t="shared" si="0"/>
        <v>1100</v>
      </c>
      <c r="E38" s="210">
        <v>12</v>
      </c>
      <c r="F38" s="211">
        <v>1</v>
      </c>
      <c r="G38" s="219">
        <f t="shared" si="1"/>
        <v>1100</v>
      </c>
      <c r="H38" s="216">
        <f t="shared" si="2"/>
        <v>8.2186151633449764E-2</v>
      </c>
      <c r="I38" s="216">
        <f t="shared" si="3"/>
        <v>5.0268938822701451E-3</v>
      </c>
      <c r="J38" s="210">
        <v>12</v>
      </c>
      <c r="K38" s="211">
        <v>1</v>
      </c>
      <c r="L38" s="219">
        <f t="shared" si="4"/>
        <v>1100</v>
      </c>
      <c r="M38" s="216">
        <f t="shared" si="5"/>
        <v>8.2186151633449764E-2</v>
      </c>
      <c r="N38" s="217">
        <f t="shared" si="6"/>
        <v>5.0268938822701451E-3</v>
      </c>
    </row>
    <row r="39" spans="1:14" hidden="1" outlineLevel="1">
      <c r="A39" s="208"/>
      <c r="B39" s="218" t="s">
        <v>804</v>
      </c>
      <c r="C39" s="214">
        <f t="shared" si="0"/>
        <v>-68.181818181818173</v>
      </c>
      <c r="E39" s="210">
        <v>7</v>
      </c>
      <c r="F39" s="211">
        <v>22</v>
      </c>
      <c r="G39" s="219">
        <f t="shared" si="1"/>
        <v>-68.181818181818173</v>
      </c>
      <c r="H39" s="216">
        <f t="shared" si="2"/>
        <v>4.7941921786179023E-2</v>
      </c>
      <c r="I39" s="216">
        <f t="shared" si="3"/>
        <v>0.1105916654099432</v>
      </c>
      <c r="J39" s="210">
        <v>7</v>
      </c>
      <c r="K39" s="211">
        <v>22</v>
      </c>
      <c r="L39" s="219">
        <f t="shared" si="4"/>
        <v>-68.181818181818173</v>
      </c>
      <c r="M39" s="216">
        <f t="shared" si="5"/>
        <v>4.7941921786179023E-2</v>
      </c>
      <c r="N39" s="217">
        <f t="shared" si="6"/>
        <v>0.1105916654099432</v>
      </c>
    </row>
    <row r="40" spans="1:14" hidden="1" outlineLevel="1">
      <c r="A40" s="208"/>
      <c r="B40" s="218" t="s">
        <v>1066</v>
      </c>
      <c r="C40" s="214" t="str">
        <f t="shared" si="0"/>
        <v/>
      </c>
      <c r="E40" s="210">
        <v>3</v>
      </c>
      <c r="F40" s="211">
        <v>0</v>
      </c>
      <c r="G40" s="219" t="str">
        <f t="shared" si="1"/>
        <v/>
      </c>
      <c r="H40" s="216">
        <f t="shared" si="2"/>
        <v>2.0546537908362441E-2</v>
      </c>
      <c r="I40" s="216" t="str">
        <f t="shared" si="3"/>
        <v/>
      </c>
      <c r="J40" s="210">
        <v>3</v>
      </c>
      <c r="K40" s="211">
        <v>0</v>
      </c>
      <c r="L40" s="219" t="str">
        <f t="shared" si="4"/>
        <v/>
      </c>
      <c r="M40" s="216">
        <f t="shared" si="5"/>
        <v>2.0546537908362441E-2</v>
      </c>
      <c r="N40" s="217" t="str">
        <f t="shared" si="6"/>
        <v/>
      </c>
    </row>
    <row r="41" spans="1:14" hidden="1" outlineLevel="1">
      <c r="A41" s="208"/>
      <c r="B41" s="218" t="s">
        <v>808</v>
      </c>
      <c r="C41" s="214" t="str">
        <f t="shared" si="0"/>
        <v/>
      </c>
      <c r="E41" s="210">
        <v>2</v>
      </c>
      <c r="F41" s="211">
        <v>0</v>
      </c>
      <c r="G41" s="219" t="str">
        <f t="shared" si="1"/>
        <v/>
      </c>
      <c r="H41" s="216">
        <f t="shared" si="2"/>
        <v>1.3697691938908293E-2</v>
      </c>
      <c r="I41" s="216" t="str">
        <f t="shared" si="3"/>
        <v/>
      </c>
      <c r="J41" s="210">
        <v>2</v>
      </c>
      <c r="K41" s="211">
        <v>0</v>
      </c>
      <c r="L41" s="219" t="str">
        <f t="shared" si="4"/>
        <v/>
      </c>
      <c r="M41" s="216">
        <f t="shared" si="5"/>
        <v>1.3697691938908293E-2</v>
      </c>
      <c r="N41" s="217" t="str">
        <f t="shared" si="6"/>
        <v/>
      </c>
    </row>
    <row r="42" spans="1:14" hidden="1" outlineLevel="1">
      <c r="A42" s="208"/>
      <c r="B42" s="218" t="s">
        <v>811</v>
      </c>
      <c r="C42" s="214">
        <f t="shared" si="0"/>
        <v>-50</v>
      </c>
      <c r="E42" s="210">
        <v>1</v>
      </c>
      <c r="F42" s="211">
        <v>2</v>
      </c>
      <c r="G42" s="219">
        <f t="shared" si="1"/>
        <v>-50</v>
      </c>
      <c r="H42" s="216">
        <f t="shared" si="2"/>
        <v>6.8488459694541464E-3</v>
      </c>
      <c r="I42" s="216">
        <f t="shared" si="3"/>
        <v>1.005378776454029E-2</v>
      </c>
      <c r="J42" s="210">
        <v>1</v>
      </c>
      <c r="K42" s="211">
        <v>2</v>
      </c>
      <c r="L42" s="219">
        <f t="shared" si="4"/>
        <v>-50</v>
      </c>
      <c r="M42" s="216">
        <f t="shared" si="5"/>
        <v>6.8488459694541464E-3</v>
      </c>
      <c r="N42" s="217">
        <f t="shared" si="6"/>
        <v>1.005378776454029E-2</v>
      </c>
    </row>
    <row r="43" spans="1:14" hidden="1" outlineLevel="1">
      <c r="A43" s="208"/>
      <c r="B43" s="218" t="s">
        <v>809</v>
      </c>
      <c r="C43" s="214">
        <f t="shared" si="0"/>
        <v>0</v>
      </c>
      <c r="E43" s="210">
        <v>1</v>
      </c>
      <c r="F43" s="211">
        <v>1</v>
      </c>
      <c r="G43" s="219">
        <f t="shared" si="1"/>
        <v>0</v>
      </c>
      <c r="H43" s="216">
        <f t="shared" si="2"/>
        <v>6.8488459694541464E-3</v>
      </c>
      <c r="I43" s="216">
        <f t="shared" si="3"/>
        <v>5.0268938822701451E-3</v>
      </c>
      <c r="J43" s="210">
        <v>1</v>
      </c>
      <c r="K43" s="211">
        <v>1</v>
      </c>
      <c r="L43" s="219">
        <f t="shared" si="4"/>
        <v>0</v>
      </c>
      <c r="M43" s="216">
        <f t="shared" si="5"/>
        <v>6.8488459694541464E-3</v>
      </c>
      <c r="N43" s="217">
        <f t="shared" si="6"/>
        <v>5.0268938822701451E-3</v>
      </c>
    </row>
    <row r="44" spans="1:14" hidden="1" outlineLevel="1">
      <c r="A44" s="208"/>
      <c r="B44" s="218" t="s">
        <v>810</v>
      </c>
      <c r="C44" s="214" t="str">
        <f t="shared" si="0"/>
        <v/>
      </c>
      <c r="E44" s="210">
        <v>1</v>
      </c>
      <c r="F44" s="211">
        <v>0</v>
      </c>
      <c r="G44" s="219" t="str">
        <f t="shared" si="1"/>
        <v/>
      </c>
      <c r="H44" s="216">
        <f t="shared" si="2"/>
        <v>6.8488459694541464E-3</v>
      </c>
      <c r="I44" s="216" t="str">
        <f t="shared" si="3"/>
        <v/>
      </c>
      <c r="J44" s="210">
        <v>1</v>
      </c>
      <c r="K44" s="211">
        <v>0</v>
      </c>
      <c r="L44" s="219" t="str">
        <f t="shared" si="4"/>
        <v/>
      </c>
      <c r="M44" s="216">
        <f t="shared" si="5"/>
        <v>6.8488459694541464E-3</v>
      </c>
      <c r="N44" s="217" t="str">
        <f t="shared" si="6"/>
        <v/>
      </c>
    </row>
    <row r="45" spans="1:14" hidden="1" outlineLevel="1">
      <c r="A45" s="208"/>
      <c r="B45" s="218" t="s">
        <v>807</v>
      </c>
      <c r="C45" s="214">
        <f t="shared" si="0"/>
        <v>-100</v>
      </c>
      <c r="E45" s="210">
        <v>0</v>
      </c>
      <c r="F45" s="211">
        <v>11</v>
      </c>
      <c r="G45" s="219">
        <f t="shared" si="1"/>
        <v>-100</v>
      </c>
      <c r="H45" s="216" t="str">
        <f t="shared" si="2"/>
        <v/>
      </c>
      <c r="I45" s="216">
        <f t="shared" si="3"/>
        <v>5.5295832704971598E-2</v>
      </c>
      <c r="J45" s="210">
        <v>0</v>
      </c>
      <c r="K45" s="211">
        <v>11</v>
      </c>
      <c r="L45" s="219">
        <f t="shared" si="4"/>
        <v>-100</v>
      </c>
      <c r="M45" s="216" t="str">
        <f t="shared" si="5"/>
        <v/>
      </c>
      <c r="N45" s="217">
        <f t="shared" si="6"/>
        <v>5.5295832704971598E-2</v>
      </c>
    </row>
    <row r="46" spans="1:14" collapsed="1">
      <c r="A46" s="208" t="s">
        <v>1135</v>
      </c>
      <c r="B46" s="207" t="s">
        <v>779</v>
      </c>
      <c r="C46" s="214">
        <f t="shared" si="0"/>
        <v>-40.462923274753535</v>
      </c>
      <c r="E46" s="210">
        <v>1389</v>
      </c>
      <c r="F46" s="211">
        <v>2333</v>
      </c>
      <c r="G46" s="219">
        <f t="shared" si="1"/>
        <v>-40.462923274753535</v>
      </c>
      <c r="H46" s="216">
        <f t="shared" si="2"/>
        <v>9.5130470515718102</v>
      </c>
      <c r="I46" s="216">
        <f t="shared" si="3"/>
        <v>11.727743427336248</v>
      </c>
      <c r="J46" s="210">
        <v>1389</v>
      </c>
      <c r="K46" s="211">
        <v>2333</v>
      </c>
      <c r="L46" s="219">
        <f t="shared" si="4"/>
        <v>-40.462923274753535</v>
      </c>
      <c r="M46" s="216">
        <f t="shared" si="5"/>
        <v>9.5130470515718102</v>
      </c>
      <c r="N46" s="217">
        <f t="shared" si="6"/>
        <v>11.727743427336248</v>
      </c>
    </row>
    <row r="47" spans="1:14" hidden="1" outlineLevel="1">
      <c r="A47" s="208"/>
      <c r="B47" s="218" t="s">
        <v>780</v>
      </c>
      <c r="C47" s="214">
        <f t="shared" si="0"/>
        <v>-59.590043923865302</v>
      </c>
      <c r="E47" s="210">
        <v>276</v>
      </c>
      <c r="F47" s="211">
        <v>683</v>
      </c>
      <c r="G47" s="219">
        <f t="shared" si="1"/>
        <v>-59.590043923865302</v>
      </c>
      <c r="H47" s="216">
        <f t="shared" si="2"/>
        <v>1.8902814875693446</v>
      </c>
      <c r="I47" s="216">
        <f t="shared" si="3"/>
        <v>3.4333685215905096</v>
      </c>
      <c r="J47" s="210">
        <v>276</v>
      </c>
      <c r="K47" s="211">
        <v>683</v>
      </c>
      <c r="L47" s="219">
        <f t="shared" si="4"/>
        <v>-59.590043923865302</v>
      </c>
      <c r="M47" s="216">
        <f t="shared" si="5"/>
        <v>1.8902814875693446</v>
      </c>
      <c r="N47" s="217">
        <f t="shared" si="6"/>
        <v>3.4333685215905096</v>
      </c>
    </row>
    <row r="48" spans="1:14" hidden="1" outlineLevel="1">
      <c r="A48" s="208"/>
      <c r="B48" s="218" t="s">
        <v>782</v>
      </c>
      <c r="C48" s="214">
        <f t="shared" si="0"/>
        <v>-37.948717948717949</v>
      </c>
      <c r="E48" s="210">
        <v>242</v>
      </c>
      <c r="F48" s="211">
        <v>390</v>
      </c>
      <c r="G48" s="219">
        <f t="shared" si="1"/>
        <v>-37.948717948717949</v>
      </c>
      <c r="H48" s="216">
        <f t="shared" si="2"/>
        <v>1.6574207246079036</v>
      </c>
      <c r="I48" s="216">
        <f t="shared" si="3"/>
        <v>1.9604886140853566</v>
      </c>
      <c r="J48" s="210">
        <v>242</v>
      </c>
      <c r="K48" s="211">
        <v>390</v>
      </c>
      <c r="L48" s="219">
        <f t="shared" si="4"/>
        <v>-37.948717948717949</v>
      </c>
      <c r="M48" s="216">
        <f t="shared" si="5"/>
        <v>1.6574207246079036</v>
      </c>
      <c r="N48" s="217">
        <f t="shared" si="6"/>
        <v>1.9604886140853566</v>
      </c>
    </row>
    <row r="49" spans="1:14" hidden="1" outlineLevel="1">
      <c r="A49" s="208"/>
      <c r="B49" s="218" t="s">
        <v>784</v>
      </c>
      <c r="C49" s="214">
        <f t="shared" si="0"/>
        <v>17.721518987341771</v>
      </c>
      <c r="E49" s="210">
        <v>186</v>
      </c>
      <c r="F49" s="211">
        <v>158</v>
      </c>
      <c r="G49" s="219">
        <f t="shared" si="1"/>
        <v>17.721518987341771</v>
      </c>
      <c r="H49" s="216">
        <f t="shared" si="2"/>
        <v>1.2738853503184715</v>
      </c>
      <c r="I49" s="216">
        <f t="shared" si="3"/>
        <v>0.79424923339868303</v>
      </c>
      <c r="J49" s="210">
        <v>186</v>
      </c>
      <c r="K49" s="211">
        <v>158</v>
      </c>
      <c r="L49" s="219">
        <f t="shared" si="4"/>
        <v>17.721518987341771</v>
      </c>
      <c r="M49" s="216">
        <f t="shared" si="5"/>
        <v>1.2738853503184715</v>
      </c>
      <c r="N49" s="217">
        <f t="shared" si="6"/>
        <v>0.79424923339868303</v>
      </c>
    </row>
    <row r="50" spans="1:14" hidden="1" outlineLevel="1">
      <c r="A50" s="208"/>
      <c r="B50" s="218" t="s">
        <v>786</v>
      </c>
      <c r="C50" s="214">
        <f t="shared" si="0"/>
        <v>68.367346938775512</v>
      </c>
      <c r="E50" s="210">
        <v>165</v>
      </c>
      <c r="F50" s="211">
        <v>98</v>
      </c>
      <c r="G50" s="219">
        <f t="shared" si="1"/>
        <v>68.367346938775512</v>
      </c>
      <c r="H50" s="216">
        <f t="shared" si="2"/>
        <v>1.1300595849599342</v>
      </c>
      <c r="I50" s="216">
        <f t="shared" si="3"/>
        <v>0.49263560046247423</v>
      </c>
      <c r="J50" s="210">
        <v>165</v>
      </c>
      <c r="K50" s="211">
        <v>98</v>
      </c>
      <c r="L50" s="219">
        <f t="shared" si="4"/>
        <v>68.367346938775512</v>
      </c>
      <c r="M50" s="216">
        <f t="shared" si="5"/>
        <v>1.1300595849599342</v>
      </c>
      <c r="N50" s="217">
        <f t="shared" si="6"/>
        <v>0.49263560046247423</v>
      </c>
    </row>
    <row r="51" spans="1:14" hidden="1" outlineLevel="1">
      <c r="A51" s="208"/>
      <c r="B51" s="218" t="s">
        <v>785</v>
      </c>
      <c r="C51" s="214">
        <f t="shared" si="0"/>
        <v>10.526315789473683</v>
      </c>
      <c r="E51" s="210">
        <v>105</v>
      </c>
      <c r="F51" s="211">
        <v>95</v>
      </c>
      <c r="G51" s="219">
        <f t="shared" si="1"/>
        <v>10.526315789473683</v>
      </c>
      <c r="H51" s="216">
        <f t="shared" si="2"/>
        <v>0.71912882679268542</v>
      </c>
      <c r="I51" s="216">
        <f t="shared" si="3"/>
        <v>0.47755491881566381</v>
      </c>
      <c r="J51" s="210">
        <v>105</v>
      </c>
      <c r="K51" s="211">
        <v>95</v>
      </c>
      <c r="L51" s="219">
        <f t="shared" si="4"/>
        <v>10.526315789473683</v>
      </c>
      <c r="M51" s="216">
        <f t="shared" si="5"/>
        <v>0.71912882679268542</v>
      </c>
      <c r="N51" s="217">
        <f t="shared" si="6"/>
        <v>0.47755491881566381</v>
      </c>
    </row>
    <row r="52" spans="1:14" hidden="1" outlineLevel="1">
      <c r="A52" s="208"/>
      <c r="B52" s="218" t="s">
        <v>783</v>
      </c>
      <c r="C52" s="214">
        <f t="shared" si="0"/>
        <v>-71.07692307692308</v>
      </c>
      <c r="E52" s="210">
        <v>94</v>
      </c>
      <c r="F52" s="211">
        <v>325</v>
      </c>
      <c r="G52" s="219">
        <f t="shared" si="1"/>
        <v>-71.07692307692308</v>
      </c>
      <c r="H52" s="216">
        <f t="shared" si="2"/>
        <v>0.64379152112868987</v>
      </c>
      <c r="I52" s="216">
        <f t="shared" si="3"/>
        <v>1.6337405117377972</v>
      </c>
      <c r="J52" s="210">
        <v>94</v>
      </c>
      <c r="K52" s="211">
        <v>325</v>
      </c>
      <c r="L52" s="219">
        <f t="shared" si="4"/>
        <v>-71.07692307692308</v>
      </c>
      <c r="M52" s="216">
        <f t="shared" si="5"/>
        <v>0.64379152112868987</v>
      </c>
      <c r="N52" s="217">
        <f t="shared" si="6"/>
        <v>1.6337405117377972</v>
      </c>
    </row>
    <row r="53" spans="1:14" hidden="1" outlineLevel="1">
      <c r="A53" s="208"/>
      <c r="B53" s="218" t="s">
        <v>781</v>
      </c>
      <c r="C53" s="214">
        <f t="shared" si="0"/>
        <v>-75.45787545787546</v>
      </c>
      <c r="E53" s="210">
        <v>67</v>
      </c>
      <c r="F53" s="211">
        <v>273</v>
      </c>
      <c r="G53" s="219">
        <f t="shared" si="1"/>
        <v>-75.45787545787546</v>
      </c>
      <c r="H53" s="216">
        <f t="shared" si="2"/>
        <v>0.45887267995342784</v>
      </c>
      <c r="I53" s="216">
        <f t="shared" si="3"/>
        <v>1.3723420298597495</v>
      </c>
      <c r="J53" s="210">
        <v>67</v>
      </c>
      <c r="K53" s="211">
        <v>273</v>
      </c>
      <c r="L53" s="219">
        <f t="shared" si="4"/>
        <v>-75.45787545787546</v>
      </c>
      <c r="M53" s="216">
        <f t="shared" si="5"/>
        <v>0.45887267995342784</v>
      </c>
      <c r="N53" s="217">
        <f t="shared" si="6"/>
        <v>1.3723420298597495</v>
      </c>
    </row>
    <row r="54" spans="1:14" hidden="1" outlineLevel="1">
      <c r="A54" s="208"/>
      <c r="B54" s="218" t="s">
        <v>787</v>
      </c>
      <c r="C54" s="214">
        <f t="shared" si="0"/>
        <v>-49.572649572649574</v>
      </c>
      <c r="E54" s="210">
        <v>59</v>
      </c>
      <c r="F54" s="211">
        <v>117</v>
      </c>
      <c r="G54" s="219">
        <f t="shared" si="1"/>
        <v>-49.572649572649574</v>
      </c>
      <c r="H54" s="216">
        <f t="shared" si="2"/>
        <v>0.40408191219779471</v>
      </c>
      <c r="I54" s="216">
        <f t="shared" si="3"/>
        <v>0.58814658422560706</v>
      </c>
      <c r="J54" s="210">
        <v>59</v>
      </c>
      <c r="K54" s="211">
        <v>117</v>
      </c>
      <c r="L54" s="219">
        <f t="shared" si="4"/>
        <v>-49.572649572649574</v>
      </c>
      <c r="M54" s="216">
        <f t="shared" si="5"/>
        <v>0.40408191219779471</v>
      </c>
      <c r="N54" s="217">
        <f t="shared" si="6"/>
        <v>0.58814658422560706</v>
      </c>
    </row>
    <row r="55" spans="1:14" hidden="1" outlineLevel="1">
      <c r="A55" s="208"/>
      <c r="B55" s="218" t="s">
        <v>790</v>
      </c>
      <c r="C55" s="214" t="str">
        <f t="shared" si="0"/>
        <v/>
      </c>
      <c r="E55" s="210">
        <v>38</v>
      </c>
      <c r="F55" s="211">
        <v>0</v>
      </c>
      <c r="G55" s="219" t="str">
        <f t="shared" si="1"/>
        <v/>
      </c>
      <c r="H55" s="216">
        <f t="shared" si="2"/>
        <v>0.26025614683925757</v>
      </c>
      <c r="I55" s="216" t="str">
        <f t="shared" si="3"/>
        <v/>
      </c>
      <c r="J55" s="210">
        <v>38</v>
      </c>
      <c r="K55" s="211">
        <v>0</v>
      </c>
      <c r="L55" s="219" t="str">
        <f t="shared" si="4"/>
        <v/>
      </c>
      <c r="M55" s="216">
        <f t="shared" si="5"/>
        <v>0.26025614683925757</v>
      </c>
      <c r="N55" s="217" t="str">
        <f t="shared" si="6"/>
        <v/>
      </c>
    </row>
    <row r="56" spans="1:14" hidden="1" outlineLevel="1">
      <c r="A56" s="208"/>
      <c r="B56" s="218" t="s">
        <v>789</v>
      </c>
      <c r="C56" s="214">
        <f t="shared" si="0"/>
        <v>-37.931034482758619</v>
      </c>
      <c r="E56" s="210">
        <v>36</v>
      </c>
      <c r="F56" s="211">
        <v>58</v>
      </c>
      <c r="G56" s="219">
        <f t="shared" si="1"/>
        <v>-37.931034482758619</v>
      </c>
      <c r="H56" s="216">
        <f t="shared" si="2"/>
        <v>0.24655845490034931</v>
      </c>
      <c r="I56" s="216">
        <f t="shared" si="3"/>
        <v>0.29155984517166844</v>
      </c>
      <c r="J56" s="210">
        <v>36</v>
      </c>
      <c r="K56" s="211">
        <v>58</v>
      </c>
      <c r="L56" s="219">
        <f t="shared" si="4"/>
        <v>-37.931034482758619</v>
      </c>
      <c r="M56" s="216">
        <f t="shared" si="5"/>
        <v>0.24655845490034931</v>
      </c>
      <c r="N56" s="217">
        <f t="shared" si="6"/>
        <v>0.29155984517166844</v>
      </c>
    </row>
    <row r="57" spans="1:14" hidden="1" outlineLevel="1">
      <c r="A57" s="208"/>
      <c r="B57" s="218" t="s">
        <v>792</v>
      </c>
      <c r="C57" s="214">
        <f t="shared" si="0"/>
        <v>78.94736842105263</v>
      </c>
      <c r="E57" s="210">
        <v>34</v>
      </c>
      <c r="F57" s="211">
        <v>19</v>
      </c>
      <c r="G57" s="219">
        <f t="shared" si="1"/>
        <v>78.94736842105263</v>
      </c>
      <c r="H57" s="216">
        <f t="shared" si="2"/>
        <v>0.23286076296144101</v>
      </c>
      <c r="I57" s="216">
        <f t="shared" si="3"/>
        <v>9.5510983763132759E-2</v>
      </c>
      <c r="J57" s="210">
        <v>34</v>
      </c>
      <c r="K57" s="211">
        <v>19</v>
      </c>
      <c r="L57" s="219">
        <f t="shared" si="4"/>
        <v>78.94736842105263</v>
      </c>
      <c r="M57" s="216">
        <f t="shared" si="5"/>
        <v>0.23286076296144101</v>
      </c>
      <c r="N57" s="217">
        <f t="shared" si="6"/>
        <v>9.5510983763132759E-2</v>
      </c>
    </row>
    <row r="58" spans="1:14" hidden="1" outlineLevel="1">
      <c r="A58" s="208"/>
      <c r="B58" s="218" t="s">
        <v>794</v>
      </c>
      <c r="C58" s="214">
        <f t="shared" si="0"/>
        <v>25</v>
      </c>
      <c r="E58" s="210">
        <v>20</v>
      </c>
      <c r="F58" s="211">
        <v>16</v>
      </c>
      <c r="G58" s="219">
        <f t="shared" si="1"/>
        <v>25</v>
      </c>
      <c r="H58" s="216">
        <f t="shared" si="2"/>
        <v>0.13697691938908294</v>
      </c>
      <c r="I58" s="216">
        <f t="shared" si="3"/>
        <v>8.0430302116322322E-2</v>
      </c>
      <c r="J58" s="210">
        <v>20</v>
      </c>
      <c r="K58" s="211">
        <v>16</v>
      </c>
      <c r="L58" s="219">
        <f t="shared" si="4"/>
        <v>25</v>
      </c>
      <c r="M58" s="216">
        <f t="shared" si="5"/>
        <v>0.13697691938908294</v>
      </c>
      <c r="N58" s="217">
        <f t="shared" si="6"/>
        <v>8.0430302116322322E-2</v>
      </c>
    </row>
    <row r="59" spans="1:14" hidden="1" outlineLevel="1">
      <c r="A59" s="208"/>
      <c r="B59" s="218" t="s">
        <v>791</v>
      </c>
      <c r="C59" s="214">
        <f t="shared" si="0"/>
        <v>-14.285714285714285</v>
      </c>
      <c r="E59" s="210">
        <v>18</v>
      </c>
      <c r="F59" s="211">
        <v>21</v>
      </c>
      <c r="G59" s="219">
        <f t="shared" si="1"/>
        <v>-14.285714285714285</v>
      </c>
      <c r="H59" s="216">
        <f t="shared" si="2"/>
        <v>0.12327922745017465</v>
      </c>
      <c r="I59" s="216">
        <f t="shared" si="3"/>
        <v>0.10556477152767305</v>
      </c>
      <c r="J59" s="210">
        <v>18</v>
      </c>
      <c r="K59" s="211">
        <v>21</v>
      </c>
      <c r="L59" s="219">
        <f t="shared" si="4"/>
        <v>-14.285714285714285</v>
      </c>
      <c r="M59" s="216">
        <f t="shared" si="5"/>
        <v>0.12327922745017465</v>
      </c>
      <c r="N59" s="217">
        <f t="shared" si="6"/>
        <v>0.10556477152767305</v>
      </c>
    </row>
    <row r="60" spans="1:14" hidden="1" outlineLevel="1">
      <c r="A60" s="208"/>
      <c r="B60" s="218" t="s">
        <v>1065</v>
      </c>
      <c r="C60" s="214" t="str">
        <f t="shared" si="0"/>
        <v/>
      </c>
      <c r="E60" s="210">
        <v>18</v>
      </c>
      <c r="F60" s="211">
        <v>0</v>
      </c>
      <c r="G60" s="219" t="str">
        <f t="shared" si="1"/>
        <v/>
      </c>
      <c r="H60" s="216">
        <f t="shared" si="2"/>
        <v>0.12327922745017465</v>
      </c>
      <c r="I60" s="216" t="str">
        <f t="shared" si="3"/>
        <v/>
      </c>
      <c r="J60" s="210">
        <v>18</v>
      </c>
      <c r="K60" s="211">
        <v>0</v>
      </c>
      <c r="L60" s="219" t="str">
        <f t="shared" si="4"/>
        <v/>
      </c>
      <c r="M60" s="216">
        <f t="shared" si="5"/>
        <v>0.12327922745017465</v>
      </c>
      <c r="N60" s="217" t="str">
        <f t="shared" si="6"/>
        <v/>
      </c>
    </row>
    <row r="61" spans="1:14" hidden="1" outlineLevel="1">
      <c r="A61" s="208"/>
      <c r="B61" s="218" t="s">
        <v>788</v>
      </c>
      <c r="C61" s="214">
        <f t="shared" si="0"/>
        <v>-69.767441860465112</v>
      </c>
      <c r="E61" s="210">
        <v>13</v>
      </c>
      <c r="F61" s="211">
        <v>43</v>
      </c>
      <c r="G61" s="219">
        <f t="shared" si="1"/>
        <v>-69.767441860465112</v>
      </c>
      <c r="H61" s="216">
        <f t="shared" si="2"/>
        <v>8.9034997602903912E-2</v>
      </c>
      <c r="I61" s="216">
        <f t="shared" si="3"/>
        <v>0.21615643693761624</v>
      </c>
      <c r="J61" s="210">
        <v>13</v>
      </c>
      <c r="K61" s="211">
        <v>43</v>
      </c>
      <c r="L61" s="219">
        <f t="shared" si="4"/>
        <v>-69.767441860465112</v>
      </c>
      <c r="M61" s="216">
        <f t="shared" si="5"/>
        <v>8.9034997602903912E-2</v>
      </c>
      <c r="N61" s="217">
        <f t="shared" si="6"/>
        <v>0.21615643693761624</v>
      </c>
    </row>
    <row r="62" spans="1:14" hidden="1" outlineLevel="1">
      <c r="A62" s="208"/>
      <c r="B62" s="218" t="s">
        <v>796</v>
      </c>
      <c r="C62" s="214">
        <f t="shared" si="0"/>
        <v>12.5</v>
      </c>
      <c r="E62" s="210">
        <v>9</v>
      </c>
      <c r="F62" s="211">
        <v>8</v>
      </c>
      <c r="G62" s="219">
        <f t="shared" si="1"/>
        <v>12.5</v>
      </c>
      <c r="H62" s="216">
        <f t="shared" si="2"/>
        <v>6.1639613725087326E-2</v>
      </c>
      <c r="I62" s="216">
        <f t="shared" si="3"/>
        <v>4.0215151058161161E-2</v>
      </c>
      <c r="J62" s="210">
        <v>9</v>
      </c>
      <c r="K62" s="211">
        <v>8</v>
      </c>
      <c r="L62" s="219">
        <f t="shared" si="4"/>
        <v>12.5</v>
      </c>
      <c r="M62" s="216">
        <f t="shared" si="5"/>
        <v>6.1639613725087326E-2</v>
      </c>
      <c r="N62" s="217">
        <f t="shared" si="6"/>
        <v>4.0215151058161161E-2</v>
      </c>
    </row>
    <row r="63" spans="1:14" hidden="1" outlineLevel="1">
      <c r="A63" s="208"/>
      <c r="B63" s="218" t="s">
        <v>795</v>
      </c>
      <c r="C63" s="214">
        <f t="shared" si="0"/>
        <v>-40</v>
      </c>
      <c r="E63" s="210">
        <v>6</v>
      </c>
      <c r="F63" s="211">
        <v>10</v>
      </c>
      <c r="G63" s="219">
        <f t="shared" si="1"/>
        <v>-40</v>
      </c>
      <c r="H63" s="216">
        <f t="shared" si="2"/>
        <v>4.1093075816724882E-2</v>
      </c>
      <c r="I63" s="216">
        <f t="shared" si="3"/>
        <v>5.0268938822701448E-2</v>
      </c>
      <c r="J63" s="210">
        <v>6</v>
      </c>
      <c r="K63" s="211">
        <v>10</v>
      </c>
      <c r="L63" s="219">
        <f t="shared" si="4"/>
        <v>-40</v>
      </c>
      <c r="M63" s="216">
        <f t="shared" si="5"/>
        <v>4.1093075816724882E-2</v>
      </c>
      <c r="N63" s="217">
        <f t="shared" si="6"/>
        <v>5.0268938822701448E-2</v>
      </c>
    </row>
    <row r="64" spans="1:14" hidden="1" outlineLevel="1">
      <c r="A64" s="208"/>
      <c r="B64" s="218" t="s">
        <v>797</v>
      </c>
      <c r="C64" s="214">
        <f t="shared" si="0"/>
        <v>-25</v>
      </c>
      <c r="E64" s="210">
        <v>3</v>
      </c>
      <c r="F64" s="211">
        <v>4</v>
      </c>
      <c r="G64" s="219">
        <f t="shared" si="1"/>
        <v>-25</v>
      </c>
      <c r="H64" s="216">
        <f t="shared" si="2"/>
        <v>2.0546537908362441E-2</v>
      </c>
      <c r="I64" s="216">
        <f t="shared" si="3"/>
        <v>2.010757552908058E-2</v>
      </c>
      <c r="J64" s="210">
        <v>3</v>
      </c>
      <c r="K64" s="211">
        <v>4</v>
      </c>
      <c r="L64" s="219">
        <f t="shared" si="4"/>
        <v>-25</v>
      </c>
      <c r="M64" s="216">
        <f t="shared" si="5"/>
        <v>2.0546537908362441E-2</v>
      </c>
      <c r="N64" s="217">
        <f t="shared" si="6"/>
        <v>2.010757552908058E-2</v>
      </c>
    </row>
    <row r="65" spans="1:14" hidden="1" outlineLevel="1">
      <c r="A65" s="208"/>
      <c r="B65" s="218" t="s">
        <v>793</v>
      </c>
      <c r="C65" s="214">
        <f t="shared" si="0"/>
        <v>-100</v>
      </c>
      <c r="E65" s="210">
        <v>0</v>
      </c>
      <c r="F65" s="211">
        <v>15</v>
      </c>
      <c r="G65" s="219">
        <f t="shared" si="1"/>
        <v>-100</v>
      </c>
      <c r="H65" s="216" t="str">
        <f t="shared" si="2"/>
        <v/>
      </c>
      <c r="I65" s="216">
        <f t="shared" si="3"/>
        <v>7.5403408234052172E-2</v>
      </c>
      <c r="J65" s="210">
        <v>0</v>
      </c>
      <c r="K65" s="211">
        <v>15</v>
      </c>
      <c r="L65" s="219">
        <f t="shared" si="4"/>
        <v>-100</v>
      </c>
      <c r="M65" s="216" t="str">
        <f t="shared" si="5"/>
        <v/>
      </c>
      <c r="N65" s="217">
        <f t="shared" si="6"/>
        <v>7.5403408234052172E-2</v>
      </c>
    </row>
    <row r="66" spans="1:14" collapsed="1">
      <c r="A66" s="208" t="s">
        <v>1136</v>
      </c>
      <c r="B66" s="207" t="s">
        <v>275</v>
      </c>
      <c r="C66" s="214">
        <f t="shared" si="0"/>
        <v>-10.723626852659111</v>
      </c>
      <c r="E66" s="210">
        <v>1024</v>
      </c>
      <c r="F66" s="211">
        <v>1147</v>
      </c>
      <c r="G66" s="219">
        <f t="shared" si="1"/>
        <v>-10.723626852659111</v>
      </c>
      <c r="H66" s="216">
        <f t="shared" si="2"/>
        <v>7.0132182727210459</v>
      </c>
      <c r="I66" s="216">
        <f t="shared" si="3"/>
        <v>5.7658472829638567</v>
      </c>
      <c r="J66" s="210">
        <v>1024</v>
      </c>
      <c r="K66" s="211">
        <v>1147</v>
      </c>
      <c r="L66" s="219">
        <f t="shared" si="4"/>
        <v>-10.723626852659111</v>
      </c>
      <c r="M66" s="216">
        <f t="shared" si="5"/>
        <v>7.0132182727210459</v>
      </c>
      <c r="N66" s="217">
        <f t="shared" si="6"/>
        <v>5.7658472829638567</v>
      </c>
    </row>
    <row r="67" spans="1:14" hidden="1" outlineLevel="1">
      <c r="A67" s="208"/>
      <c r="B67" s="218" t="s">
        <v>816</v>
      </c>
      <c r="C67" s="214">
        <f t="shared" si="0"/>
        <v>30.46875</v>
      </c>
      <c r="E67" s="210">
        <v>167</v>
      </c>
      <c r="F67" s="211">
        <v>128</v>
      </c>
      <c r="G67" s="219">
        <f t="shared" si="1"/>
        <v>30.46875</v>
      </c>
      <c r="H67" s="216">
        <f t="shared" si="2"/>
        <v>1.1437572768988424</v>
      </c>
      <c r="I67" s="216">
        <f t="shared" si="3"/>
        <v>0.64344241693057858</v>
      </c>
      <c r="J67" s="210">
        <v>167</v>
      </c>
      <c r="K67" s="211">
        <v>128</v>
      </c>
      <c r="L67" s="219">
        <f t="shared" si="4"/>
        <v>30.46875</v>
      </c>
      <c r="M67" s="216">
        <f t="shared" si="5"/>
        <v>1.1437572768988424</v>
      </c>
      <c r="N67" s="217">
        <f t="shared" si="6"/>
        <v>0.64344241693057858</v>
      </c>
    </row>
    <row r="68" spans="1:14" hidden="1" outlineLevel="1">
      <c r="A68" s="208"/>
      <c r="B68" s="218" t="s">
        <v>812</v>
      </c>
      <c r="C68" s="214">
        <f t="shared" si="0"/>
        <v>-39.256198347107443</v>
      </c>
      <c r="E68" s="210">
        <v>147</v>
      </c>
      <c r="F68" s="211">
        <v>242</v>
      </c>
      <c r="G68" s="219">
        <f t="shared" si="1"/>
        <v>-39.256198347107443</v>
      </c>
      <c r="H68" s="216">
        <f t="shared" si="2"/>
        <v>1.0067803575097596</v>
      </c>
      <c r="I68" s="216">
        <f t="shared" si="3"/>
        <v>1.2165083195093751</v>
      </c>
      <c r="J68" s="210">
        <v>147</v>
      </c>
      <c r="K68" s="211">
        <v>242</v>
      </c>
      <c r="L68" s="219">
        <f t="shared" si="4"/>
        <v>-39.256198347107443</v>
      </c>
      <c r="M68" s="216">
        <f t="shared" si="5"/>
        <v>1.0067803575097596</v>
      </c>
      <c r="N68" s="217">
        <f t="shared" si="6"/>
        <v>1.2165083195093751</v>
      </c>
    </row>
    <row r="69" spans="1:14" hidden="1" outlineLevel="1">
      <c r="A69" s="208"/>
      <c r="B69" s="218" t="s">
        <v>815</v>
      </c>
      <c r="C69" s="214">
        <f t="shared" si="0"/>
        <v>-23.863636363636363</v>
      </c>
      <c r="E69" s="210">
        <v>134</v>
      </c>
      <c r="F69" s="211">
        <v>176</v>
      </c>
      <c r="G69" s="219">
        <f t="shared" si="1"/>
        <v>-23.863636363636363</v>
      </c>
      <c r="H69" s="216">
        <f t="shared" si="2"/>
        <v>0.91774535990685568</v>
      </c>
      <c r="I69" s="216">
        <f t="shared" si="3"/>
        <v>0.88473332327954557</v>
      </c>
      <c r="J69" s="210">
        <v>134</v>
      </c>
      <c r="K69" s="211">
        <v>176</v>
      </c>
      <c r="L69" s="219">
        <f t="shared" si="4"/>
        <v>-23.863636363636363</v>
      </c>
      <c r="M69" s="216">
        <f t="shared" si="5"/>
        <v>0.91774535990685568</v>
      </c>
      <c r="N69" s="217">
        <f t="shared" si="6"/>
        <v>0.88473332327954557</v>
      </c>
    </row>
    <row r="70" spans="1:14" hidden="1" outlineLevel="1">
      <c r="A70" s="208"/>
      <c r="B70" s="218" t="s">
        <v>813</v>
      </c>
      <c r="C70" s="214">
        <f t="shared" si="0"/>
        <v>-28.729281767955801</v>
      </c>
      <c r="E70" s="210">
        <v>129</v>
      </c>
      <c r="F70" s="211">
        <v>181</v>
      </c>
      <c r="G70" s="219">
        <f t="shared" si="1"/>
        <v>-28.729281767955801</v>
      </c>
      <c r="H70" s="216">
        <f t="shared" si="2"/>
        <v>0.88350113005958486</v>
      </c>
      <c r="I70" s="216">
        <f t="shared" si="3"/>
        <v>0.90986779269089624</v>
      </c>
      <c r="J70" s="210">
        <v>129</v>
      </c>
      <c r="K70" s="211">
        <v>181</v>
      </c>
      <c r="L70" s="219">
        <f t="shared" si="4"/>
        <v>-28.729281767955801</v>
      </c>
      <c r="M70" s="216">
        <f t="shared" si="5"/>
        <v>0.88350113005958486</v>
      </c>
      <c r="N70" s="217">
        <f t="shared" si="6"/>
        <v>0.90986779269089624</v>
      </c>
    </row>
    <row r="71" spans="1:14" hidden="1" outlineLevel="1">
      <c r="A71" s="208"/>
      <c r="B71" s="218" t="s">
        <v>817</v>
      </c>
      <c r="C71" s="214">
        <f t="shared" si="0"/>
        <v>4550</v>
      </c>
      <c r="E71" s="210">
        <v>93</v>
      </c>
      <c r="F71" s="211">
        <v>2</v>
      </c>
      <c r="G71" s="219">
        <f t="shared" si="1"/>
        <v>4550</v>
      </c>
      <c r="H71" s="216">
        <f t="shared" si="2"/>
        <v>0.63694267515923575</v>
      </c>
      <c r="I71" s="216">
        <f t="shared" si="3"/>
        <v>1.005378776454029E-2</v>
      </c>
      <c r="J71" s="210">
        <v>93</v>
      </c>
      <c r="K71" s="211">
        <v>2</v>
      </c>
      <c r="L71" s="219">
        <f t="shared" si="4"/>
        <v>4550</v>
      </c>
      <c r="M71" s="216">
        <f t="shared" si="5"/>
        <v>0.63694267515923575</v>
      </c>
      <c r="N71" s="217">
        <f t="shared" si="6"/>
        <v>1.005378776454029E-2</v>
      </c>
    </row>
    <row r="72" spans="1:14" hidden="1" outlineLevel="1">
      <c r="A72" s="208"/>
      <c r="B72" s="218" t="s">
        <v>821</v>
      </c>
      <c r="C72" s="214">
        <f t="shared" si="0"/>
        <v>157.57575757575756</v>
      </c>
      <c r="E72" s="210">
        <v>85</v>
      </c>
      <c r="F72" s="211">
        <v>33</v>
      </c>
      <c r="G72" s="219">
        <f t="shared" si="1"/>
        <v>157.57575757575756</v>
      </c>
      <c r="H72" s="216">
        <f t="shared" si="2"/>
        <v>0.58215190740360245</v>
      </c>
      <c r="I72" s="216">
        <f t="shared" si="3"/>
        <v>0.16588749811491479</v>
      </c>
      <c r="J72" s="210">
        <v>85</v>
      </c>
      <c r="K72" s="211">
        <v>33</v>
      </c>
      <c r="L72" s="219">
        <f t="shared" si="4"/>
        <v>157.57575757575756</v>
      </c>
      <c r="M72" s="216">
        <f t="shared" si="5"/>
        <v>0.58215190740360245</v>
      </c>
      <c r="N72" s="217">
        <f t="shared" si="6"/>
        <v>0.16588749811491479</v>
      </c>
    </row>
    <row r="73" spans="1:14" hidden="1" outlineLevel="1">
      <c r="A73" s="208"/>
      <c r="B73" s="218" t="s">
        <v>819</v>
      </c>
      <c r="C73" s="214">
        <f t="shared" si="0"/>
        <v>10</v>
      </c>
      <c r="E73" s="210">
        <v>77</v>
      </c>
      <c r="F73" s="211">
        <v>70</v>
      </c>
      <c r="G73" s="219">
        <f t="shared" si="1"/>
        <v>10</v>
      </c>
      <c r="H73" s="216">
        <f t="shared" si="2"/>
        <v>0.52736113964796927</v>
      </c>
      <c r="I73" s="216">
        <f t="shared" si="3"/>
        <v>0.35188257175891013</v>
      </c>
      <c r="J73" s="210">
        <v>77</v>
      </c>
      <c r="K73" s="211">
        <v>70</v>
      </c>
      <c r="L73" s="219">
        <f t="shared" si="4"/>
        <v>10</v>
      </c>
      <c r="M73" s="216">
        <f t="shared" si="5"/>
        <v>0.52736113964796927</v>
      </c>
      <c r="N73" s="217">
        <f t="shared" si="6"/>
        <v>0.35188257175891013</v>
      </c>
    </row>
    <row r="74" spans="1:14" hidden="1" outlineLevel="1">
      <c r="A74" s="208"/>
      <c r="B74" s="218" t="s">
        <v>818</v>
      </c>
      <c r="C74" s="214">
        <f t="shared" ref="C74:C137" si="7">IF(K74=0,"",SUM(((J74-K74)/K74)*100))</f>
        <v>64.285714285714292</v>
      </c>
      <c r="E74" s="210">
        <v>69</v>
      </c>
      <c r="F74" s="211">
        <v>42</v>
      </c>
      <c r="G74" s="219">
        <f t="shared" ref="G74:G137" si="8">IF(F74=0,"",SUM(((E74-F74)/F74)*100))</f>
        <v>64.285714285714292</v>
      </c>
      <c r="H74" s="216">
        <f t="shared" ref="H74:H137" si="9">IF(E74=0,"",SUM((E74/CntPeriod)*100))</f>
        <v>0.47257037189233614</v>
      </c>
      <c r="I74" s="216">
        <f t="shared" ref="I74:I137" si="10">IF(F74=0,"",SUM((F74/CntPeriodPrevYear)*100))</f>
        <v>0.21112954305534609</v>
      </c>
      <c r="J74" s="210">
        <v>69</v>
      </c>
      <c r="K74" s="211">
        <v>42</v>
      </c>
      <c r="L74" s="219">
        <f t="shared" ref="L74:L137" si="11">IF(K74=0,"",SUM(((J74-K74)/K74)*100))</f>
        <v>64.285714285714292</v>
      </c>
      <c r="M74" s="216">
        <f t="shared" ref="M74:M137" si="12">IF(J74=0,"",SUM((J74/CntYearAck)*100))</f>
        <v>0.47257037189233614</v>
      </c>
      <c r="N74" s="217">
        <f t="shared" ref="N74:N137" si="13">IF(K74=0,"",SUM((K74/CntPrevYearAck)*100))</f>
        <v>0.21112954305534609</v>
      </c>
    </row>
    <row r="75" spans="1:14" hidden="1" outlineLevel="1">
      <c r="A75" s="208"/>
      <c r="B75" s="218" t="s">
        <v>820</v>
      </c>
      <c r="C75" s="214">
        <f t="shared" si="7"/>
        <v>127.77777777777777</v>
      </c>
      <c r="E75" s="210">
        <v>41</v>
      </c>
      <c r="F75" s="211">
        <v>18</v>
      </c>
      <c r="G75" s="219">
        <f t="shared" si="8"/>
        <v>127.77777777777777</v>
      </c>
      <c r="H75" s="216">
        <f t="shared" si="9"/>
        <v>0.28080268474762005</v>
      </c>
      <c r="I75" s="216">
        <f t="shared" si="10"/>
        <v>9.0484089880862609E-2</v>
      </c>
      <c r="J75" s="210">
        <v>41</v>
      </c>
      <c r="K75" s="211">
        <v>18</v>
      </c>
      <c r="L75" s="219">
        <f t="shared" si="11"/>
        <v>127.77777777777777</v>
      </c>
      <c r="M75" s="216">
        <f t="shared" si="12"/>
        <v>0.28080268474762005</v>
      </c>
      <c r="N75" s="217">
        <f t="shared" si="13"/>
        <v>9.0484089880862609E-2</v>
      </c>
    </row>
    <row r="76" spans="1:14" hidden="1" outlineLevel="1">
      <c r="A76" s="208"/>
      <c r="B76" s="218" t="s">
        <v>823</v>
      </c>
      <c r="C76" s="214">
        <f t="shared" si="7"/>
        <v>525</v>
      </c>
      <c r="E76" s="210">
        <v>25</v>
      </c>
      <c r="F76" s="211">
        <v>4</v>
      </c>
      <c r="G76" s="219">
        <f t="shared" si="8"/>
        <v>525</v>
      </c>
      <c r="H76" s="216">
        <f t="shared" si="9"/>
        <v>0.17122114923635368</v>
      </c>
      <c r="I76" s="216">
        <f t="shared" si="10"/>
        <v>2.010757552908058E-2</v>
      </c>
      <c r="J76" s="210">
        <v>25</v>
      </c>
      <c r="K76" s="211">
        <v>4</v>
      </c>
      <c r="L76" s="219">
        <f t="shared" si="11"/>
        <v>525</v>
      </c>
      <c r="M76" s="216">
        <f t="shared" si="12"/>
        <v>0.17122114923635368</v>
      </c>
      <c r="N76" s="217">
        <f t="shared" si="13"/>
        <v>2.010757552908058E-2</v>
      </c>
    </row>
    <row r="77" spans="1:14" hidden="1" outlineLevel="1">
      <c r="A77" s="208"/>
      <c r="B77" s="218" t="s">
        <v>822</v>
      </c>
      <c r="C77" s="214">
        <f t="shared" si="7"/>
        <v>-38.888888888888893</v>
      </c>
      <c r="E77" s="210">
        <v>11</v>
      </c>
      <c r="F77" s="211">
        <v>18</v>
      </c>
      <c r="G77" s="219">
        <f t="shared" si="8"/>
        <v>-38.888888888888893</v>
      </c>
      <c r="H77" s="216">
        <f t="shared" si="9"/>
        <v>7.5337305663995616E-2</v>
      </c>
      <c r="I77" s="216">
        <f t="shared" si="10"/>
        <v>9.0484089880862609E-2</v>
      </c>
      <c r="J77" s="210">
        <v>11</v>
      </c>
      <c r="K77" s="211">
        <v>18</v>
      </c>
      <c r="L77" s="219">
        <f t="shared" si="11"/>
        <v>-38.888888888888893</v>
      </c>
      <c r="M77" s="216">
        <f t="shared" si="12"/>
        <v>7.5337305663995616E-2</v>
      </c>
      <c r="N77" s="217">
        <f t="shared" si="13"/>
        <v>9.0484089880862609E-2</v>
      </c>
    </row>
    <row r="78" spans="1:14" hidden="1" outlineLevel="1">
      <c r="A78" s="208"/>
      <c r="B78" s="218" t="s">
        <v>824</v>
      </c>
      <c r="C78" s="214">
        <f t="shared" si="7"/>
        <v>266.66666666666663</v>
      </c>
      <c r="E78" s="210">
        <v>11</v>
      </c>
      <c r="F78" s="211">
        <v>3</v>
      </c>
      <c r="G78" s="219">
        <f t="shared" si="8"/>
        <v>266.66666666666663</v>
      </c>
      <c r="H78" s="216">
        <f t="shared" si="9"/>
        <v>7.5337305663995616E-2</v>
      </c>
      <c r="I78" s="216">
        <f t="shared" si="10"/>
        <v>1.5080681646810435E-2</v>
      </c>
      <c r="J78" s="210">
        <v>11</v>
      </c>
      <c r="K78" s="211">
        <v>3</v>
      </c>
      <c r="L78" s="219">
        <f t="shared" si="11"/>
        <v>266.66666666666663</v>
      </c>
      <c r="M78" s="216">
        <f t="shared" si="12"/>
        <v>7.5337305663995616E-2</v>
      </c>
      <c r="N78" s="217">
        <f t="shared" si="13"/>
        <v>1.5080681646810435E-2</v>
      </c>
    </row>
    <row r="79" spans="1:14" hidden="1" outlineLevel="1">
      <c r="A79" s="208"/>
      <c r="B79" s="218" t="s">
        <v>825</v>
      </c>
      <c r="C79" s="214">
        <f t="shared" si="7"/>
        <v>450</v>
      </c>
      <c r="E79" s="210">
        <v>11</v>
      </c>
      <c r="F79" s="211">
        <v>2</v>
      </c>
      <c r="G79" s="219">
        <f t="shared" si="8"/>
        <v>450</v>
      </c>
      <c r="H79" s="216">
        <f t="shared" si="9"/>
        <v>7.5337305663995616E-2</v>
      </c>
      <c r="I79" s="216">
        <f t="shared" si="10"/>
        <v>1.005378776454029E-2</v>
      </c>
      <c r="J79" s="210">
        <v>11</v>
      </c>
      <c r="K79" s="211">
        <v>2</v>
      </c>
      <c r="L79" s="219">
        <f t="shared" si="11"/>
        <v>450</v>
      </c>
      <c r="M79" s="216">
        <f t="shared" si="12"/>
        <v>7.5337305663995616E-2</v>
      </c>
      <c r="N79" s="217">
        <f t="shared" si="13"/>
        <v>1.005378776454029E-2</v>
      </c>
    </row>
    <row r="80" spans="1:14" hidden="1" outlineLevel="1">
      <c r="A80" s="208"/>
      <c r="B80" s="218" t="s">
        <v>1077</v>
      </c>
      <c r="C80" s="214" t="str">
        <f t="shared" si="7"/>
        <v/>
      </c>
      <c r="E80" s="210">
        <v>10</v>
      </c>
      <c r="F80" s="211">
        <v>0</v>
      </c>
      <c r="G80" s="219" t="str">
        <f t="shared" si="8"/>
        <v/>
      </c>
      <c r="H80" s="216">
        <f t="shared" si="9"/>
        <v>6.8488459694541468E-2</v>
      </c>
      <c r="I80" s="216" t="str">
        <f t="shared" si="10"/>
        <v/>
      </c>
      <c r="J80" s="210">
        <v>10</v>
      </c>
      <c r="K80" s="211">
        <v>0</v>
      </c>
      <c r="L80" s="219" t="str">
        <f t="shared" si="11"/>
        <v/>
      </c>
      <c r="M80" s="216">
        <f t="shared" si="12"/>
        <v>6.8488459694541468E-2</v>
      </c>
      <c r="N80" s="217" t="str">
        <f t="shared" si="13"/>
        <v/>
      </c>
    </row>
    <row r="81" spans="1:14" hidden="1" outlineLevel="1">
      <c r="A81" s="208"/>
      <c r="B81" s="218" t="s">
        <v>827</v>
      </c>
      <c r="C81" s="214">
        <f t="shared" si="7"/>
        <v>100</v>
      </c>
      <c r="E81" s="210">
        <v>8</v>
      </c>
      <c r="F81" s="211">
        <v>4</v>
      </c>
      <c r="G81" s="219">
        <f t="shared" si="8"/>
        <v>100</v>
      </c>
      <c r="H81" s="216">
        <f t="shared" si="9"/>
        <v>5.4790767755633171E-2</v>
      </c>
      <c r="I81" s="216">
        <f t="shared" si="10"/>
        <v>2.010757552908058E-2</v>
      </c>
      <c r="J81" s="210">
        <v>8</v>
      </c>
      <c r="K81" s="211">
        <v>4</v>
      </c>
      <c r="L81" s="219">
        <f t="shared" si="11"/>
        <v>100</v>
      </c>
      <c r="M81" s="216">
        <f t="shared" si="12"/>
        <v>5.4790767755633171E-2</v>
      </c>
      <c r="N81" s="217">
        <f t="shared" si="13"/>
        <v>2.010757552908058E-2</v>
      </c>
    </row>
    <row r="82" spans="1:14" hidden="1" outlineLevel="1">
      <c r="A82" s="208"/>
      <c r="B82" s="218" t="s">
        <v>828</v>
      </c>
      <c r="C82" s="214">
        <f t="shared" si="7"/>
        <v>100</v>
      </c>
      <c r="E82" s="210">
        <v>2</v>
      </c>
      <c r="F82" s="211">
        <v>1</v>
      </c>
      <c r="G82" s="219">
        <f t="shared" si="8"/>
        <v>100</v>
      </c>
      <c r="H82" s="216">
        <f t="shared" si="9"/>
        <v>1.3697691938908293E-2</v>
      </c>
      <c r="I82" s="216">
        <f t="shared" si="10"/>
        <v>5.0268938822701451E-3</v>
      </c>
      <c r="J82" s="210">
        <v>2</v>
      </c>
      <c r="K82" s="211">
        <v>1</v>
      </c>
      <c r="L82" s="219">
        <f t="shared" si="11"/>
        <v>100</v>
      </c>
      <c r="M82" s="216">
        <f t="shared" si="12"/>
        <v>1.3697691938908293E-2</v>
      </c>
      <c r="N82" s="217">
        <f t="shared" si="13"/>
        <v>5.0268938822701451E-3</v>
      </c>
    </row>
    <row r="83" spans="1:14" hidden="1" outlineLevel="1">
      <c r="A83" s="208"/>
      <c r="B83" s="218" t="s">
        <v>829</v>
      </c>
      <c r="C83" s="214">
        <f t="shared" si="7"/>
        <v>100</v>
      </c>
      <c r="E83" s="210">
        <v>2</v>
      </c>
      <c r="F83" s="211">
        <v>1</v>
      </c>
      <c r="G83" s="219">
        <f t="shared" si="8"/>
        <v>100</v>
      </c>
      <c r="H83" s="216">
        <f t="shared" si="9"/>
        <v>1.3697691938908293E-2</v>
      </c>
      <c r="I83" s="216">
        <f t="shared" si="10"/>
        <v>5.0268938822701451E-3</v>
      </c>
      <c r="J83" s="210">
        <v>2</v>
      </c>
      <c r="K83" s="211">
        <v>1</v>
      </c>
      <c r="L83" s="219">
        <f t="shared" si="11"/>
        <v>100</v>
      </c>
      <c r="M83" s="216">
        <f t="shared" si="12"/>
        <v>1.3697691938908293E-2</v>
      </c>
      <c r="N83" s="217">
        <f t="shared" si="13"/>
        <v>5.0268938822701451E-3</v>
      </c>
    </row>
    <row r="84" spans="1:14" hidden="1" outlineLevel="1">
      <c r="A84" s="208"/>
      <c r="B84" s="218" t="s">
        <v>814</v>
      </c>
      <c r="C84" s="214">
        <f t="shared" si="7"/>
        <v>-99.543378995433784</v>
      </c>
      <c r="E84" s="210">
        <v>1</v>
      </c>
      <c r="F84" s="211">
        <v>219</v>
      </c>
      <c r="G84" s="219">
        <f t="shared" si="8"/>
        <v>-99.543378995433784</v>
      </c>
      <c r="H84" s="216">
        <f t="shared" si="9"/>
        <v>6.8488459694541464E-3</v>
      </c>
      <c r="I84" s="216">
        <f t="shared" si="10"/>
        <v>1.1008897602171619</v>
      </c>
      <c r="J84" s="210">
        <v>1</v>
      </c>
      <c r="K84" s="211">
        <v>219</v>
      </c>
      <c r="L84" s="219">
        <f t="shared" si="11"/>
        <v>-99.543378995433784</v>
      </c>
      <c r="M84" s="216">
        <f t="shared" si="12"/>
        <v>6.8488459694541464E-3</v>
      </c>
      <c r="N84" s="217">
        <f t="shared" si="13"/>
        <v>1.1008897602171619</v>
      </c>
    </row>
    <row r="85" spans="1:14" hidden="1" outlineLevel="1">
      <c r="A85" s="208"/>
      <c r="B85" s="218" t="s">
        <v>826</v>
      </c>
      <c r="C85" s="214">
        <f t="shared" si="7"/>
        <v>-66.666666666666657</v>
      </c>
      <c r="E85" s="210">
        <v>1</v>
      </c>
      <c r="F85" s="211">
        <v>3</v>
      </c>
      <c r="G85" s="219">
        <f t="shared" si="8"/>
        <v>-66.666666666666657</v>
      </c>
      <c r="H85" s="216">
        <f t="shared" si="9"/>
        <v>6.8488459694541464E-3</v>
      </c>
      <c r="I85" s="216">
        <f t="shared" si="10"/>
        <v>1.5080681646810435E-2</v>
      </c>
      <c r="J85" s="210">
        <v>1</v>
      </c>
      <c r="K85" s="211">
        <v>3</v>
      </c>
      <c r="L85" s="219">
        <f t="shared" si="11"/>
        <v>-66.666666666666657</v>
      </c>
      <c r="M85" s="216">
        <f t="shared" si="12"/>
        <v>6.8488459694541464E-3</v>
      </c>
      <c r="N85" s="217">
        <f t="shared" si="13"/>
        <v>1.5080681646810435E-2</v>
      </c>
    </row>
    <row r="86" spans="1:14" collapsed="1">
      <c r="A86" s="208" t="s">
        <v>1137</v>
      </c>
      <c r="B86" s="207" t="s">
        <v>273</v>
      </c>
      <c r="C86" s="214">
        <f t="shared" si="7"/>
        <v>7.0154577883472058</v>
      </c>
      <c r="E86" s="210">
        <v>900</v>
      </c>
      <c r="F86" s="211">
        <v>841</v>
      </c>
      <c r="G86" s="219">
        <f t="shared" si="8"/>
        <v>7.0154577883472058</v>
      </c>
      <c r="H86" s="216">
        <f t="shared" si="9"/>
        <v>6.1639613725087319</v>
      </c>
      <c r="I86" s="216">
        <f t="shared" si="10"/>
        <v>4.2276177549891925</v>
      </c>
      <c r="J86" s="210">
        <v>900</v>
      </c>
      <c r="K86" s="211">
        <v>841</v>
      </c>
      <c r="L86" s="219">
        <f t="shared" si="11"/>
        <v>7.0154577883472058</v>
      </c>
      <c r="M86" s="216">
        <f t="shared" si="12"/>
        <v>6.1639613725087319</v>
      </c>
      <c r="N86" s="217">
        <f t="shared" si="13"/>
        <v>4.2276177549891925</v>
      </c>
    </row>
    <row r="87" spans="1:14" hidden="1" outlineLevel="1">
      <c r="A87" s="208"/>
      <c r="B87" s="218" t="s">
        <v>858</v>
      </c>
      <c r="C87" s="214">
        <f t="shared" si="7"/>
        <v>193.82716049382717</v>
      </c>
      <c r="E87" s="210">
        <v>238</v>
      </c>
      <c r="F87" s="211">
        <v>81</v>
      </c>
      <c r="G87" s="219">
        <f t="shared" si="8"/>
        <v>193.82716049382717</v>
      </c>
      <c r="H87" s="216">
        <f t="shared" si="9"/>
        <v>1.6300253407300871</v>
      </c>
      <c r="I87" s="216">
        <f t="shared" si="10"/>
        <v>0.40717840446388182</v>
      </c>
      <c r="J87" s="210">
        <v>238</v>
      </c>
      <c r="K87" s="211">
        <v>81</v>
      </c>
      <c r="L87" s="219">
        <f t="shared" si="11"/>
        <v>193.82716049382717</v>
      </c>
      <c r="M87" s="216">
        <f t="shared" si="12"/>
        <v>1.6300253407300871</v>
      </c>
      <c r="N87" s="217">
        <f t="shared" si="13"/>
        <v>0.40717840446388182</v>
      </c>
    </row>
    <row r="88" spans="1:14" hidden="1" outlineLevel="1">
      <c r="A88" s="208"/>
      <c r="B88" s="218" t="s">
        <v>857</v>
      </c>
      <c r="C88" s="214">
        <f t="shared" si="7"/>
        <v>54.411764705882348</v>
      </c>
      <c r="E88" s="210">
        <v>105</v>
      </c>
      <c r="F88" s="211">
        <v>68</v>
      </c>
      <c r="G88" s="219">
        <f t="shared" si="8"/>
        <v>54.411764705882348</v>
      </c>
      <c r="H88" s="216">
        <f t="shared" si="9"/>
        <v>0.71912882679268542</v>
      </c>
      <c r="I88" s="216">
        <f t="shared" si="10"/>
        <v>0.34182878399436989</v>
      </c>
      <c r="J88" s="210">
        <v>105</v>
      </c>
      <c r="K88" s="211">
        <v>68</v>
      </c>
      <c r="L88" s="219">
        <f t="shared" si="11"/>
        <v>54.411764705882348</v>
      </c>
      <c r="M88" s="216">
        <f t="shared" si="12"/>
        <v>0.71912882679268542</v>
      </c>
      <c r="N88" s="217">
        <f t="shared" si="13"/>
        <v>0.34182878399436989</v>
      </c>
    </row>
    <row r="89" spans="1:14" hidden="1" outlineLevel="1">
      <c r="A89" s="208"/>
      <c r="B89" s="218" t="s">
        <v>855</v>
      </c>
      <c r="C89" s="214">
        <f t="shared" si="7"/>
        <v>-34.615384615384613</v>
      </c>
      <c r="E89" s="210">
        <v>102</v>
      </c>
      <c r="F89" s="211">
        <v>156</v>
      </c>
      <c r="G89" s="219">
        <f t="shared" si="8"/>
        <v>-34.615384615384613</v>
      </c>
      <c r="H89" s="216">
        <f t="shared" si="9"/>
        <v>0.69858228888432294</v>
      </c>
      <c r="I89" s="216">
        <f t="shared" si="10"/>
        <v>0.78419544563414267</v>
      </c>
      <c r="J89" s="210">
        <v>102</v>
      </c>
      <c r="K89" s="211">
        <v>156</v>
      </c>
      <c r="L89" s="219">
        <f t="shared" si="11"/>
        <v>-34.615384615384613</v>
      </c>
      <c r="M89" s="216">
        <f t="shared" si="12"/>
        <v>0.69858228888432294</v>
      </c>
      <c r="N89" s="217">
        <f t="shared" si="13"/>
        <v>0.78419544563414267</v>
      </c>
    </row>
    <row r="90" spans="1:14" hidden="1" outlineLevel="1">
      <c r="A90" s="208"/>
      <c r="B90" s="218" t="s">
        <v>856</v>
      </c>
      <c r="C90" s="214">
        <f t="shared" si="7"/>
        <v>66.101694915254242</v>
      </c>
      <c r="E90" s="210">
        <v>98</v>
      </c>
      <c r="F90" s="211">
        <v>59</v>
      </c>
      <c r="G90" s="219">
        <f t="shared" si="8"/>
        <v>66.101694915254242</v>
      </c>
      <c r="H90" s="216">
        <f t="shared" si="9"/>
        <v>0.67118690500650635</v>
      </c>
      <c r="I90" s="216">
        <f t="shared" si="10"/>
        <v>0.29658673905393856</v>
      </c>
      <c r="J90" s="210">
        <v>98</v>
      </c>
      <c r="K90" s="211">
        <v>59</v>
      </c>
      <c r="L90" s="219">
        <f t="shared" si="11"/>
        <v>66.101694915254242</v>
      </c>
      <c r="M90" s="216">
        <f t="shared" si="12"/>
        <v>0.67118690500650635</v>
      </c>
      <c r="N90" s="217">
        <f t="shared" si="13"/>
        <v>0.29658673905393856</v>
      </c>
    </row>
    <row r="91" spans="1:14" hidden="1" outlineLevel="1">
      <c r="A91" s="208"/>
      <c r="B91" s="218" t="s">
        <v>860</v>
      </c>
      <c r="C91" s="214">
        <f t="shared" si="7"/>
        <v>137.14285714285714</v>
      </c>
      <c r="E91" s="210">
        <v>83</v>
      </c>
      <c r="F91" s="211">
        <v>35</v>
      </c>
      <c r="G91" s="219">
        <f t="shared" si="8"/>
        <v>137.14285714285714</v>
      </c>
      <c r="H91" s="216">
        <f t="shared" si="9"/>
        <v>0.56845421546469421</v>
      </c>
      <c r="I91" s="216">
        <f t="shared" si="10"/>
        <v>0.17594128587945507</v>
      </c>
      <c r="J91" s="210">
        <v>83</v>
      </c>
      <c r="K91" s="211">
        <v>35</v>
      </c>
      <c r="L91" s="219">
        <f t="shared" si="11"/>
        <v>137.14285714285714</v>
      </c>
      <c r="M91" s="216">
        <f t="shared" si="12"/>
        <v>0.56845421546469421</v>
      </c>
      <c r="N91" s="217">
        <f t="shared" si="13"/>
        <v>0.17594128587945507</v>
      </c>
    </row>
    <row r="92" spans="1:14" hidden="1" outlineLevel="1">
      <c r="A92" s="208"/>
      <c r="B92" s="218" t="s">
        <v>862</v>
      </c>
      <c r="C92" s="214">
        <f t="shared" si="7"/>
        <v>40.425531914893611</v>
      </c>
      <c r="E92" s="210">
        <v>66</v>
      </c>
      <c r="F92" s="211">
        <v>47</v>
      </c>
      <c r="G92" s="219">
        <f t="shared" si="8"/>
        <v>40.425531914893611</v>
      </c>
      <c r="H92" s="216">
        <f t="shared" si="9"/>
        <v>0.45202383398397372</v>
      </c>
      <c r="I92" s="216">
        <f t="shared" si="10"/>
        <v>0.23626401246669682</v>
      </c>
      <c r="J92" s="210">
        <v>66</v>
      </c>
      <c r="K92" s="211">
        <v>47</v>
      </c>
      <c r="L92" s="219">
        <f t="shared" si="11"/>
        <v>40.425531914893611</v>
      </c>
      <c r="M92" s="216">
        <f t="shared" si="12"/>
        <v>0.45202383398397372</v>
      </c>
      <c r="N92" s="217">
        <f t="shared" si="13"/>
        <v>0.23626401246669682</v>
      </c>
    </row>
    <row r="93" spans="1:14" hidden="1" outlineLevel="1">
      <c r="A93" s="208"/>
      <c r="B93" s="218" t="s">
        <v>859</v>
      </c>
      <c r="C93" s="214">
        <f t="shared" si="7"/>
        <v>-57.936507936507944</v>
      </c>
      <c r="E93" s="210">
        <v>53</v>
      </c>
      <c r="F93" s="211">
        <v>126</v>
      </c>
      <c r="G93" s="219">
        <f t="shared" si="8"/>
        <v>-57.936507936507944</v>
      </c>
      <c r="H93" s="216">
        <f t="shared" si="9"/>
        <v>0.36298883638106982</v>
      </c>
      <c r="I93" s="216">
        <f t="shared" si="10"/>
        <v>0.63338862916603833</v>
      </c>
      <c r="J93" s="210">
        <v>53</v>
      </c>
      <c r="K93" s="211">
        <v>126</v>
      </c>
      <c r="L93" s="219">
        <f t="shared" si="11"/>
        <v>-57.936507936507944</v>
      </c>
      <c r="M93" s="216">
        <f t="shared" si="12"/>
        <v>0.36298883638106982</v>
      </c>
      <c r="N93" s="217">
        <f t="shared" si="13"/>
        <v>0.63338862916603833</v>
      </c>
    </row>
    <row r="94" spans="1:14" hidden="1" outlineLevel="1">
      <c r="A94" s="208"/>
      <c r="B94" s="218" t="s">
        <v>863</v>
      </c>
      <c r="C94" s="214">
        <f t="shared" si="7"/>
        <v>34.375</v>
      </c>
      <c r="E94" s="210">
        <v>43</v>
      </c>
      <c r="F94" s="211">
        <v>32</v>
      </c>
      <c r="G94" s="219">
        <f t="shared" si="8"/>
        <v>34.375</v>
      </c>
      <c r="H94" s="216">
        <f t="shared" si="9"/>
        <v>0.29450037668652834</v>
      </c>
      <c r="I94" s="216">
        <f t="shared" si="10"/>
        <v>0.16086060423264464</v>
      </c>
      <c r="J94" s="210">
        <v>43</v>
      </c>
      <c r="K94" s="211">
        <v>32</v>
      </c>
      <c r="L94" s="219">
        <f t="shared" si="11"/>
        <v>34.375</v>
      </c>
      <c r="M94" s="216">
        <f t="shared" si="12"/>
        <v>0.29450037668652834</v>
      </c>
      <c r="N94" s="217">
        <f t="shared" si="13"/>
        <v>0.16086060423264464</v>
      </c>
    </row>
    <row r="95" spans="1:14" hidden="1" outlineLevel="1">
      <c r="A95" s="208"/>
      <c r="B95" s="218" t="s">
        <v>854</v>
      </c>
      <c r="C95" s="214">
        <f t="shared" si="7"/>
        <v>-55.128205128205131</v>
      </c>
      <c r="E95" s="210">
        <v>35</v>
      </c>
      <c r="F95" s="211">
        <v>78</v>
      </c>
      <c r="G95" s="219">
        <f t="shared" si="8"/>
        <v>-55.128205128205131</v>
      </c>
      <c r="H95" s="216">
        <f t="shared" si="9"/>
        <v>0.23970960893089513</v>
      </c>
      <c r="I95" s="216">
        <f t="shared" si="10"/>
        <v>0.39209772281707134</v>
      </c>
      <c r="J95" s="210">
        <v>35</v>
      </c>
      <c r="K95" s="211">
        <v>78</v>
      </c>
      <c r="L95" s="219">
        <f t="shared" si="11"/>
        <v>-55.128205128205131</v>
      </c>
      <c r="M95" s="216">
        <f t="shared" si="12"/>
        <v>0.23970960893089513</v>
      </c>
      <c r="N95" s="217">
        <f t="shared" si="13"/>
        <v>0.39209772281707134</v>
      </c>
    </row>
    <row r="96" spans="1:14" hidden="1" outlineLevel="1">
      <c r="A96" s="208"/>
      <c r="B96" s="218" t="s">
        <v>864</v>
      </c>
      <c r="C96" s="214">
        <f t="shared" si="7"/>
        <v>64.285714285714292</v>
      </c>
      <c r="E96" s="210">
        <v>23</v>
      </c>
      <c r="F96" s="211">
        <v>14</v>
      </c>
      <c r="G96" s="219">
        <f t="shared" si="8"/>
        <v>64.285714285714292</v>
      </c>
      <c r="H96" s="216">
        <f t="shared" si="9"/>
        <v>0.15752345729744538</v>
      </c>
      <c r="I96" s="216">
        <f t="shared" si="10"/>
        <v>7.0376514351782035E-2</v>
      </c>
      <c r="J96" s="210">
        <v>23</v>
      </c>
      <c r="K96" s="211">
        <v>14</v>
      </c>
      <c r="L96" s="219">
        <f t="shared" si="11"/>
        <v>64.285714285714292</v>
      </c>
      <c r="M96" s="216">
        <f t="shared" si="12"/>
        <v>0.15752345729744538</v>
      </c>
      <c r="N96" s="217">
        <f t="shared" si="13"/>
        <v>7.0376514351782035E-2</v>
      </c>
    </row>
    <row r="97" spans="1:14" hidden="1" outlineLevel="1">
      <c r="A97" s="208"/>
      <c r="B97" s="218" t="s">
        <v>861</v>
      </c>
      <c r="C97" s="214">
        <f t="shared" si="7"/>
        <v>-80.645161290322577</v>
      </c>
      <c r="E97" s="210">
        <v>18</v>
      </c>
      <c r="F97" s="211">
        <v>93</v>
      </c>
      <c r="G97" s="219">
        <f t="shared" si="8"/>
        <v>-80.645161290322577</v>
      </c>
      <c r="H97" s="216">
        <f t="shared" si="9"/>
        <v>0.12327922745017465</v>
      </c>
      <c r="I97" s="216">
        <f t="shared" si="10"/>
        <v>0.46750113105112356</v>
      </c>
      <c r="J97" s="210">
        <v>18</v>
      </c>
      <c r="K97" s="211">
        <v>93</v>
      </c>
      <c r="L97" s="219">
        <f t="shared" si="11"/>
        <v>-80.645161290322577</v>
      </c>
      <c r="M97" s="216">
        <f t="shared" si="12"/>
        <v>0.12327922745017465</v>
      </c>
      <c r="N97" s="217">
        <f t="shared" si="13"/>
        <v>0.46750113105112356</v>
      </c>
    </row>
    <row r="98" spans="1:14" hidden="1" outlineLevel="1">
      <c r="A98" s="208"/>
      <c r="B98" s="218" t="s">
        <v>867</v>
      </c>
      <c r="C98" s="214">
        <f t="shared" si="7"/>
        <v>128.57142857142858</v>
      </c>
      <c r="E98" s="210">
        <v>16</v>
      </c>
      <c r="F98" s="211">
        <v>7</v>
      </c>
      <c r="G98" s="219">
        <f t="shared" si="8"/>
        <v>128.57142857142858</v>
      </c>
      <c r="H98" s="216">
        <f t="shared" si="9"/>
        <v>0.10958153551126634</v>
      </c>
      <c r="I98" s="216">
        <f t="shared" si="10"/>
        <v>3.5188257175891018E-2</v>
      </c>
      <c r="J98" s="210">
        <v>16</v>
      </c>
      <c r="K98" s="211">
        <v>7</v>
      </c>
      <c r="L98" s="219">
        <f t="shared" si="11"/>
        <v>128.57142857142858</v>
      </c>
      <c r="M98" s="216">
        <f t="shared" si="12"/>
        <v>0.10958153551126634</v>
      </c>
      <c r="N98" s="217">
        <f t="shared" si="13"/>
        <v>3.5188257175891018E-2</v>
      </c>
    </row>
    <row r="99" spans="1:14" hidden="1" outlineLevel="1">
      <c r="A99" s="208"/>
      <c r="B99" s="218" t="s">
        <v>868</v>
      </c>
      <c r="C99" s="214">
        <f t="shared" si="7"/>
        <v>100</v>
      </c>
      <c r="E99" s="210">
        <v>8</v>
      </c>
      <c r="F99" s="211">
        <v>4</v>
      </c>
      <c r="G99" s="219">
        <f t="shared" si="8"/>
        <v>100</v>
      </c>
      <c r="H99" s="216">
        <f t="shared" si="9"/>
        <v>5.4790767755633171E-2</v>
      </c>
      <c r="I99" s="216">
        <f t="shared" si="10"/>
        <v>2.010757552908058E-2</v>
      </c>
      <c r="J99" s="210">
        <v>8</v>
      </c>
      <c r="K99" s="211">
        <v>4</v>
      </c>
      <c r="L99" s="219">
        <f t="shared" si="11"/>
        <v>100</v>
      </c>
      <c r="M99" s="216">
        <f t="shared" si="12"/>
        <v>5.4790767755633171E-2</v>
      </c>
      <c r="N99" s="217">
        <f t="shared" si="13"/>
        <v>2.010757552908058E-2</v>
      </c>
    </row>
    <row r="100" spans="1:14" hidden="1" outlineLevel="1">
      <c r="A100" s="208"/>
      <c r="B100" s="218" t="s">
        <v>865</v>
      </c>
      <c r="C100" s="214">
        <f t="shared" si="7"/>
        <v>-25</v>
      </c>
      <c r="E100" s="210">
        <v>6</v>
      </c>
      <c r="F100" s="211">
        <v>8</v>
      </c>
      <c r="G100" s="219">
        <f t="shared" si="8"/>
        <v>-25</v>
      </c>
      <c r="H100" s="216">
        <f t="shared" si="9"/>
        <v>4.1093075816724882E-2</v>
      </c>
      <c r="I100" s="216">
        <f t="shared" si="10"/>
        <v>4.0215151058161161E-2</v>
      </c>
      <c r="J100" s="210">
        <v>6</v>
      </c>
      <c r="K100" s="211">
        <v>8</v>
      </c>
      <c r="L100" s="219">
        <f t="shared" si="11"/>
        <v>-25</v>
      </c>
      <c r="M100" s="216">
        <f t="shared" si="12"/>
        <v>4.1093075816724882E-2</v>
      </c>
      <c r="N100" s="217">
        <f t="shared" si="13"/>
        <v>4.0215151058161161E-2</v>
      </c>
    </row>
    <row r="101" spans="1:14" hidden="1" outlineLevel="1">
      <c r="A101" s="208"/>
      <c r="B101" s="218" t="s">
        <v>866</v>
      </c>
      <c r="C101" s="214">
        <f t="shared" si="7"/>
        <v>-86.666666666666671</v>
      </c>
      <c r="E101" s="210">
        <v>4</v>
      </c>
      <c r="F101" s="211">
        <v>30</v>
      </c>
      <c r="G101" s="219">
        <f t="shared" si="8"/>
        <v>-86.666666666666671</v>
      </c>
      <c r="H101" s="216">
        <f t="shared" si="9"/>
        <v>2.7395383877816586E-2</v>
      </c>
      <c r="I101" s="216">
        <f t="shared" si="10"/>
        <v>0.15080681646810434</v>
      </c>
      <c r="J101" s="210">
        <v>4</v>
      </c>
      <c r="K101" s="211">
        <v>30</v>
      </c>
      <c r="L101" s="219">
        <f t="shared" si="11"/>
        <v>-86.666666666666671</v>
      </c>
      <c r="M101" s="216">
        <f t="shared" si="12"/>
        <v>2.7395383877816586E-2</v>
      </c>
      <c r="N101" s="217">
        <f t="shared" si="13"/>
        <v>0.15080681646810434</v>
      </c>
    </row>
    <row r="102" spans="1:14" hidden="1" outlineLevel="1">
      <c r="A102" s="208"/>
      <c r="B102" s="218" t="s">
        <v>873</v>
      </c>
      <c r="C102" s="214" t="str">
        <f t="shared" si="7"/>
        <v/>
      </c>
      <c r="E102" s="210">
        <v>1</v>
      </c>
      <c r="F102" s="211">
        <v>0</v>
      </c>
      <c r="G102" s="219" t="str">
        <f t="shared" si="8"/>
        <v/>
      </c>
      <c r="H102" s="216">
        <f t="shared" si="9"/>
        <v>6.8488459694541464E-3</v>
      </c>
      <c r="I102" s="216" t="str">
        <f t="shared" si="10"/>
        <v/>
      </c>
      <c r="J102" s="210">
        <v>1</v>
      </c>
      <c r="K102" s="211">
        <v>0</v>
      </c>
      <c r="L102" s="219" t="str">
        <f t="shared" si="11"/>
        <v/>
      </c>
      <c r="M102" s="216">
        <f t="shared" si="12"/>
        <v>6.8488459694541464E-3</v>
      </c>
      <c r="N102" s="217" t="str">
        <f t="shared" si="13"/>
        <v/>
      </c>
    </row>
    <row r="103" spans="1:14" hidden="1" outlineLevel="1">
      <c r="A103" s="208"/>
      <c r="B103" s="218" t="s">
        <v>869</v>
      </c>
      <c r="C103" s="214" t="str">
        <f t="shared" si="7"/>
        <v/>
      </c>
      <c r="E103" s="210">
        <v>1</v>
      </c>
      <c r="F103" s="211">
        <v>0</v>
      </c>
      <c r="G103" s="219" t="str">
        <f t="shared" si="8"/>
        <v/>
      </c>
      <c r="H103" s="216">
        <f t="shared" si="9"/>
        <v>6.8488459694541464E-3</v>
      </c>
      <c r="I103" s="216" t="str">
        <f t="shared" si="10"/>
        <v/>
      </c>
      <c r="J103" s="210">
        <v>1</v>
      </c>
      <c r="K103" s="211">
        <v>0</v>
      </c>
      <c r="L103" s="219" t="str">
        <f t="shared" si="11"/>
        <v/>
      </c>
      <c r="M103" s="216">
        <f t="shared" si="12"/>
        <v>6.8488459694541464E-3</v>
      </c>
      <c r="N103" s="217" t="str">
        <f t="shared" si="13"/>
        <v/>
      </c>
    </row>
    <row r="104" spans="1:14" hidden="1" outlineLevel="1">
      <c r="A104" s="208"/>
      <c r="B104" s="218" t="s">
        <v>870</v>
      </c>
      <c r="C104" s="214">
        <f t="shared" si="7"/>
        <v>-100</v>
      </c>
      <c r="E104" s="210">
        <v>0</v>
      </c>
      <c r="F104" s="211">
        <v>1</v>
      </c>
      <c r="G104" s="219">
        <f t="shared" si="8"/>
        <v>-100</v>
      </c>
      <c r="H104" s="216" t="str">
        <f t="shared" si="9"/>
        <v/>
      </c>
      <c r="I104" s="216">
        <f t="shared" si="10"/>
        <v>5.0268938822701451E-3</v>
      </c>
      <c r="J104" s="210">
        <v>0</v>
      </c>
      <c r="K104" s="211">
        <v>1</v>
      </c>
      <c r="L104" s="219">
        <f t="shared" si="11"/>
        <v>-100</v>
      </c>
      <c r="M104" s="216" t="str">
        <f t="shared" si="12"/>
        <v/>
      </c>
      <c r="N104" s="217">
        <f t="shared" si="13"/>
        <v>5.0268938822701451E-3</v>
      </c>
    </row>
    <row r="105" spans="1:14" hidden="1" outlineLevel="1">
      <c r="A105" s="208"/>
      <c r="B105" s="218" t="s">
        <v>871</v>
      </c>
      <c r="C105" s="214">
        <f t="shared" si="7"/>
        <v>-100</v>
      </c>
      <c r="E105" s="210">
        <v>0</v>
      </c>
      <c r="F105" s="211">
        <v>1</v>
      </c>
      <c r="G105" s="219">
        <f t="shared" si="8"/>
        <v>-100</v>
      </c>
      <c r="H105" s="216" t="str">
        <f t="shared" si="9"/>
        <v/>
      </c>
      <c r="I105" s="216">
        <f t="shared" si="10"/>
        <v>5.0268938822701451E-3</v>
      </c>
      <c r="J105" s="210">
        <v>0</v>
      </c>
      <c r="K105" s="211">
        <v>1</v>
      </c>
      <c r="L105" s="219">
        <f t="shared" si="11"/>
        <v>-100</v>
      </c>
      <c r="M105" s="216" t="str">
        <f t="shared" si="12"/>
        <v/>
      </c>
      <c r="N105" s="217">
        <f t="shared" si="13"/>
        <v>5.0268938822701451E-3</v>
      </c>
    </row>
    <row r="106" spans="1:14" hidden="1" outlineLevel="1">
      <c r="A106" s="208"/>
      <c r="B106" s="218" t="s">
        <v>872</v>
      </c>
      <c r="C106" s="214">
        <f t="shared" si="7"/>
        <v>-100</v>
      </c>
      <c r="E106" s="210">
        <v>0</v>
      </c>
      <c r="F106" s="211">
        <v>1</v>
      </c>
      <c r="G106" s="219">
        <f t="shared" si="8"/>
        <v>-100</v>
      </c>
      <c r="H106" s="216" t="str">
        <f t="shared" si="9"/>
        <v/>
      </c>
      <c r="I106" s="216">
        <f t="shared" si="10"/>
        <v>5.0268938822701451E-3</v>
      </c>
      <c r="J106" s="210">
        <v>0</v>
      </c>
      <c r="K106" s="211">
        <v>1</v>
      </c>
      <c r="L106" s="219">
        <f t="shared" si="11"/>
        <v>-100</v>
      </c>
      <c r="M106" s="216" t="str">
        <f t="shared" si="12"/>
        <v/>
      </c>
      <c r="N106" s="217">
        <f t="shared" si="13"/>
        <v>5.0268938822701451E-3</v>
      </c>
    </row>
    <row r="107" spans="1:14" collapsed="1">
      <c r="A107" s="208" t="s">
        <v>1138</v>
      </c>
      <c r="B107" s="207" t="s">
        <v>404</v>
      </c>
      <c r="C107" s="214">
        <f t="shared" si="7"/>
        <v>-21.464646464646464</v>
      </c>
      <c r="E107" s="210">
        <v>622</v>
      </c>
      <c r="F107" s="211">
        <v>792</v>
      </c>
      <c r="G107" s="219">
        <f t="shared" si="8"/>
        <v>-21.464646464646464</v>
      </c>
      <c r="H107" s="216">
        <f t="shared" si="9"/>
        <v>4.2599821930004795</v>
      </c>
      <c r="I107" s="216">
        <f t="shared" si="10"/>
        <v>3.9812999547579553</v>
      </c>
      <c r="J107" s="210">
        <v>622</v>
      </c>
      <c r="K107" s="211">
        <v>792</v>
      </c>
      <c r="L107" s="219">
        <f t="shared" si="11"/>
        <v>-21.464646464646464</v>
      </c>
      <c r="M107" s="216">
        <f t="shared" si="12"/>
        <v>4.2599821930004795</v>
      </c>
      <c r="N107" s="217">
        <f t="shared" si="13"/>
        <v>3.9812999547579553</v>
      </c>
    </row>
    <row r="108" spans="1:14" hidden="1" outlineLevel="1">
      <c r="A108" s="208"/>
      <c r="B108" s="218" t="s">
        <v>831</v>
      </c>
      <c r="C108" s="214">
        <f t="shared" si="7"/>
        <v>72.549019607843135</v>
      </c>
      <c r="E108" s="210">
        <v>88</v>
      </c>
      <c r="F108" s="211">
        <v>51</v>
      </c>
      <c r="G108" s="219">
        <f t="shared" si="8"/>
        <v>72.549019607843135</v>
      </c>
      <c r="H108" s="216">
        <f t="shared" si="9"/>
        <v>0.60269844531196493</v>
      </c>
      <c r="I108" s="216">
        <f t="shared" si="10"/>
        <v>0.25637158799577742</v>
      </c>
      <c r="J108" s="210">
        <v>88</v>
      </c>
      <c r="K108" s="211">
        <v>51</v>
      </c>
      <c r="L108" s="219">
        <f t="shared" si="11"/>
        <v>72.549019607843135</v>
      </c>
      <c r="M108" s="216">
        <f t="shared" si="12"/>
        <v>0.60269844531196493</v>
      </c>
      <c r="N108" s="217">
        <f t="shared" si="13"/>
        <v>0.25637158799577742</v>
      </c>
    </row>
    <row r="109" spans="1:14" hidden="1" outlineLevel="1">
      <c r="A109" s="208"/>
      <c r="B109" s="218" t="s">
        <v>834</v>
      </c>
      <c r="C109" s="214">
        <f t="shared" si="7"/>
        <v>-29.357798165137616</v>
      </c>
      <c r="E109" s="210">
        <v>77</v>
      </c>
      <c r="F109" s="211">
        <v>109</v>
      </c>
      <c r="G109" s="219">
        <f t="shared" si="8"/>
        <v>-29.357798165137616</v>
      </c>
      <c r="H109" s="216">
        <f t="shared" si="9"/>
        <v>0.52736113964796927</v>
      </c>
      <c r="I109" s="216">
        <f t="shared" si="10"/>
        <v>0.54793143316744586</v>
      </c>
      <c r="J109" s="210">
        <v>77</v>
      </c>
      <c r="K109" s="211">
        <v>109</v>
      </c>
      <c r="L109" s="219">
        <f t="shared" si="11"/>
        <v>-29.357798165137616</v>
      </c>
      <c r="M109" s="216">
        <f t="shared" si="12"/>
        <v>0.52736113964796927</v>
      </c>
      <c r="N109" s="217">
        <f t="shared" si="13"/>
        <v>0.54793143316744586</v>
      </c>
    </row>
    <row r="110" spans="1:14" hidden="1" outlineLevel="1">
      <c r="A110" s="208"/>
      <c r="B110" s="218" t="s">
        <v>833</v>
      </c>
      <c r="C110" s="214">
        <f t="shared" si="7"/>
        <v>-25.806451612903224</v>
      </c>
      <c r="E110" s="210">
        <v>46</v>
      </c>
      <c r="F110" s="211">
        <v>62</v>
      </c>
      <c r="G110" s="219">
        <f t="shared" si="8"/>
        <v>-25.806451612903224</v>
      </c>
      <c r="H110" s="216">
        <f t="shared" si="9"/>
        <v>0.31504691459489076</v>
      </c>
      <c r="I110" s="216">
        <f t="shared" si="10"/>
        <v>0.31166742070074899</v>
      </c>
      <c r="J110" s="210">
        <v>46</v>
      </c>
      <c r="K110" s="211">
        <v>62</v>
      </c>
      <c r="L110" s="219">
        <f t="shared" si="11"/>
        <v>-25.806451612903224</v>
      </c>
      <c r="M110" s="216">
        <f t="shared" si="12"/>
        <v>0.31504691459489076</v>
      </c>
      <c r="N110" s="217">
        <f t="shared" si="13"/>
        <v>0.31166742070074899</v>
      </c>
    </row>
    <row r="111" spans="1:14" hidden="1" outlineLevel="1">
      <c r="A111" s="208"/>
      <c r="B111" s="218" t="s">
        <v>839</v>
      </c>
      <c r="C111" s="214">
        <f t="shared" si="7"/>
        <v>24.324324324324326</v>
      </c>
      <c r="E111" s="210">
        <v>46</v>
      </c>
      <c r="F111" s="211">
        <v>37</v>
      </c>
      <c r="G111" s="219">
        <f t="shared" si="8"/>
        <v>24.324324324324326</v>
      </c>
      <c r="H111" s="216">
        <f t="shared" si="9"/>
        <v>0.31504691459489076</v>
      </c>
      <c r="I111" s="216">
        <f t="shared" si="10"/>
        <v>0.18599507364399537</v>
      </c>
      <c r="J111" s="210">
        <v>46</v>
      </c>
      <c r="K111" s="211">
        <v>37</v>
      </c>
      <c r="L111" s="219">
        <f t="shared" si="11"/>
        <v>24.324324324324326</v>
      </c>
      <c r="M111" s="216">
        <f t="shared" si="12"/>
        <v>0.31504691459489076</v>
      </c>
      <c r="N111" s="217">
        <f t="shared" si="13"/>
        <v>0.18599507364399537</v>
      </c>
    </row>
    <row r="112" spans="1:14" hidden="1" outlineLevel="1">
      <c r="A112" s="208"/>
      <c r="B112" s="218" t="s">
        <v>836</v>
      </c>
      <c r="C112" s="214" t="str">
        <f t="shared" si="7"/>
        <v/>
      </c>
      <c r="E112" s="210">
        <v>45</v>
      </c>
      <c r="F112" s="211">
        <v>0</v>
      </c>
      <c r="G112" s="219" t="str">
        <f t="shared" si="8"/>
        <v/>
      </c>
      <c r="H112" s="216">
        <f t="shared" si="9"/>
        <v>0.30819806862543658</v>
      </c>
      <c r="I112" s="216" t="str">
        <f t="shared" si="10"/>
        <v/>
      </c>
      <c r="J112" s="210">
        <v>45</v>
      </c>
      <c r="K112" s="211">
        <v>0</v>
      </c>
      <c r="L112" s="219" t="str">
        <f t="shared" si="11"/>
        <v/>
      </c>
      <c r="M112" s="216">
        <f t="shared" si="12"/>
        <v>0.30819806862543658</v>
      </c>
      <c r="N112" s="217" t="str">
        <f t="shared" si="13"/>
        <v/>
      </c>
    </row>
    <row r="113" spans="1:14" hidden="1" outlineLevel="1">
      <c r="A113" s="208"/>
      <c r="B113" s="218" t="s">
        <v>835</v>
      </c>
      <c r="C113" s="214">
        <f t="shared" si="7"/>
        <v>7.6923076923076925</v>
      </c>
      <c r="E113" s="210">
        <v>42</v>
      </c>
      <c r="F113" s="211">
        <v>39</v>
      </c>
      <c r="G113" s="219">
        <f t="shared" si="8"/>
        <v>7.6923076923076925</v>
      </c>
      <c r="H113" s="216">
        <f t="shared" si="9"/>
        <v>0.28765153071707417</v>
      </c>
      <c r="I113" s="216">
        <f t="shared" si="10"/>
        <v>0.19604886140853567</v>
      </c>
      <c r="J113" s="210">
        <v>42</v>
      </c>
      <c r="K113" s="211">
        <v>39</v>
      </c>
      <c r="L113" s="219">
        <f t="shared" si="11"/>
        <v>7.6923076923076925</v>
      </c>
      <c r="M113" s="216">
        <f t="shared" si="12"/>
        <v>0.28765153071707417</v>
      </c>
      <c r="N113" s="217">
        <f t="shared" si="13"/>
        <v>0.19604886140853567</v>
      </c>
    </row>
    <row r="114" spans="1:14" hidden="1" outlineLevel="1">
      <c r="A114" s="208"/>
      <c r="B114" s="218" t="s">
        <v>830</v>
      </c>
      <c r="C114" s="214">
        <f t="shared" si="7"/>
        <v>-55.056179775280903</v>
      </c>
      <c r="E114" s="210">
        <v>40</v>
      </c>
      <c r="F114" s="211">
        <v>89</v>
      </c>
      <c r="G114" s="219">
        <f t="shared" si="8"/>
        <v>-55.056179775280903</v>
      </c>
      <c r="H114" s="216">
        <f t="shared" si="9"/>
        <v>0.27395383877816587</v>
      </c>
      <c r="I114" s="216">
        <f t="shared" si="10"/>
        <v>0.44739355552204296</v>
      </c>
      <c r="J114" s="210">
        <v>40</v>
      </c>
      <c r="K114" s="211">
        <v>89</v>
      </c>
      <c r="L114" s="219">
        <f t="shared" si="11"/>
        <v>-55.056179775280903</v>
      </c>
      <c r="M114" s="216">
        <f t="shared" si="12"/>
        <v>0.27395383877816587</v>
      </c>
      <c r="N114" s="217">
        <f t="shared" si="13"/>
        <v>0.44739355552204296</v>
      </c>
    </row>
    <row r="115" spans="1:14" hidden="1" outlineLevel="1">
      <c r="A115" s="208"/>
      <c r="B115" s="218" t="s">
        <v>832</v>
      </c>
      <c r="C115" s="214">
        <f t="shared" si="7"/>
        <v>-75</v>
      </c>
      <c r="E115" s="210">
        <v>34</v>
      </c>
      <c r="F115" s="211">
        <v>136</v>
      </c>
      <c r="G115" s="219">
        <f t="shared" si="8"/>
        <v>-75</v>
      </c>
      <c r="H115" s="216">
        <f t="shared" si="9"/>
        <v>0.23286076296144101</v>
      </c>
      <c r="I115" s="216">
        <f t="shared" si="10"/>
        <v>0.68365756798873978</v>
      </c>
      <c r="J115" s="210">
        <v>34</v>
      </c>
      <c r="K115" s="211">
        <v>136</v>
      </c>
      <c r="L115" s="219">
        <f t="shared" si="11"/>
        <v>-75</v>
      </c>
      <c r="M115" s="216">
        <f t="shared" si="12"/>
        <v>0.23286076296144101</v>
      </c>
      <c r="N115" s="217">
        <f t="shared" si="13"/>
        <v>0.68365756798873978</v>
      </c>
    </row>
    <row r="116" spans="1:14" hidden="1" outlineLevel="1">
      <c r="A116" s="208"/>
      <c r="B116" s="218" t="s">
        <v>845</v>
      </c>
      <c r="C116" s="214">
        <f t="shared" si="7"/>
        <v>93.333333333333329</v>
      </c>
      <c r="E116" s="210">
        <v>29</v>
      </c>
      <c r="F116" s="211">
        <v>15</v>
      </c>
      <c r="G116" s="219">
        <f t="shared" si="8"/>
        <v>93.333333333333329</v>
      </c>
      <c r="H116" s="216">
        <f t="shared" si="9"/>
        <v>0.1986165331141703</v>
      </c>
      <c r="I116" s="216">
        <f t="shared" si="10"/>
        <v>7.5403408234052172E-2</v>
      </c>
      <c r="J116" s="210">
        <v>29</v>
      </c>
      <c r="K116" s="211">
        <v>15</v>
      </c>
      <c r="L116" s="219">
        <f t="shared" si="11"/>
        <v>93.333333333333329</v>
      </c>
      <c r="M116" s="216">
        <f t="shared" si="12"/>
        <v>0.1986165331141703</v>
      </c>
      <c r="N116" s="217">
        <f t="shared" si="13"/>
        <v>7.5403408234052172E-2</v>
      </c>
    </row>
    <row r="117" spans="1:14" hidden="1" outlineLevel="1">
      <c r="A117" s="208"/>
      <c r="B117" s="218" t="s">
        <v>841</v>
      </c>
      <c r="C117" s="214">
        <f t="shared" si="7"/>
        <v>-49.090909090909093</v>
      </c>
      <c r="E117" s="210">
        <v>28</v>
      </c>
      <c r="F117" s="211">
        <v>55</v>
      </c>
      <c r="G117" s="219">
        <f t="shared" si="8"/>
        <v>-49.090909090909093</v>
      </c>
      <c r="H117" s="216">
        <f t="shared" si="9"/>
        <v>0.19176768714471609</v>
      </c>
      <c r="I117" s="216">
        <f t="shared" si="10"/>
        <v>0.27647916352485796</v>
      </c>
      <c r="J117" s="210">
        <v>28</v>
      </c>
      <c r="K117" s="211">
        <v>55</v>
      </c>
      <c r="L117" s="219">
        <f t="shared" si="11"/>
        <v>-49.090909090909093</v>
      </c>
      <c r="M117" s="216">
        <f t="shared" si="12"/>
        <v>0.19176768714471609</v>
      </c>
      <c r="N117" s="217">
        <f t="shared" si="13"/>
        <v>0.27647916352485796</v>
      </c>
    </row>
    <row r="118" spans="1:14" hidden="1" outlineLevel="1">
      <c r="A118" s="208"/>
      <c r="B118" s="218" t="s">
        <v>837</v>
      </c>
      <c r="C118" s="214">
        <f t="shared" si="7"/>
        <v>-56.60377358490566</v>
      </c>
      <c r="E118" s="210">
        <v>23</v>
      </c>
      <c r="F118" s="211">
        <v>53</v>
      </c>
      <c r="G118" s="219">
        <f t="shared" si="8"/>
        <v>-56.60377358490566</v>
      </c>
      <c r="H118" s="216">
        <f t="shared" si="9"/>
        <v>0.15752345729744538</v>
      </c>
      <c r="I118" s="216">
        <f t="shared" si="10"/>
        <v>0.26642537576031772</v>
      </c>
      <c r="J118" s="210">
        <v>23</v>
      </c>
      <c r="K118" s="211">
        <v>53</v>
      </c>
      <c r="L118" s="219">
        <f t="shared" si="11"/>
        <v>-56.60377358490566</v>
      </c>
      <c r="M118" s="216">
        <f t="shared" si="12"/>
        <v>0.15752345729744538</v>
      </c>
      <c r="N118" s="217">
        <f t="shared" si="13"/>
        <v>0.26642537576031772</v>
      </c>
    </row>
    <row r="119" spans="1:14" hidden="1" outlineLevel="1">
      <c r="A119" s="208"/>
      <c r="B119" s="218" t="s">
        <v>838</v>
      </c>
      <c r="C119" s="214">
        <f t="shared" si="7"/>
        <v>-24.137931034482758</v>
      </c>
      <c r="E119" s="210">
        <v>22</v>
      </c>
      <c r="F119" s="211">
        <v>29</v>
      </c>
      <c r="G119" s="219">
        <f t="shared" si="8"/>
        <v>-24.137931034482758</v>
      </c>
      <c r="H119" s="216">
        <f t="shared" si="9"/>
        <v>0.15067461132799123</v>
      </c>
      <c r="I119" s="216">
        <f t="shared" si="10"/>
        <v>0.14577992258583422</v>
      </c>
      <c r="J119" s="210">
        <v>22</v>
      </c>
      <c r="K119" s="211">
        <v>29</v>
      </c>
      <c r="L119" s="219">
        <f t="shared" si="11"/>
        <v>-24.137931034482758</v>
      </c>
      <c r="M119" s="216">
        <f t="shared" si="12"/>
        <v>0.15067461132799123</v>
      </c>
      <c r="N119" s="217">
        <f t="shared" si="13"/>
        <v>0.14577992258583422</v>
      </c>
    </row>
    <row r="120" spans="1:14" hidden="1" outlineLevel="1">
      <c r="A120" s="208"/>
      <c r="B120" s="218" t="s">
        <v>840</v>
      </c>
      <c r="C120" s="214">
        <f t="shared" si="7"/>
        <v>-69.090909090909093</v>
      </c>
      <c r="E120" s="210">
        <v>17</v>
      </c>
      <c r="F120" s="211">
        <v>55</v>
      </c>
      <c r="G120" s="219">
        <f t="shared" si="8"/>
        <v>-69.090909090909093</v>
      </c>
      <c r="H120" s="216">
        <f t="shared" si="9"/>
        <v>0.1164303814807205</v>
      </c>
      <c r="I120" s="216">
        <f t="shared" si="10"/>
        <v>0.27647916352485796</v>
      </c>
      <c r="J120" s="210">
        <v>17</v>
      </c>
      <c r="K120" s="211">
        <v>55</v>
      </c>
      <c r="L120" s="219">
        <f t="shared" si="11"/>
        <v>-69.090909090909093</v>
      </c>
      <c r="M120" s="216">
        <f t="shared" si="12"/>
        <v>0.1164303814807205</v>
      </c>
      <c r="N120" s="217">
        <f t="shared" si="13"/>
        <v>0.27647916352485796</v>
      </c>
    </row>
    <row r="121" spans="1:14" hidden="1" outlineLevel="1">
      <c r="A121" s="208"/>
      <c r="B121" s="218" t="s">
        <v>846</v>
      </c>
      <c r="C121" s="214">
        <f t="shared" si="7"/>
        <v>433.33333333333331</v>
      </c>
      <c r="E121" s="210">
        <v>16</v>
      </c>
      <c r="F121" s="211">
        <v>3</v>
      </c>
      <c r="G121" s="219">
        <f t="shared" si="8"/>
        <v>433.33333333333331</v>
      </c>
      <c r="H121" s="216">
        <f t="shared" si="9"/>
        <v>0.10958153551126634</v>
      </c>
      <c r="I121" s="216">
        <f t="shared" si="10"/>
        <v>1.5080681646810435E-2</v>
      </c>
      <c r="J121" s="210">
        <v>16</v>
      </c>
      <c r="K121" s="211">
        <v>3</v>
      </c>
      <c r="L121" s="219">
        <f t="shared" si="11"/>
        <v>433.33333333333331</v>
      </c>
      <c r="M121" s="216">
        <f t="shared" si="12"/>
        <v>0.10958153551126634</v>
      </c>
      <c r="N121" s="217">
        <f t="shared" si="13"/>
        <v>1.5080681646810435E-2</v>
      </c>
    </row>
    <row r="122" spans="1:14" hidden="1" outlineLevel="1">
      <c r="A122" s="208"/>
      <c r="B122" s="218" t="s">
        <v>844</v>
      </c>
      <c r="C122" s="214">
        <f t="shared" si="7"/>
        <v>75</v>
      </c>
      <c r="E122" s="210">
        <v>14</v>
      </c>
      <c r="F122" s="211">
        <v>8</v>
      </c>
      <c r="G122" s="219">
        <f t="shared" si="8"/>
        <v>75</v>
      </c>
      <c r="H122" s="216">
        <f t="shared" si="9"/>
        <v>9.5883843572358046E-2</v>
      </c>
      <c r="I122" s="216">
        <f t="shared" si="10"/>
        <v>4.0215151058161161E-2</v>
      </c>
      <c r="J122" s="210">
        <v>14</v>
      </c>
      <c r="K122" s="211">
        <v>8</v>
      </c>
      <c r="L122" s="219">
        <f t="shared" si="11"/>
        <v>75</v>
      </c>
      <c r="M122" s="216">
        <f t="shared" si="12"/>
        <v>9.5883843572358046E-2</v>
      </c>
      <c r="N122" s="217">
        <f t="shared" si="13"/>
        <v>4.0215151058161161E-2</v>
      </c>
    </row>
    <row r="123" spans="1:14" hidden="1" outlineLevel="1">
      <c r="A123" s="208"/>
      <c r="B123" s="218" t="s">
        <v>842</v>
      </c>
      <c r="C123" s="214">
        <f t="shared" si="7"/>
        <v>200</v>
      </c>
      <c r="E123" s="210">
        <v>12</v>
      </c>
      <c r="F123" s="211">
        <v>4</v>
      </c>
      <c r="G123" s="219">
        <f t="shared" si="8"/>
        <v>200</v>
      </c>
      <c r="H123" s="216">
        <f t="shared" si="9"/>
        <v>8.2186151633449764E-2</v>
      </c>
      <c r="I123" s="216">
        <f t="shared" si="10"/>
        <v>2.010757552908058E-2</v>
      </c>
      <c r="J123" s="210">
        <v>12</v>
      </c>
      <c r="K123" s="211">
        <v>4</v>
      </c>
      <c r="L123" s="219">
        <f t="shared" si="11"/>
        <v>200</v>
      </c>
      <c r="M123" s="216">
        <f t="shared" si="12"/>
        <v>8.2186151633449764E-2</v>
      </c>
      <c r="N123" s="217">
        <f t="shared" si="13"/>
        <v>2.010757552908058E-2</v>
      </c>
    </row>
    <row r="124" spans="1:14" hidden="1" outlineLevel="1">
      <c r="A124" s="208"/>
      <c r="B124" s="218" t="s">
        <v>853</v>
      </c>
      <c r="C124" s="214" t="str">
        <f t="shared" si="7"/>
        <v/>
      </c>
      <c r="E124" s="210">
        <v>12</v>
      </c>
      <c r="F124" s="211">
        <v>0</v>
      </c>
      <c r="G124" s="219" t="str">
        <f t="shared" si="8"/>
        <v/>
      </c>
      <c r="H124" s="216">
        <f t="shared" si="9"/>
        <v>8.2186151633449764E-2</v>
      </c>
      <c r="I124" s="216" t="str">
        <f t="shared" si="10"/>
        <v/>
      </c>
      <c r="J124" s="210">
        <v>12</v>
      </c>
      <c r="K124" s="211">
        <v>0</v>
      </c>
      <c r="L124" s="219" t="str">
        <f t="shared" si="11"/>
        <v/>
      </c>
      <c r="M124" s="216">
        <f t="shared" si="12"/>
        <v>8.2186151633449764E-2</v>
      </c>
      <c r="N124" s="217" t="str">
        <f t="shared" si="13"/>
        <v/>
      </c>
    </row>
    <row r="125" spans="1:14" hidden="1" outlineLevel="1">
      <c r="A125" s="208"/>
      <c r="B125" s="218" t="s">
        <v>848</v>
      </c>
      <c r="C125" s="214">
        <f t="shared" si="7"/>
        <v>-46.666666666666664</v>
      </c>
      <c r="E125" s="210">
        <v>8</v>
      </c>
      <c r="F125" s="211">
        <v>15</v>
      </c>
      <c r="G125" s="219">
        <f t="shared" si="8"/>
        <v>-46.666666666666664</v>
      </c>
      <c r="H125" s="216">
        <f t="shared" si="9"/>
        <v>5.4790767755633171E-2</v>
      </c>
      <c r="I125" s="216">
        <f t="shared" si="10"/>
        <v>7.5403408234052172E-2</v>
      </c>
      <c r="J125" s="210">
        <v>8</v>
      </c>
      <c r="K125" s="211">
        <v>15</v>
      </c>
      <c r="L125" s="219">
        <f t="shared" si="11"/>
        <v>-46.666666666666664</v>
      </c>
      <c r="M125" s="216">
        <f t="shared" si="12"/>
        <v>5.4790767755633171E-2</v>
      </c>
      <c r="N125" s="217">
        <f t="shared" si="13"/>
        <v>7.5403408234052172E-2</v>
      </c>
    </row>
    <row r="126" spans="1:14" hidden="1" outlineLevel="1">
      <c r="A126" s="208"/>
      <c r="B126" s="218" t="s">
        <v>850</v>
      </c>
      <c r="C126" s="214">
        <f t="shared" si="7"/>
        <v>20</v>
      </c>
      <c r="E126" s="210">
        <v>6</v>
      </c>
      <c r="F126" s="211">
        <v>5</v>
      </c>
      <c r="G126" s="219">
        <f t="shared" si="8"/>
        <v>20</v>
      </c>
      <c r="H126" s="216">
        <f t="shared" si="9"/>
        <v>4.1093075816724882E-2</v>
      </c>
      <c r="I126" s="216">
        <f t="shared" si="10"/>
        <v>2.5134469411350724E-2</v>
      </c>
      <c r="J126" s="210">
        <v>6</v>
      </c>
      <c r="K126" s="211">
        <v>5</v>
      </c>
      <c r="L126" s="219">
        <f t="shared" si="11"/>
        <v>20</v>
      </c>
      <c r="M126" s="216">
        <f t="shared" si="12"/>
        <v>4.1093075816724882E-2</v>
      </c>
      <c r="N126" s="217">
        <f t="shared" si="13"/>
        <v>2.5134469411350724E-2</v>
      </c>
    </row>
    <row r="127" spans="1:14" hidden="1" outlineLevel="1">
      <c r="A127" s="208"/>
      <c r="B127" s="218" t="s">
        <v>847</v>
      </c>
      <c r="C127" s="214">
        <f t="shared" si="7"/>
        <v>-60</v>
      </c>
      <c r="E127" s="210">
        <v>4</v>
      </c>
      <c r="F127" s="211">
        <v>10</v>
      </c>
      <c r="G127" s="219">
        <f t="shared" si="8"/>
        <v>-60</v>
      </c>
      <c r="H127" s="216">
        <f t="shared" si="9"/>
        <v>2.7395383877816586E-2</v>
      </c>
      <c r="I127" s="216">
        <f t="shared" si="10"/>
        <v>5.0268938822701448E-2</v>
      </c>
      <c r="J127" s="210">
        <v>4</v>
      </c>
      <c r="K127" s="211">
        <v>10</v>
      </c>
      <c r="L127" s="219">
        <f t="shared" si="11"/>
        <v>-60</v>
      </c>
      <c r="M127" s="216">
        <f t="shared" si="12"/>
        <v>2.7395383877816586E-2</v>
      </c>
      <c r="N127" s="217">
        <f t="shared" si="13"/>
        <v>5.0268938822701448E-2</v>
      </c>
    </row>
    <row r="128" spans="1:14" hidden="1" outlineLevel="1">
      <c r="A128" s="208"/>
      <c r="B128" s="218" t="s">
        <v>851</v>
      </c>
      <c r="C128" s="214">
        <f t="shared" si="7"/>
        <v>33.333333333333329</v>
      </c>
      <c r="E128" s="210">
        <v>4</v>
      </c>
      <c r="F128" s="211">
        <v>3</v>
      </c>
      <c r="G128" s="219">
        <f t="shared" si="8"/>
        <v>33.333333333333329</v>
      </c>
      <c r="H128" s="216">
        <f t="shared" si="9"/>
        <v>2.7395383877816586E-2</v>
      </c>
      <c r="I128" s="216">
        <f t="shared" si="10"/>
        <v>1.5080681646810435E-2</v>
      </c>
      <c r="J128" s="210">
        <v>4</v>
      </c>
      <c r="K128" s="211">
        <v>3</v>
      </c>
      <c r="L128" s="219">
        <f t="shared" si="11"/>
        <v>33.333333333333329</v>
      </c>
      <c r="M128" s="216">
        <f t="shared" si="12"/>
        <v>2.7395383877816586E-2</v>
      </c>
      <c r="N128" s="217">
        <f t="shared" si="13"/>
        <v>1.5080681646810435E-2</v>
      </c>
    </row>
    <row r="129" spans="1:14" hidden="1" outlineLevel="1">
      <c r="A129" s="208"/>
      <c r="B129" s="218" t="s">
        <v>852</v>
      </c>
      <c r="C129" s="214">
        <f t="shared" si="7"/>
        <v>100</v>
      </c>
      <c r="E129" s="210">
        <v>4</v>
      </c>
      <c r="F129" s="211">
        <v>2</v>
      </c>
      <c r="G129" s="219">
        <f t="shared" si="8"/>
        <v>100</v>
      </c>
      <c r="H129" s="216">
        <f t="shared" si="9"/>
        <v>2.7395383877816586E-2</v>
      </c>
      <c r="I129" s="216">
        <f t="shared" si="10"/>
        <v>1.005378776454029E-2</v>
      </c>
      <c r="J129" s="210">
        <v>4</v>
      </c>
      <c r="K129" s="211">
        <v>2</v>
      </c>
      <c r="L129" s="219">
        <f t="shared" si="11"/>
        <v>100</v>
      </c>
      <c r="M129" s="216">
        <f t="shared" si="12"/>
        <v>2.7395383877816586E-2</v>
      </c>
      <c r="N129" s="217">
        <f t="shared" si="13"/>
        <v>1.005378776454029E-2</v>
      </c>
    </row>
    <row r="130" spans="1:14" hidden="1" outlineLevel="1">
      <c r="A130" s="208"/>
      <c r="B130" s="218" t="s">
        <v>1028</v>
      </c>
      <c r="C130" s="214" t="str">
        <f t="shared" si="7"/>
        <v/>
      </c>
      <c r="E130" s="210">
        <v>3</v>
      </c>
      <c r="F130" s="211">
        <v>0</v>
      </c>
      <c r="G130" s="219" t="str">
        <f t="shared" si="8"/>
        <v/>
      </c>
      <c r="H130" s="216">
        <f t="shared" si="9"/>
        <v>2.0546537908362441E-2</v>
      </c>
      <c r="I130" s="216" t="str">
        <f t="shared" si="10"/>
        <v/>
      </c>
      <c r="J130" s="210">
        <v>3</v>
      </c>
      <c r="K130" s="211">
        <v>0</v>
      </c>
      <c r="L130" s="219" t="str">
        <f t="shared" si="11"/>
        <v/>
      </c>
      <c r="M130" s="216">
        <f t="shared" si="12"/>
        <v>2.0546537908362441E-2</v>
      </c>
      <c r="N130" s="217" t="str">
        <f t="shared" si="13"/>
        <v/>
      </c>
    </row>
    <row r="131" spans="1:14" hidden="1" outlineLevel="1">
      <c r="A131" s="208"/>
      <c r="B131" s="218" t="s">
        <v>849</v>
      </c>
      <c r="C131" s="214" t="str">
        <f t="shared" si="7"/>
        <v/>
      </c>
      <c r="E131" s="210">
        <v>2</v>
      </c>
      <c r="F131" s="211">
        <v>0</v>
      </c>
      <c r="G131" s="219" t="str">
        <f t="shared" si="8"/>
        <v/>
      </c>
      <c r="H131" s="216">
        <f t="shared" si="9"/>
        <v>1.3697691938908293E-2</v>
      </c>
      <c r="I131" s="216" t="str">
        <f t="shared" si="10"/>
        <v/>
      </c>
      <c r="J131" s="210">
        <v>2</v>
      </c>
      <c r="K131" s="211">
        <v>0</v>
      </c>
      <c r="L131" s="219" t="str">
        <f t="shared" si="11"/>
        <v/>
      </c>
      <c r="M131" s="216">
        <f t="shared" si="12"/>
        <v>1.3697691938908293E-2</v>
      </c>
      <c r="N131" s="217" t="str">
        <f t="shared" si="13"/>
        <v/>
      </c>
    </row>
    <row r="132" spans="1:14" hidden="1" outlineLevel="1">
      <c r="A132" s="208"/>
      <c r="B132" s="218" t="s">
        <v>843</v>
      </c>
      <c r="C132" s="214">
        <f t="shared" si="7"/>
        <v>-100</v>
      </c>
      <c r="E132" s="210">
        <v>0</v>
      </c>
      <c r="F132" s="211">
        <v>12</v>
      </c>
      <c r="G132" s="219">
        <f t="shared" si="8"/>
        <v>-100</v>
      </c>
      <c r="H132" s="216" t="str">
        <f t="shared" si="9"/>
        <v/>
      </c>
      <c r="I132" s="216">
        <f t="shared" si="10"/>
        <v>6.0322726587241741E-2</v>
      </c>
      <c r="J132" s="210">
        <v>0</v>
      </c>
      <c r="K132" s="211">
        <v>12</v>
      </c>
      <c r="L132" s="219">
        <f t="shared" si="11"/>
        <v>-100</v>
      </c>
      <c r="M132" s="216" t="str">
        <f t="shared" si="12"/>
        <v/>
      </c>
      <c r="N132" s="217">
        <f t="shared" si="13"/>
        <v>6.0322726587241741E-2</v>
      </c>
    </row>
    <row r="133" spans="1:14" collapsed="1">
      <c r="A133" s="208" t="s">
        <v>1037</v>
      </c>
      <c r="B133" s="207" t="s">
        <v>302</v>
      </c>
      <c r="C133" s="214">
        <f t="shared" si="7"/>
        <v>-31.92771084337349</v>
      </c>
      <c r="E133" s="210">
        <v>565</v>
      </c>
      <c r="F133" s="211">
        <v>830</v>
      </c>
      <c r="G133" s="219">
        <f t="shared" si="8"/>
        <v>-31.92771084337349</v>
      </c>
      <c r="H133" s="216">
        <f t="shared" si="9"/>
        <v>3.8695979727415932</v>
      </c>
      <c r="I133" s="216">
        <f t="shared" si="10"/>
        <v>4.1723219222842207</v>
      </c>
      <c r="J133" s="210">
        <v>565</v>
      </c>
      <c r="K133" s="211">
        <v>830</v>
      </c>
      <c r="L133" s="219">
        <f t="shared" si="11"/>
        <v>-31.92771084337349</v>
      </c>
      <c r="M133" s="216">
        <f t="shared" si="12"/>
        <v>3.8695979727415932</v>
      </c>
      <c r="N133" s="217">
        <f t="shared" si="13"/>
        <v>4.1723219222842207</v>
      </c>
    </row>
    <row r="134" spans="1:14" hidden="1" outlineLevel="1">
      <c r="A134" s="208"/>
      <c r="B134" s="218" t="s">
        <v>874</v>
      </c>
      <c r="C134" s="214">
        <f t="shared" si="7"/>
        <v>-23.5</v>
      </c>
      <c r="E134" s="210">
        <v>153</v>
      </c>
      <c r="F134" s="211">
        <v>200</v>
      </c>
      <c r="G134" s="219">
        <f t="shared" si="8"/>
        <v>-23.5</v>
      </c>
      <c r="H134" s="216">
        <f t="shared" si="9"/>
        <v>1.0478734333264845</v>
      </c>
      <c r="I134" s="216">
        <f t="shared" si="10"/>
        <v>1.005378776454029</v>
      </c>
      <c r="J134" s="210">
        <v>153</v>
      </c>
      <c r="K134" s="211">
        <v>200</v>
      </c>
      <c r="L134" s="219">
        <f t="shared" si="11"/>
        <v>-23.5</v>
      </c>
      <c r="M134" s="216">
        <f t="shared" si="12"/>
        <v>1.0478734333264845</v>
      </c>
      <c r="N134" s="217">
        <f t="shared" si="13"/>
        <v>1.005378776454029</v>
      </c>
    </row>
    <row r="135" spans="1:14" hidden="1" outlineLevel="1">
      <c r="A135" s="208"/>
      <c r="B135" s="218" t="s">
        <v>875</v>
      </c>
      <c r="C135" s="214">
        <f t="shared" si="7"/>
        <v>-47.368421052631575</v>
      </c>
      <c r="E135" s="210">
        <v>130</v>
      </c>
      <c r="F135" s="211">
        <v>247</v>
      </c>
      <c r="G135" s="219">
        <f t="shared" si="8"/>
        <v>-47.368421052631575</v>
      </c>
      <c r="H135" s="216">
        <f t="shared" si="9"/>
        <v>0.8903499760290392</v>
      </c>
      <c r="I135" s="216">
        <f t="shared" si="10"/>
        <v>1.241642788920726</v>
      </c>
      <c r="J135" s="210">
        <v>130</v>
      </c>
      <c r="K135" s="211">
        <v>247</v>
      </c>
      <c r="L135" s="219">
        <f t="shared" si="11"/>
        <v>-47.368421052631575</v>
      </c>
      <c r="M135" s="216">
        <f t="shared" si="12"/>
        <v>0.8903499760290392</v>
      </c>
      <c r="N135" s="217">
        <f t="shared" si="13"/>
        <v>1.241642788920726</v>
      </c>
    </row>
    <row r="136" spans="1:14" hidden="1" outlineLevel="1">
      <c r="A136" s="208"/>
      <c r="B136" s="218" t="s">
        <v>876</v>
      </c>
      <c r="C136" s="214">
        <f t="shared" si="7"/>
        <v>1.0416666666666665</v>
      </c>
      <c r="E136" s="210">
        <v>97</v>
      </c>
      <c r="F136" s="211">
        <v>96</v>
      </c>
      <c r="G136" s="219">
        <f t="shared" si="8"/>
        <v>1.0416666666666665</v>
      </c>
      <c r="H136" s="216">
        <f t="shared" si="9"/>
        <v>0.66433805903705223</v>
      </c>
      <c r="I136" s="216">
        <f t="shared" si="10"/>
        <v>0.48258181269793393</v>
      </c>
      <c r="J136" s="210">
        <v>97</v>
      </c>
      <c r="K136" s="211">
        <v>96</v>
      </c>
      <c r="L136" s="219">
        <f t="shared" si="11"/>
        <v>1.0416666666666665</v>
      </c>
      <c r="M136" s="216">
        <f t="shared" si="12"/>
        <v>0.66433805903705223</v>
      </c>
      <c r="N136" s="217">
        <f t="shared" si="13"/>
        <v>0.48258181269793393</v>
      </c>
    </row>
    <row r="137" spans="1:14" hidden="1" outlineLevel="1">
      <c r="A137" s="208"/>
      <c r="B137" s="218" t="s">
        <v>878</v>
      </c>
      <c r="C137" s="214">
        <f t="shared" si="7"/>
        <v>-51</v>
      </c>
      <c r="E137" s="210">
        <v>49</v>
      </c>
      <c r="F137" s="211">
        <v>100</v>
      </c>
      <c r="G137" s="219">
        <f t="shared" si="8"/>
        <v>-51</v>
      </c>
      <c r="H137" s="216">
        <f t="shared" si="9"/>
        <v>0.33559345250325318</v>
      </c>
      <c r="I137" s="216">
        <f t="shared" si="10"/>
        <v>0.50268938822701448</v>
      </c>
      <c r="J137" s="210">
        <v>49</v>
      </c>
      <c r="K137" s="211">
        <v>100</v>
      </c>
      <c r="L137" s="219">
        <f t="shared" si="11"/>
        <v>-51</v>
      </c>
      <c r="M137" s="216">
        <f t="shared" si="12"/>
        <v>0.33559345250325318</v>
      </c>
      <c r="N137" s="217">
        <f t="shared" si="13"/>
        <v>0.50268938822701448</v>
      </c>
    </row>
    <row r="138" spans="1:14" hidden="1" outlineLevel="1">
      <c r="A138" s="208"/>
      <c r="B138" s="218" t="s">
        <v>881</v>
      </c>
      <c r="C138" s="214">
        <f t="shared" ref="C138:C201" si="14">IF(K138=0,"",SUM(((J138-K138)/K138)*100))</f>
        <v>583.33333333333326</v>
      </c>
      <c r="E138" s="210">
        <v>41</v>
      </c>
      <c r="F138" s="211">
        <v>6</v>
      </c>
      <c r="G138" s="219">
        <f t="shared" ref="G138:G201" si="15">IF(F138=0,"",SUM(((E138-F138)/F138)*100))</f>
        <v>583.33333333333326</v>
      </c>
      <c r="H138" s="216">
        <f t="shared" ref="H138:H201" si="16">IF(E138=0,"",SUM((E138/CntPeriod)*100))</f>
        <v>0.28080268474762005</v>
      </c>
      <c r="I138" s="216">
        <f t="shared" ref="I138:I201" si="17">IF(F138=0,"",SUM((F138/CntPeriodPrevYear)*100))</f>
        <v>3.0161363293620871E-2</v>
      </c>
      <c r="J138" s="210">
        <v>41</v>
      </c>
      <c r="K138" s="211">
        <v>6</v>
      </c>
      <c r="L138" s="219">
        <f t="shared" ref="L138:L201" si="18">IF(K138=0,"",SUM(((J138-K138)/K138)*100))</f>
        <v>583.33333333333326</v>
      </c>
      <c r="M138" s="216">
        <f t="shared" ref="M138:M201" si="19">IF(J138=0,"",SUM((J138/CntYearAck)*100))</f>
        <v>0.28080268474762005</v>
      </c>
      <c r="N138" s="217">
        <f t="shared" ref="N138:N201" si="20">IF(K138=0,"",SUM((K138/CntPrevYearAck)*100))</f>
        <v>3.0161363293620871E-2</v>
      </c>
    </row>
    <row r="139" spans="1:14" hidden="1" outlineLevel="1">
      <c r="A139" s="208"/>
      <c r="B139" s="218" t="s">
        <v>877</v>
      </c>
      <c r="C139" s="214">
        <f t="shared" si="14"/>
        <v>-52.941176470588239</v>
      </c>
      <c r="E139" s="210">
        <v>40</v>
      </c>
      <c r="F139" s="211">
        <v>85</v>
      </c>
      <c r="G139" s="219">
        <f t="shared" si="15"/>
        <v>-52.941176470588239</v>
      </c>
      <c r="H139" s="216">
        <f t="shared" si="16"/>
        <v>0.27395383877816587</v>
      </c>
      <c r="I139" s="216">
        <f t="shared" si="17"/>
        <v>0.42728597999296236</v>
      </c>
      <c r="J139" s="210">
        <v>40</v>
      </c>
      <c r="K139" s="211">
        <v>85</v>
      </c>
      <c r="L139" s="219">
        <f t="shared" si="18"/>
        <v>-52.941176470588239</v>
      </c>
      <c r="M139" s="216">
        <f t="shared" si="19"/>
        <v>0.27395383877816587</v>
      </c>
      <c r="N139" s="217">
        <f t="shared" si="20"/>
        <v>0.42728597999296236</v>
      </c>
    </row>
    <row r="140" spans="1:14" hidden="1" outlineLevel="1">
      <c r="A140" s="208"/>
      <c r="B140" s="218" t="s">
        <v>880</v>
      </c>
      <c r="C140" s="214">
        <f t="shared" si="14"/>
        <v>-2.7777777777777777</v>
      </c>
      <c r="E140" s="210">
        <v>35</v>
      </c>
      <c r="F140" s="211">
        <v>36</v>
      </c>
      <c r="G140" s="219">
        <f t="shared" si="15"/>
        <v>-2.7777777777777777</v>
      </c>
      <c r="H140" s="216">
        <f t="shared" si="16"/>
        <v>0.23970960893089513</v>
      </c>
      <c r="I140" s="216">
        <f t="shared" si="17"/>
        <v>0.18096817976172522</v>
      </c>
      <c r="J140" s="210">
        <v>35</v>
      </c>
      <c r="K140" s="211">
        <v>36</v>
      </c>
      <c r="L140" s="219">
        <f t="shared" si="18"/>
        <v>-2.7777777777777777</v>
      </c>
      <c r="M140" s="216">
        <f t="shared" si="19"/>
        <v>0.23970960893089513</v>
      </c>
      <c r="N140" s="217">
        <f t="shared" si="20"/>
        <v>0.18096817976172522</v>
      </c>
    </row>
    <row r="141" spans="1:14" hidden="1" outlineLevel="1">
      <c r="A141" s="208"/>
      <c r="B141" s="218" t="s">
        <v>879</v>
      </c>
      <c r="C141" s="214">
        <f t="shared" si="14"/>
        <v>-66.666666666666657</v>
      </c>
      <c r="E141" s="210">
        <v>20</v>
      </c>
      <c r="F141" s="211">
        <v>60</v>
      </c>
      <c r="G141" s="219">
        <f t="shared" si="15"/>
        <v>-66.666666666666657</v>
      </c>
      <c r="H141" s="216">
        <f t="shared" si="16"/>
        <v>0.13697691938908294</v>
      </c>
      <c r="I141" s="216">
        <f t="shared" si="17"/>
        <v>0.30161363293620869</v>
      </c>
      <c r="J141" s="210">
        <v>20</v>
      </c>
      <c r="K141" s="211">
        <v>60</v>
      </c>
      <c r="L141" s="219">
        <f t="shared" si="18"/>
        <v>-66.666666666666657</v>
      </c>
      <c r="M141" s="216">
        <f t="shared" si="19"/>
        <v>0.13697691938908294</v>
      </c>
      <c r="N141" s="217">
        <f t="shared" si="20"/>
        <v>0.30161363293620869</v>
      </c>
    </row>
    <row r="142" spans="1:14" collapsed="1">
      <c r="A142" s="208" t="s">
        <v>1078</v>
      </c>
      <c r="B142" s="207" t="s">
        <v>298</v>
      </c>
      <c r="C142" s="214">
        <f t="shared" si="14"/>
        <v>-14.059405940594061</v>
      </c>
      <c r="E142" s="210">
        <v>434</v>
      </c>
      <c r="F142" s="211">
        <v>505</v>
      </c>
      <c r="G142" s="219">
        <f t="shared" si="15"/>
        <v>-14.059405940594061</v>
      </c>
      <c r="H142" s="216">
        <f t="shared" si="16"/>
        <v>2.9723991507431</v>
      </c>
      <c r="I142" s="216">
        <f t="shared" si="17"/>
        <v>2.5385814105464233</v>
      </c>
      <c r="J142" s="210">
        <v>434</v>
      </c>
      <c r="K142" s="211">
        <v>505</v>
      </c>
      <c r="L142" s="219">
        <f t="shared" si="18"/>
        <v>-14.059405940594061</v>
      </c>
      <c r="M142" s="216">
        <f t="shared" si="19"/>
        <v>2.9723991507431</v>
      </c>
      <c r="N142" s="217">
        <f t="shared" si="20"/>
        <v>2.5385814105464233</v>
      </c>
    </row>
    <row r="143" spans="1:14" hidden="1" outlineLevel="1">
      <c r="A143" s="208"/>
      <c r="B143" s="218">
        <v>208</v>
      </c>
      <c r="C143" s="214">
        <f t="shared" si="14"/>
        <v>96.078431372549019</v>
      </c>
      <c r="E143" s="210">
        <v>200</v>
      </c>
      <c r="F143" s="211">
        <v>102</v>
      </c>
      <c r="G143" s="219">
        <f t="shared" si="15"/>
        <v>96.078431372549019</v>
      </c>
      <c r="H143" s="216">
        <f t="shared" si="16"/>
        <v>1.3697691938908294</v>
      </c>
      <c r="I143" s="216">
        <f t="shared" si="17"/>
        <v>0.51274317599155483</v>
      </c>
      <c r="J143" s="210">
        <v>200</v>
      </c>
      <c r="K143" s="211">
        <v>102</v>
      </c>
      <c r="L143" s="219">
        <f t="shared" si="18"/>
        <v>96.078431372549019</v>
      </c>
      <c r="M143" s="216">
        <f t="shared" si="19"/>
        <v>1.3697691938908294</v>
      </c>
      <c r="N143" s="217">
        <f t="shared" si="20"/>
        <v>0.51274317599155483</v>
      </c>
    </row>
    <row r="144" spans="1:14" hidden="1" outlineLevel="1">
      <c r="A144" s="208"/>
      <c r="B144" s="218">
        <v>2008</v>
      </c>
      <c r="C144" s="214">
        <f t="shared" si="14"/>
        <v>-30.05464480874317</v>
      </c>
      <c r="E144" s="210">
        <v>128</v>
      </c>
      <c r="F144" s="211">
        <v>183</v>
      </c>
      <c r="G144" s="219">
        <f t="shared" si="15"/>
        <v>-30.05464480874317</v>
      </c>
      <c r="H144" s="216">
        <f t="shared" si="16"/>
        <v>0.87665228409013074</v>
      </c>
      <c r="I144" s="216">
        <f t="shared" si="17"/>
        <v>0.91992158045543659</v>
      </c>
      <c r="J144" s="210">
        <v>128</v>
      </c>
      <c r="K144" s="211">
        <v>183</v>
      </c>
      <c r="L144" s="219">
        <f t="shared" si="18"/>
        <v>-30.05464480874317</v>
      </c>
      <c r="M144" s="216">
        <f t="shared" si="19"/>
        <v>0.87665228409013074</v>
      </c>
      <c r="N144" s="217">
        <f t="shared" si="20"/>
        <v>0.91992158045543659</v>
      </c>
    </row>
    <row r="145" spans="1:14" hidden="1" outlineLevel="1">
      <c r="A145" s="208"/>
      <c r="B145" s="218">
        <v>3008</v>
      </c>
      <c r="C145" s="214">
        <f t="shared" si="14"/>
        <v>-58.585858585858588</v>
      </c>
      <c r="E145" s="210">
        <v>41</v>
      </c>
      <c r="F145" s="211">
        <v>99</v>
      </c>
      <c r="G145" s="219">
        <f t="shared" si="15"/>
        <v>-58.585858585858588</v>
      </c>
      <c r="H145" s="216">
        <f t="shared" si="16"/>
        <v>0.28080268474762005</v>
      </c>
      <c r="I145" s="216">
        <f t="shared" si="17"/>
        <v>0.49766249434474441</v>
      </c>
      <c r="J145" s="210">
        <v>41</v>
      </c>
      <c r="K145" s="211">
        <v>99</v>
      </c>
      <c r="L145" s="219">
        <f t="shared" si="18"/>
        <v>-58.585858585858588</v>
      </c>
      <c r="M145" s="216">
        <f t="shared" si="19"/>
        <v>0.28080268474762005</v>
      </c>
      <c r="N145" s="217">
        <f t="shared" si="20"/>
        <v>0.49766249434474441</v>
      </c>
    </row>
    <row r="146" spans="1:14" hidden="1" outlineLevel="1">
      <c r="A146" s="208"/>
      <c r="B146" s="218">
        <v>308</v>
      </c>
      <c r="C146" s="214">
        <f t="shared" si="14"/>
        <v>-71.428571428571431</v>
      </c>
      <c r="E146" s="210">
        <v>24</v>
      </c>
      <c r="F146" s="211">
        <v>84</v>
      </c>
      <c r="G146" s="219">
        <f t="shared" si="15"/>
        <v>-71.428571428571431</v>
      </c>
      <c r="H146" s="216">
        <f t="shared" si="16"/>
        <v>0.16437230326689953</v>
      </c>
      <c r="I146" s="216">
        <f t="shared" si="17"/>
        <v>0.42225908611069218</v>
      </c>
      <c r="J146" s="210">
        <v>24</v>
      </c>
      <c r="K146" s="211">
        <v>84</v>
      </c>
      <c r="L146" s="219">
        <f t="shared" si="18"/>
        <v>-71.428571428571431</v>
      </c>
      <c r="M146" s="216">
        <f t="shared" si="19"/>
        <v>0.16437230326689953</v>
      </c>
      <c r="N146" s="217">
        <f t="shared" si="20"/>
        <v>0.42225908611069218</v>
      </c>
    </row>
    <row r="147" spans="1:14" hidden="1" outlineLevel="1">
      <c r="A147" s="208"/>
      <c r="B147" s="218">
        <v>5008</v>
      </c>
      <c r="C147" s="214">
        <f t="shared" si="14"/>
        <v>50</v>
      </c>
      <c r="E147" s="210">
        <v>18</v>
      </c>
      <c r="F147" s="211">
        <v>12</v>
      </c>
      <c r="G147" s="219">
        <f t="shared" si="15"/>
        <v>50</v>
      </c>
      <c r="H147" s="216">
        <f t="shared" si="16"/>
        <v>0.12327922745017465</v>
      </c>
      <c r="I147" s="216">
        <f t="shared" si="17"/>
        <v>6.0322726587241741E-2</v>
      </c>
      <c r="J147" s="210">
        <v>18</v>
      </c>
      <c r="K147" s="211">
        <v>12</v>
      </c>
      <c r="L147" s="219">
        <f t="shared" si="18"/>
        <v>50</v>
      </c>
      <c r="M147" s="216">
        <f t="shared" si="19"/>
        <v>0.12327922745017465</v>
      </c>
      <c r="N147" s="217">
        <f t="shared" si="20"/>
        <v>6.0322726587241741E-2</v>
      </c>
    </row>
    <row r="148" spans="1:14" hidden="1" outlineLevel="1">
      <c r="A148" s="208"/>
      <c r="B148" s="218">
        <v>408</v>
      </c>
      <c r="C148" s="214" t="str">
        <f t="shared" si="14"/>
        <v/>
      </c>
      <c r="E148" s="210">
        <v>14</v>
      </c>
      <c r="F148" s="211">
        <v>0</v>
      </c>
      <c r="G148" s="219" t="str">
        <f t="shared" si="15"/>
        <v/>
      </c>
      <c r="H148" s="216">
        <f t="shared" si="16"/>
        <v>9.5883843572358046E-2</v>
      </c>
      <c r="I148" s="216" t="str">
        <f t="shared" si="17"/>
        <v/>
      </c>
      <c r="J148" s="210">
        <v>14</v>
      </c>
      <c r="K148" s="211">
        <v>0</v>
      </c>
      <c r="L148" s="219" t="str">
        <f t="shared" si="18"/>
        <v/>
      </c>
      <c r="M148" s="216">
        <f t="shared" si="19"/>
        <v>9.5883843572358046E-2</v>
      </c>
      <c r="N148" s="217" t="str">
        <f t="shared" si="20"/>
        <v/>
      </c>
    </row>
    <row r="149" spans="1:14" hidden="1" outlineLevel="1">
      <c r="A149" s="208"/>
      <c r="B149" s="218" t="s">
        <v>900</v>
      </c>
      <c r="C149" s="214">
        <f t="shared" si="14"/>
        <v>100</v>
      </c>
      <c r="E149" s="210">
        <v>4</v>
      </c>
      <c r="F149" s="211">
        <v>2</v>
      </c>
      <c r="G149" s="219">
        <f t="shared" si="15"/>
        <v>100</v>
      </c>
      <c r="H149" s="216">
        <f t="shared" si="16"/>
        <v>2.7395383877816586E-2</v>
      </c>
      <c r="I149" s="216">
        <f t="shared" si="17"/>
        <v>1.005378776454029E-2</v>
      </c>
      <c r="J149" s="210">
        <v>4</v>
      </c>
      <c r="K149" s="211">
        <v>2</v>
      </c>
      <c r="L149" s="219">
        <f t="shared" si="18"/>
        <v>100</v>
      </c>
      <c r="M149" s="216">
        <f t="shared" si="19"/>
        <v>2.7395383877816586E-2</v>
      </c>
      <c r="N149" s="217">
        <f t="shared" si="20"/>
        <v>1.005378776454029E-2</v>
      </c>
    </row>
    <row r="150" spans="1:14" hidden="1" outlineLevel="1">
      <c r="A150" s="208"/>
      <c r="B150" s="218">
        <v>508</v>
      </c>
      <c r="C150" s="214">
        <f t="shared" si="14"/>
        <v>-76.923076923076934</v>
      </c>
      <c r="E150" s="210">
        <v>3</v>
      </c>
      <c r="F150" s="211">
        <v>13</v>
      </c>
      <c r="G150" s="219">
        <f t="shared" si="15"/>
        <v>-76.923076923076934</v>
      </c>
      <c r="H150" s="216">
        <f t="shared" si="16"/>
        <v>2.0546537908362441E-2</v>
      </c>
      <c r="I150" s="216">
        <f t="shared" si="17"/>
        <v>6.5349620469511885E-2</v>
      </c>
      <c r="J150" s="210">
        <v>3</v>
      </c>
      <c r="K150" s="211">
        <v>13</v>
      </c>
      <c r="L150" s="219">
        <f t="shared" si="18"/>
        <v>-76.923076923076934</v>
      </c>
      <c r="M150" s="216">
        <f t="shared" si="19"/>
        <v>2.0546537908362441E-2</v>
      </c>
      <c r="N150" s="217">
        <f t="shared" si="20"/>
        <v>6.5349620469511885E-2</v>
      </c>
    </row>
    <row r="151" spans="1:14" hidden="1" outlineLevel="1">
      <c r="A151" s="208"/>
      <c r="B151" s="218" t="s">
        <v>898</v>
      </c>
      <c r="C151" s="214">
        <f t="shared" si="14"/>
        <v>-60</v>
      </c>
      <c r="E151" s="210">
        <v>2</v>
      </c>
      <c r="F151" s="211">
        <v>5</v>
      </c>
      <c r="G151" s="219">
        <f t="shared" si="15"/>
        <v>-60</v>
      </c>
      <c r="H151" s="216">
        <f t="shared" si="16"/>
        <v>1.3697691938908293E-2</v>
      </c>
      <c r="I151" s="216">
        <f t="shared" si="17"/>
        <v>2.5134469411350724E-2</v>
      </c>
      <c r="J151" s="210">
        <v>2</v>
      </c>
      <c r="K151" s="211">
        <v>5</v>
      </c>
      <c r="L151" s="219">
        <f t="shared" si="18"/>
        <v>-60</v>
      </c>
      <c r="M151" s="216">
        <f t="shared" si="19"/>
        <v>1.3697691938908293E-2</v>
      </c>
      <c r="N151" s="217">
        <f t="shared" si="20"/>
        <v>2.5134469411350724E-2</v>
      </c>
    </row>
    <row r="152" spans="1:14" hidden="1" outlineLevel="1">
      <c r="A152" s="208"/>
      <c r="B152" s="218" t="s">
        <v>899</v>
      </c>
      <c r="C152" s="214">
        <f t="shared" si="14"/>
        <v>-100</v>
      </c>
      <c r="E152" s="210">
        <v>0</v>
      </c>
      <c r="F152" s="211">
        <v>3</v>
      </c>
      <c r="G152" s="219">
        <f t="shared" si="15"/>
        <v>-100</v>
      </c>
      <c r="H152" s="216" t="str">
        <f t="shared" si="16"/>
        <v/>
      </c>
      <c r="I152" s="216">
        <f t="shared" si="17"/>
        <v>1.5080681646810435E-2</v>
      </c>
      <c r="J152" s="210">
        <v>0</v>
      </c>
      <c r="K152" s="211">
        <v>3</v>
      </c>
      <c r="L152" s="219">
        <f t="shared" si="18"/>
        <v>-100</v>
      </c>
      <c r="M152" s="216" t="str">
        <f t="shared" si="19"/>
        <v/>
      </c>
      <c r="N152" s="217">
        <f t="shared" si="20"/>
        <v>1.5080681646810435E-2</v>
      </c>
    </row>
    <row r="153" spans="1:14" hidden="1" outlineLevel="1">
      <c r="A153" s="208"/>
      <c r="B153" s="218">
        <v>108</v>
      </c>
      <c r="C153" s="214">
        <f t="shared" si="14"/>
        <v>-100</v>
      </c>
      <c r="E153" s="210">
        <v>0</v>
      </c>
      <c r="F153" s="211">
        <v>2</v>
      </c>
      <c r="G153" s="219">
        <f t="shared" si="15"/>
        <v>-100</v>
      </c>
      <c r="H153" s="216" t="str">
        <f t="shared" si="16"/>
        <v/>
      </c>
      <c r="I153" s="216">
        <f t="shared" si="17"/>
        <v>1.005378776454029E-2</v>
      </c>
      <c r="J153" s="210">
        <v>0</v>
      </c>
      <c r="K153" s="211">
        <v>2</v>
      </c>
      <c r="L153" s="219">
        <f t="shared" si="18"/>
        <v>-100</v>
      </c>
      <c r="M153" s="216" t="str">
        <f t="shared" si="19"/>
        <v/>
      </c>
      <c r="N153" s="217">
        <f t="shared" si="20"/>
        <v>1.005378776454029E-2</v>
      </c>
    </row>
    <row r="154" spans="1:14" collapsed="1">
      <c r="A154" s="208" t="s">
        <v>1139</v>
      </c>
      <c r="B154" s="207" t="s">
        <v>278</v>
      </c>
      <c r="C154" s="214">
        <f t="shared" si="14"/>
        <v>39.568345323741006</v>
      </c>
      <c r="E154" s="210">
        <v>388</v>
      </c>
      <c r="F154" s="211">
        <v>278</v>
      </c>
      <c r="G154" s="219">
        <f t="shared" si="15"/>
        <v>39.568345323741006</v>
      </c>
      <c r="H154" s="216">
        <f t="shared" si="16"/>
        <v>2.6573522361482089</v>
      </c>
      <c r="I154" s="216">
        <f t="shared" si="17"/>
        <v>1.3974764992711004</v>
      </c>
      <c r="J154" s="210">
        <v>388</v>
      </c>
      <c r="K154" s="211">
        <v>278</v>
      </c>
      <c r="L154" s="219">
        <f t="shared" si="18"/>
        <v>39.568345323741006</v>
      </c>
      <c r="M154" s="216">
        <f t="shared" si="19"/>
        <v>2.6573522361482089</v>
      </c>
      <c r="N154" s="217">
        <f t="shared" si="20"/>
        <v>1.3974764992711004</v>
      </c>
    </row>
    <row r="155" spans="1:14" hidden="1" outlineLevel="1">
      <c r="A155" s="208"/>
      <c r="B155" s="218" t="s">
        <v>956</v>
      </c>
      <c r="C155" s="214">
        <f t="shared" si="14"/>
        <v>98.86363636363636</v>
      </c>
      <c r="E155" s="210">
        <v>175</v>
      </c>
      <c r="F155" s="211">
        <v>88</v>
      </c>
      <c r="G155" s="219">
        <f t="shared" si="15"/>
        <v>98.86363636363636</v>
      </c>
      <c r="H155" s="216">
        <f t="shared" si="16"/>
        <v>1.1985480446544758</v>
      </c>
      <c r="I155" s="216">
        <f t="shared" si="17"/>
        <v>0.44236666163977278</v>
      </c>
      <c r="J155" s="210">
        <v>175</v>
      </c>
      <c r="K155" s="211">
        <v>88</v>
      </c>
      <c r="L155" s="219">
        <f t="shared" si="18"/>
        <v>98.86363636363636</v>
      </c>
      <c r="M155" s="216">
        <f t="shared" si="19"/>
        <v>1.1985480446544758</v>
      </c>
      <c r="N155" s="217">
        <f t="shared" si="20"/>
        <v>0.44236666163977278</v>
      </c>
    </row>
    <row r="156" spans="1:14" hidden="1" outlineLevel="1">
      <c r="A156" s="208"/>
      <c r="B156" s="218" t="s">
        <v>955</v>
      </c>
      <c r="C156" s="214">
        <f t="shared" si="14"/>
        <v>-23.157894736842106</v>
      </c>
      <c r="E156" s="210">
        <v>146</v>
      </c>
      <c r="F156" s="211">
        <v>190</v>
      </c>
      <c r="G156" s="219">
        <f t="shared" si="15"/>
        <v>-23.157894736842106</v>
      </c>
      <c r="H156" s="216">
        <f t="shared" si="16"/>
        <v>0.99993151154030546</v>
      </c>
      <c r="I156" s="216">
        <f t="shared" si="17"/>
        <v>0.95510983763132762</v>
      </c>
      <c r="J156" s="210">
        <v>146</v>
      </c>
      <c r="K156" s="211">
        <v>190</v>
      </c>
      <c r="L156" s="219">
        <f t="shared" si="18"/>
        <v>-23.157894736842106</v>
      </c>
      <c r="M156" s="216">
        <f t="shared" si="19"/>
        <v>0.99993151154030546</v>
      </c>
      <c r="N156" s="217">
        <f t="shared" si="20"/>
        <v>0.95510983763132762</v>
      </c>
    </row>
    <row r="157" spans="1:14" hidden="1" outlineLevel="1">
      <c r="A157" s="208"/>
      <c r="B157" s="218" t="s">
        <v>957</v>
      </c>
      <c r="C157" s="214" t="str">
        <f t="shared" si="14"/>
        <v/>
      </c>
      <c r="E157" s="210">
        <v>67</v>
      </c>
      <c r="F157" s="211">
        <v>0</v>
      </c>
      <c r="G157" s="219" t="str">
        <f t="shared" si="15"/>
        <v/>
      </c>
      <c r="H157" s="216">
        <f t="shared" si="16"/>
        <v>0.45887267995342784</v>
      </c>
      <c r="I157" s="216" t="str">
        <f t="shared" si="17"/>
        <v/>
      </c>
      <c r="J157" s="210">
        <v>67</v>
      </c>
      <c r="K157" s="211">
        <v>0</v>
      </c>
      <c r="L157" s="219" t="str">
        <f t="shared" si="18"/>
        <v/>
      </c>
      <c r="M157" s="216">
        <f t="shared" si="19"/>
        <v>0.45887267995342784</v>
      </c>
      <c r="N157" s="217" t="str">
        <f t="shared" si="20"/>
        <v/>
      </c>
    </row>
    <row r="158" spans="1:14" collapsed="1">
      <c r="A158" s="208" t="s">
        <v>1140</v>
      </c>
      <c r="B158" s="207" t="s">
        <v>291</v>
      </c>
      <c r="C158" s="214">
        <f t="shared" si="14"/>
        <v>453.22580645161293</v>
      </c>
      <c r="E158" s="210">
        <v>343</v>
      </c>
      <c r="F158" s="211">
        <v>62</v>
      </c>
      <c r="G158" s="219">
        <f t="shared" si="15"/>
        <v>453.22580645161293</v>
      </c>
      <c r="H158" s="216">
        <f t="shared" si="16"/>
        <v>2.3491541675227725</v>
      </c>
      <c r="I158" s="216">
        <f t="shared" si="17"/>
        <v>0.31166742070074899</v>
      </c>
      <c r="J158" s="210">
        <v>343</v>
      </c>
      <c r="K158" s="211">
        <v>62</v>
      </c>
      <c r="L158" s="219">
        <f t="shared" si="18"/>
        <v>453.22580645161293</v>
      </c>
      <c r="M158" s="216">
        <f t="shared" si="19"/>
        <v>2.3491541675227725</v>
      </c>
      <c r="N158" s="217">
        <f t="shared" si="20"/>
        <v>0.31166742070074899</v>
      </c>
    </row>
    <row r="159" spans="1:14" hidden="1" outlineLevel="1">
      <c r="A159" s="208"/>
      <c r="B159" s="218" t="s">
        <v>977</v>
      </c>
      <c r="C159" s="214">
        <f t="shared" si="14"/>
        <v>2125</v>
      </c>
      <c r="E159" s="210">
        <v>178</v>
      </c>
      <c r="F159" s="211">
        <v>8</v>
      </c>
      <c r="G159" s="219">
        <f t="shared" si="15"/>
        <v>2125</v>
      </c>
      <c r="H159" s="216">
        <f t="shared" si="16"/>
        <v>1.2190945825628381</v>
      </c>
      <c r="I159" s="216">
        <f t="shared" si="17"/>
        <v>4.0215151058161161E-2</v>
      </c>
      <c r="J159" s="210">
        <v>178</v>
      </c>
      <c r="K159" s="211">
        <v>8</v>
      </c>
      <c r="L159" s="219">
        <f t="shared" si="18"/>
        <v>2125</v>
      </c>
      <c r="M159" s="216">
        <f t="shared" si="19"/>
        <v>1.2190945825628381</v>
      </c>
      <c r="N159" s="217">
        <f t="shared" si="20"/>
        <v>4.0215151058161161E-2</v>
      </c>
    </row>
    <row r="160" spans="1:14" hidden="1" outlineLevel="1">
      <c r="A160" s="208"/>
      <c r="B160" s="218" t="s">
        <v>1029</v>
      </c>
      <c r="C160" s="214" t="str">
        <f t="shared" si="14"/>
        <v/>
      </c>
      <c r="E160" s="210">
        <v>85</v>
      </c>
      <c r="F160" s="211">
        <v>0</v>
      </c>
      <c r="G160" s="219" t="str">
        <f t="shared" si="15"/>
        <v/>
      </c>
      <c r="H160" s="216">
        <f t="shared" si="16"/>
        <v>0.58215190740360245</v>
      </c>
      <c r="I160" s="216" t="str">
        <f t="shared" si="17"/>
        <v/>
      </c>
      <c r="J160" s="210">
        <v>85</v>
      </c>
      <c r="K160" s="211">
        <v>0</v>
      </c>
      <c r="L160" s="219" t="str">
        <f t="shared" si="18"/>
        <v/>
      </c>
      <c r="M160" s="216">
        <f t="shared" si="19"/>
        <v>0.58215190740360245</v>
      </c>
      <c r="N160" s="217" t="str">
        <f t="shared" si="20"/>
        <v/>
      </c>
    </row>
    <row r="161" spans="1:14" hidden="1" outlineLevel="1">
      <c r="A161" s="208"/>
      <c r="B161" s="218" t="s">
        <v>976</v>
      </c>
      <c r="C161" s="214">
        <f t="shared" si="14"/>
        <v>-19.35483870967742</v>
      </c>
      <c r="E161" s="210">
        <v>25</v>
      </c>
      <c r="F161" s="211">
        <v>31</v>
      </c>
      <c r="G161" s="219">
        <f t="shared" si="15"/>
        <v>-19.35483870967742</v>
      </c>
      <c r="H161" s="216">
        <f t="shared" si="16"/>
        <v>0.17122114923635368</v>
      </c>
      <c r="I161" s="216">
        <f t="shared" si="17"/>
        <v>0.15583371035037449</v>
      </c>
      <c r="J161" s="210">
        <v>25</v>
      </c>
      <c r="K161" s="211">
        <v>31</v>
      </c>
      <c r="L161" s="219">
        <f t="shared" si="18"/>
        <v>-19.35483870967742</v>
      </c>
      <c r="M161" s="216">
        <f t="shared" si="19"/>
        <v>0.17122114923635368</v>
      </c>
      <c r="N161" s="217">
        <f t="shared" si="20"/>
        <v>0.15583371035037449</v>
      </c>
    </row>
    <row r="162" spans="1:14" hidden="1" outlineLevel="1">
      <c r="A162" s="208"/>
      <c r="B162" s="218" t="s">
        <v>980</v>
      </c>
      <c r="C162" s="214">
        <f t="shared" si="14"/>
        <v>46.153846153846153</v>
      </c>
      <c r="E162" s="210">
        <v>19</v>
      </c>
      <c r="F162" s="211">
        <v>13</v>
      </c>
      <c r="G162" s="219">
        <f t="shared" si="15"/>
        <v>46.153846153846153</v>
      </c>
      <c r="H162" s="216">
        <f t="shared" si="16"/>
        <v>0.13012807341962879</v>
      </c>
      <c r="I162" s="216">
        <f t="shared" si="17"/>
        <v>6.5349620469511885E-2</v>
      </c>
      <c r="J162" s="210">
        <v>19</v>
      </c>
      <c r="K162" s="211">
        <v>13</v>
      </c>
      <c r="L162" s="219">
        <f t="shared" si="18"/>
        <v>46.153846153846153</v>
      </c>
      <c r="M162" s="216">
        <f t="shared" si="19"/>
        <v>0.13012807341962879</v>
      </c>
      <c r="N162" s="217">
        <f t="shared" si="20"/>
        <v>6.5349620469511885E-2</v>
      </c>
    </row>
    <row r="163" spans="1:14" hidden="1" outlineLevel="1">
      <c r="A163" s="208"/>
      <c r="B163" s="218" t="s">
        <v>979</v>
      </c>
      <c r="C163" s="214">
        <f t="shared" si="14"/>
        <v>800</v>
      </c>
      <c r="E163" s="210">
        <v>18</v>
      </c>
      <c r="F163" s="211">
        <v>2</v>
      </c>
      <c r="G163" s="219">
        <f t="shared" si="15"/>
        <v>800</v>
      </c>
      <c r="H163" s="216">
        <f t="shared" si="16"/>
        <v>0.12327922745017465</v>
      </c>
      <c r="I163" s="216">
        <f t="shared" si="17"/>
        <v>1.005378776454029E-2</v>
      </c>
      <c r="J163" s="210">
        <v>18</v>
      </c>
      <c r="K163" s="211">
        <v>2</v>
      </c>
      <c r="L163" s="219">
        <f t="shared" si="18"/>
        <v>800</v>
      </c>
      <c r="M163" s="216">
        <f t="shared" si="19"/>
        <v>0.12327922745017465</v>
      </c>
      <c r="N163" s="217">
        <f t="shared" si="20"/>
        <v>1.005378776454029E-2</v>
      </c>
    </row>
    <row r="164" spans="1:14" hidden="1" outlineLevel="1">
      <c r="A164" s="208"/>
      <c r="B164" s="218" t="s">
        <v>978</v>
      </c>
      <c r="C164" s="214">
        <f t="shared" si="14"/>
        <v>433.33333333333331</v>
      </c>
      <c r="E164" s="210">
        <v>16</v>
      </c>
      <c r="F164" s="211">
        <v>3</v>
      </c>
      <c r="G164" s="219">
        <f t="shared" si="15"/>
        <v>433.33333333333331</v>
      </c>
      <c r="H164" s="216">
        <f t="shared" si="16"/>
        <v>0.10958153551126634</v>
      </c>
      <c r="I164" s="216">
        <f t="shared" si="17"/>
        <v>1.5080681646810435E-2</v>
      </c>
      <c r="J164" s="210">
        <v>16</v>
      </c>
      <c r="K164" s="211">
        <v>3</v>
      </c>
      <c r="L164" s="219">
        <f t="shared" si="18"/>
        <v>433.33333333333331</v>
      </c>
      <c r="M164" s="216">
        <f t="shared" si="19"/>
        <v>0.10958153551126634</v>
      </c>
      <c r="N164" s="217">
        <f t="shared" si="20"/>
        <v>1.5080681646810435E-2</v>
      </c>
    </row>
    <row r="165" spans="1:14" hidden="1" outlineLevel="1">
      <c r="A165" s="208"/>
      <c r="B165" s="218" t="s">
        <v>981</v>
      </c>
      <c r="C165" s="214">
        <f t="shared" si="14"/>
        <v>-50</v>
      </c>
      <c r="E165" s="210">
        <v>1</v>
      </c>
      <c r="F165" s="211">
        <v>2</v>
      </c>
      <c r="G165" s="219">
        <f t="shared" si="15"/>
        <v>-50</v>
      </c>
      <c r="H165" s="216">
        <f t="shared" si="16"/>
        <v>6.8488459694541464E-3</v>
      </c>
      <c r="I165" s="216">
        <f t="shared" si="17"/>
        <v>1.005378776454029E-2</v>
      </c>
      <c r="J165" s="210">
        <v>1</v>
      </c>
      <c r="K165" s="211">
        <v>2</v>
      </c>
      <c r="L165" s="219">
        <f t="shared" si="18"/>
        <v>-50</v>
      </c>
      <c r="M165" s="216">
        <f t="shared" si="19"/>
        <v>6.8488459694541464E-3</v>
      </c>
      <c r="N165" s="217">
        <f t="shared" si="20"/>
        <v>1.005378776454029E-2</v>
      </c>
    </row>
    <row r="166" spans="1:14" hidden="1" outlineLevel="1">
      <c r="A166" s="208"/>
      <c r="B166" s="218" t="s">
        <v>982</v>
      </c>
      <c r="C166" s="214">
        <f t="shared" si="14"/>
        <v>-50</v>
      </c>
      <c r="E166" s="210">
        <v>1</v>
      </c>
      <c r="F166" s="211">
        <v>2</v>
      </c>
      <c r="G166" s="219">
        <f t="shared" si="15"/>
        <v>-50</v>
      </c>
      <c r="H166" s="216">
        <f t="shared" si="16"/>
        <v>6.8488459694541464E-3</v>
      </c>
      <c r="I166" s="216">
        <f t="shared" si="17"/>
        <v>1.005378776454029E-2</v>
      </c>
      <c r="J166" s="210">
        <v>1</v>
      </c>
      <c r="K166" s="211">
        <v>2</v>
      </c>
      <c r="L166" s="219">
        <f t="shared" si="18"/>
        <v>-50</v>
      </c>
      <c r="M166" s="216">
        <f t="shared" si="19"/>
        <v>6.8488459694541464E-3</v>
      </c>
      <c r="N166" s="217">
        <f t="shared" si="20"/>
        <v>1.005378776454029E-2</v>
      </c>
    </row>
    <row r="167" spans="1:14" hidden="1" outlineLevel="1">
      <c r="A167" s="208"/>
      <c r="B167" s="218" t="s">
        <v>983</v>
      </c>
      <c r="C167" s="214">
        <f t="shared" si="14"/>
        <v>-100</v>
      </c>
      <c r="E167" s="210">
        <v>0</v>
      </c>
      <c r="F167" s="211">
        <v>1</v>
      </c>
      <c r="G167" s="219">
        <f t="shared" si="15"/>
        <v>-100</v>
      </c>
      <c r="H167" s="216" t="str">
        <f t="shared" si="16"/>
        <v/>
      </c>
      <c r="I167" s="216">
        <f t="shared" si="17"/>
        <v>5.0268938822701451E-3</v>
      </c>
      <c r="J167" s="210">
        <v>0</v>
      </c>
      <c r="K167" s="211">
        <v>1</v>
      </c>
      <c r="L167" s="219">
        <f t="shared" si="18"/>
        <v>-100</v>
      </c>
      <c r="M167" s="216" t="str">
        <f t="shared" si="19"/>
        <v/>
      </c>
      <c r="N167" s="217">
        <f t="shared" si="20"/>
        <v>5.0268938822701451E-3</v>
      </c>
    </row>
    <row r="168" spans="1:14" collapsed="1">
      <c r="A168" s="208" t="s">
        <v>1141</v>
      </c>
      <c r="B168" s="207" t="s">
        <v>300</v>
      </c>
      <c r="C168" s="214">
        <f t="shared" si="14"/>
        <v>-25.727069351230426</v>
      </c>
      <c r="E168" s="210">
        <v>332</v>
      </c>
      <c r="F168" s="211">
        <v>447</v>
      </c>
      <c r="G168" s="219">
        <f t="shared" si="15"/>
        <v>-25.727069351230426</v>
      </c>
      <c r="H168" s="216">
        <f t="shared" si="16"/>
        <v>2.2738168618587768</v>
      </c>
      <c r="I168" s="216">
        <f t="shared" si="17"/>
        <v>2.2470215653747552</v>
      </c>
      <c r="J168" s="210">
        <v>332</v>
      </c>
      <c r="K168" s="211">
        <v>447</v>
      </c>
      <c r="L168" s="219">
        <f t="shared" si="18"/>
        <v>-25.727069351230426</v>
      </c>
      <c r="M168" s="216">
        <f t="shared" si="19"/>
        <v>2.2738168618587768</v>
      </c>
      <c r="N168" s="217">
        <f t="shared" si="20"/>
        <v>2.2470215653747552</v>
      </c>
    </row>
    <row r="169" spans="1:14" hidden="1" outlineLevel="1">
      <c r="A169" s="208"/>
      <c r="B169" s="218" t="s">
        <v>905</v>
      </c>
      <c r="C169" s="214">
        <f t="shared" si="14"/>
        <v>-22.516556291390728</v>
      </c>
      <c r="E169" s="210">
        <v>117</v>
      </c>
      <c r="F169" s="211">
        <v>151</v>
      </c>
      <c r="G169" s="219">
        <f t="shared" si="15"/>
        <v>-22.516556291390728</v>
      </c>
      <c r="H169" s="216">
        <f t="shared" si="16"/>
        <v>0.8013149784261353</v>
      </c>
      <c r="I169" s="216">
        <f t="shared" si="17"/>
        <v>0.75906097622279201</v>
      </c>
      <c r="J169" s="210">
        <v>117</v>
      </c>
      <c r="K169" s="211">
        <v>151</v>
      </c>
      <c r="L169" s="219">
        <f t="shared" si="18"/>
        <v>-22.516556291390728</v>
      </c>
      <c r="M169" s="216">
        <f t="shared" si="19"/>
        <v>0.8013149784261353</v>
      </c>
      <c r="N169" s="217">
        <f t="shared" si="20"/>
        <v>0.75906097622279201</v>
      </c>
    </row>
    <row r="170" spans="1:14" hidden="1" outlineLevel="1">
      <c r="A170" s="208"/>
      <c r="B170" s="218" t="s">
        <v>909</v>
      </c>
      <c r="C170" s="214">
        <f t="shared" si="14"/>
        <v>111.42857142857143</v>
      </c>
      <c r="E170" s="210">
        <v>74</v>
      </c>
      <c r="F170" s="211">
        <v>35</v>
      </c>
      <c r="G170" s="219">
        <f t="shared" si="15"/>
        <v>111.42857142857143</v>
      </c>
      <c r="H170" s="216">
        <f t="shared" si="16"/>
        <v>0.50681460173960691</v>
      </c>
      <c r="I170" s="216">
        <f t="shared" si="17"/>
        <v>0.17594128587945507</v>
      </c>
      <c r="J170" s="210">
        <v>74</v>
      </c>
      <c r="K170" s="211">
        <v>35</v>
      </c>
      <c r="L170" s="219">
        <f t="shared" si="18"/>
        <v>111.42857142857143</v>
      </c>
      <c r="M170" s="216">
        <f t="shared" si="19"/>
        <v>0.50681460173960691</v>
      </c>
      <c r="N170" s="217">
        <f t="shared" si="20"/>
        <v>0.17594128587945507</v>
      </c>
    </row>
    <row r="171" spans="1:14" hidden="1" outlineLevel="1">
      <c r="A171" s="208"/>
      <c r="B171" s="218" t="s">
        <v>907</v>
      </c>
      <c r="C171" s="214">
        <f t="shared" si="14"/>
        <v>238.46153846153845</v>
      </c>
      <c r="E171" s="210">
        <v>44</v>
      </c>
      <c r="F171" s="211">
        <v>13</v>
      </c>
      <c r="G171" s="219">
        <f t="shared" si="15"/>
        <v>238.46153846153845</v>
      </c>
      <c r="H171" s="216">
        <f t="shared" si="16"/>
        <v>0.30134922265598246</v>
      </c>
      <c r="I171" s="216">
        <f t="shared" si="17"/>
        <v>6.5349620469511885E-2</v>
      </c>
      <c r="J171" s="210">
        <v>44</v>
      </c>
      <c r="K171" s="211">
        <v>13</v>
      </c>
      <c r="L171" s="219">
        <f t="shared" si="18"/>
        <v>238.46153846153845</v>
      </c>
      <c r="M171" s="216">
        <f t="shared" si="19"/>
        <v>0.30134922265598246</v>
      </c>
      <c r="N171" s="217">
        <f t="shared" si="20"/>
        <v>6.5349620469511885E-2</v>
      </c>
    </row>
    <row r="172" spans="1:14" hidden="1" outlineLevel="1">
      <c r="A172" s="208"/>
      <c r="B172" s="218" t="s">
        <v>906</v>
      </c>
      <c r="C172" s="214">
        <f t="shared" si="14"/>
        <v>-82.162162162162161</v>
      </c>
      <c r="E172" s="210">
        <v>33</v>
      </c>
      <c r="F172" s="211">
        <v>185</v>
      </c>
      <c r="G172" s="219">
        <f t="shared" si="15"/>
        <v>-82.162162162162161</v>
      </c>
      <c r="H172" s="216">
        <f t="shared" si="16"/>
        <v>0.22601191699198686</v>
      </c>
      <c r="I172" s="216">
        <f t="shared" si="17"/>
        <v>0.92997536821997684</v>
      </c>
      <c r="J172" s="210">
        <v>33</v>
      </c>
      <c r="K172" s="211">
        <v>185</v>
      </c>
      <c r="L172" s="219">
        <f t="shared" si="18"/>
        <v>-82.162162162162161</v>
      </c>
      <c r="M172" s="216">
        <f t="shared" si="19"/>
        <v>0.22601191699198686</v>
      </c>
      <c r="N172" s="217">
        <f t="shared" si="20"/>
        <v>0.92997536821997684</v>
      </c>
    </row>
    <row r="173" spans="1:14" hidden="1" outlineLevel="1">
      <c r="A173" s="208"/>
      <c r="B173" s="218" t="s">
        <v>908</v>
      </c>
      <c r="C173" s="214">
        <f t="shared" si="14"/>
        <v>-50</v>
      </c>
      <c r="E173" s="210">
        <v>24</v>
      </c>
      <c r="F173" s="211">
        <v>48</v>
      </c>
      <c r="G173" s="219">
        <f t="shared" si="15"/>
        <v>-50</v>
      </c>
      <c r="H173" s="216">
        <f t="shared" si="16"/>
        <v>0.16437230326689953</v>
      </c>
      <c r="I173" s="216">
        <f t="shared" si="17"/>
        <v>0.24129090634896697</v>
      </c>
      <c r="J173" s="210">
        <v>24</v>
      </c>
      <c r="K173" s="211">
        <v>48</v>
      </c>
      <c r="L173" s="219">
        <f t="shared" si="18"/>
        <v>-50</v>
      </c>
      <c r="M173" s="216">
        <f t="shared" si="19"/>
        <v>0.16437230326689953</v>
      </c>
      <c r="N173" s="217">
        <f t="shared" si="20"/>
        <v>0.24129090634896697</v>
      </c>
    </row>
    <row r="174" spans="1:14" hidden="1" outlineLevel="1">
      <c r="A174" s="208"/>
      <c r="B174" s="218" t="s">
        <v>1095</v>
      </c>
      <c r="C174" s="214" t="str">
        <f t="shared" si="14"/>
        <v/>
      </c>
      <c r="E174" s="210">
        <v>22</v>
      </c>
      <c r="F174" s="211">
        <v>0</v>
      </c>
      <c r="G174" s="219" t="str">
        <f t="shared" si="15"/>
        <v/>
      </c>
      <c r="H174" s="216">
        <f t="shared" si="16"/>
        <v>0.15067461132799123</v>
      </c>
      <c r="I174" s="216" t="str">
        <f t="shared" si="17"/>
        <v/>
      </c>
      <c r="J174" s="210">
        <v>22</v>
      </c>
      <c r="K174" s="211">
        <v>0</v>
      </c>
      <c r="L174" s="219" t="str">
        <f t="shared" si="18"/>
        <v/>
      </c>
      <c r="M174" s="216">
        <f t="shared" si="19"/>
        <v>0.15067461132799123</v>
      </c>
      <c r="N174" s="217" t="str">
        <f t="shared" si="20"/>
        <v/>
      </c>
    </row>
    <row r="175" spans="1:14" hidden="1" outlineLevel="1">
      <c r="A175" s="208"/>
      <c r="B175" s="218" t="s">
        <v>911</v>
      </c>
      <c r="C175" s="214">
        <f t="shared" si="14"/>
        <v>40</v>
      </c>
      <c r="E175" s="210">
        <v>14</v>
      </c>
      <c r="F175" s="211">
        <v>10</v>
      </c>
      <c r="G175" s="219">
        <f t="shared" si="15"/>
        <v>40</v>
      </c>
      <c r="H175" s="216">
        <f t="shared" si="16"/>
        <v>9.5883843572358046E-2</v>
      </c>
      <c r="I175" s="216">
        <f t="shared" si="17"/>
        <v>5.0268938822701448E-2</v>
      </c>
      <c r="J175" s="210">
        <v>14</v>
      </c>
      <c r="K175" s="211">
        <v>10</v>
      </c>
      <c r="L175" s="219">
        <f t="shared" si="18"/>
        <v>40</v>
      </c>
      <c r="M175" s="216">
        <f t="shared" si="19"/>
        <v>9.5883843572358046E-2</v>
      </c>
      <c r="N175" s="217">
        <f t="shared" si="20"/>
        <v>5.0268938822701448E-2</v>
      </c>
    </row>
    <row r="176" spans="1:14" hidden="1" outlineLevel="1">
      <c r="A176" s="208"/>
      <c r="B176" s="218" t="s">
        <v>912</v>
      </c>
      <c r="C176" s="214" t="str">
        <f t="shared" si="14"/>
        <v/>
      </c>
      <c r="E176" s="210">
        <v>4</v>
      </c>
      <c r="F176" s="211">
        <v>0</v>
      </c>
      <c r="G176" s="219" t="str">
        <f t="shared" si="15"/>
        <v/>
      </c>
      <c r="H176" s="216">
        <f t="shared" si="16"/>
        <v>2.7395383877816586E-2</v>
      </c>
      <c r="I176" s="216" t="str">
        <f t="shared" si="17"/>
        <v/>
      </c>
      <c r="J176" s="210">
        <v>4</v>
      </c>
      <c r="K176" s="211">
        <v>0</v>
      </c>
      <c r="L176" s="219" t="str">
        <f t="shared" si="18"/>
        <v/>
      </c>
      <c r="M176" s="216">
        <f t="shared" si="19"/>
        <v>2.7395383877816586E-2</v>
      </c>
      <c r="N176" s="217" t="str">
        <f t="shared" si="20"/>
        <v/>
      </c>
    </row>
    <row r="177" spans="1:14" hidden="1" outlineLevel="1">
      <c r="A177" s="208"/>
      <c r="B177" s="218" t="s">
        <v>910</v>
      </c>
      <c r="C177" s="214">
        <f t="shared" si="14"/>
        <v>-100</v>
      </c>
      <c r="E177" s="210">
        <v>0</v>
      </c>
      <c r="F177" s="211">
        <v>5</v>
      </c>
      <c r="G177" s="219">
        <f t="shared" si="15"/>
        <v>-100</v>
      </c>
      <c r="H177" s="216" t="str">
        <f t="shared" si="16"/>
        <v/>
      </c>
      <c r="I177" s="216">
        <f t="shared" si="17"/>
        <v>2.5134469411350724E-2</v>
      </c>
      <c r="J177" s="210">
        <v>0</v>
      </c>
      <c r="K177" s="211">
        <v>5</v>
      </c>
      <c r="L177" s="219">
        <f t="shared" si="18"/>
        <v>-100</v>
      </c>
      <c r="M177" s="216" t="str">
        <f t="shared" si="19"/>
        <v/>
      </c>
      <c r="N177" s="217">
        <f t="shared" si="20"/>
        <v>2.5134469411350724E-2</v>
      </c>
    </row>
    <row r="178" spans="1:14" collapsed="1">
      <c r="A178" s="208" t="s">
        <v>1142</v>
      </c>
      <c r="B178" s="207" t="s">
        <v>299</v>
      </c>
      <c r="C178" s="214">
        <f t="shared" si="14"/>
        <v>53.846153846153847</v>
      </c>
      <c r="E178" s="210">
        <v>260</v>
      </c>
      <c r="F178" s="211">
        <v>169</v>
      </c>
      <c r="G178" s="219">
        <f t="shared" si="15"/>
        <v>53.846153846153847</v>
      </c>
      <c r="H178" s="216">
        <f t="shared" si="16"/>
        <v>1.7806999520580784</v>
      </c>
      <c r="I178" s="216">
        <f t="shared" si="17"/>
        <v>0.84954506610365443</v>
      </c>
      <c r="J178" s="210">
        <v>260</v>
      </c>
      <c r="K178" s="211">
        <v>169</v>
      </c>
      <c r="L178" s="219">
        <f t="shared" si="18"/>
        <v>53.846153846153847</v>
      </c>
      <c r="M178" s="216">
        <f t="shared" si="19"/>
        <v>1.7806999520580784</v>
      </c>
      <c r="N178" s="217">
        <f t="shared" si="20"/>
        <v>0.84954506610365443</v>
      </c>
    </row>
    <row r="179" spans="1:14" hidden="1" outlineLevel="1">
      <c r="A179" s="208"/>
      <c r="B179" s="218" t="s">
        <v>958</v>
      </c>
      <c r="C179" s="214">
        <f t="shared" si="14"/>
        <v>6.25</v>
      </c>
      <c r="E179" s="210">
        <v>102</v>
      </c>
      <c r="F179" s="211">
        <v>96</v>
      </c>
      <c r="G179" s="219">
        <f t="shared" si="15"/>
        <v>6.25</v>
      </c>
      <c r="H179" s="216">
        <f t="shared" si="16"/>
        <v>0.69858228888432294</v>
      </c>
      <c r="I179" s="216">
        <f t="shared" si="17"/>
        <v>0.48258181269793393</v>
      </c>
      <c r="J179" s="210">
        <v>102</v>
      </c>
      <c r="K179" s="211">
        <v>96</v>
      </c>
      <c r="L179" s="219">
        <f t="shared" si="18"/>
        <v>6.25</v>
      </c>
      <c r="M179" s="216">
        <f t="shared" si="19"/>
        <v>0.69858228888432294</v>
      </c>
      <c r="N179" s="217">
        <f t="shared" si="20"/>
        <v>0.48258181269793393</v>
      </c>
    </row>
    <row r="180" spans="1:14" hidden="1" outlineLevel="1">
      <c r="A180" s="208"/>
      <c r="B180" s="218" t="s">
        <v>959</v>
      </c>
      <c r="C180" s="214">
        <f t="shared" si="14"/>
        <v>329.41176470588232</v>
      </c>
      <c r="E180" s="210">
        <v>73</v>
      </c>
      <c r="F180" s="211">
        <v>17</v>
      </c>
      <c r="G180" s="219">
        <f t="shared" si="15"/>
        <v>329.41176470588232</v>
      </c>
      <c r="H180" s="216">
        <f t="shared" si="16"/>
        <v>0.49996575577015273</v>
      </c>
      <c r="I180" s="216">
        <f t="shared" si="17"/>
        <v>8.5457195998592472E-2</v>
      </c>
      <c r="J180" s="210">
        <v>73</v>
      </c>
      <c r="K180" s="211">
        <v>17</v>
      </c>
      <c r="L180" s="219">
        <f t="shared" si="18"/>
        <v>329.41176470588232</v>
      </c>
      <c r="M180" s="216">
        <f t="shared" si="19"/>
        <v>0.49996575577015273</v>
      </c>
      <c r="N180" s="217">
        <f t="shared" si="20"/>
        <v>8.5457195998592472E-2</v>
      </c>
    </row>
    <row r="181" spans="1:14" hidden="1" outlineLevel="1">
      <c r="A181" s="208"/>
      <c r="B181" s="218" t="s">
        <v>960</v>
      </c>
      <c r="C181" s="214">
        <f t="shared" si="14"/>
        <v>107.14285714285714</v>
      </c>
      <c r="E181" s="210">
        <v>29</v>
      </c>
      <c r="F181" s="211">
        <v>14</v>
      </c>
      <c r="G181" s="219">
        <f t="shared" si="15"/>
        <v>107.14285714285714</v>
      </c>
      <c r="H181" s="216">
        <f t="shared" si="16"/>
        <v>0.1986165331141703</v>
      </c>
      <c r="I181" s="216">
        <f t="shared" si="17"/>
        <v>7.0376514351782035E-2</v>
      </c>
      <c r="J181" s="210">
        <v>29</v>
      </c>
      <c r="K181" s="211">
        <v>14</v>
      </c>
      <c r="L181" s="219">
        <f t="shared" si="18"/>
        <v>107.14285714285714</v>
      </c>
      <c r="M181" s="216">
        <f t="shared" si="19"/>
        <v>0.1986165331141703</v>
      </c>
      <c r="N181" s="217">
        <f t="shared" si="20"/>
        <v>7.0376514351782035E-2</v>
      </c>
    </row>
    <row r="182" spans="1:14" hidden="1" outlineLevel="1">
      <c r="A182" s="208"/>
      <c r="B182" s="218">
        <v>911</v>
      </c>
      <c r="C182" s="214">
        <f t="shared" si="14"/>
        <v>4.3478260869565215</v>
      </c>
      <c r="E182" s="210">
        <v>24</v>
      </c>
      <c r="F182" s="211">
        <v>23</v>
      </c>
      <c r="G182" s="219">
        <f t="shared" si="15"/>
        <v>4.3478260869565215</v>
      </c>
      <c r="H182" s="216">
        <f t="shared" si="16"/>
        <v>0.16437230326689953</v>
      </c>
      <c r="I182" s="216">
        <f t="shared" si="17"/>
        <v>0.11561855929221333</v>
      </c>
      <c r="J182" s="210">
        <v>24</v>
      </c>
      <c r="K182" s="211">
        <v>23</v>
      </c>
      <c r="L182" s="219">
        <f t="shared" si="18"/>
        <v>4.3478260869565215</v>
      </c>
      <c r="M182" s="216">
        <f t="shared" si="19"/>
        <v>0.16437230326689953</v>
      </c>
      <c r="N182" s="217">
        <f t="shared" si="20"/>
        <v>0.11561855929221333</v>
      </c>
    </row>
    <row r="183" spans="1:14" hidden="1" outlineLevel="1">
      <c r="A183" s="208"/>
      <c r="B183" s="218" t="s">
        <v>961</v>
      </c>
      <c r="C183" s="214">
        <f t="shared" si="14"/>
        <v>35.294117647058826</v>
      </c>
      <c r="E183" s="210">
        <v>23</v>
      </c>
      <c r="F183" s="211">
        <v>17</v>
      </c>
      <c r="G183" s="219">
        <f t="shared" si="15"/>
        <v>35.294117647058826</v>
      </c>
      <c r="H183" s="216">
        <f t="shared" si="16"/>
        <v>0.15752345729744538</v>
      </c>
      <c r="I183" s="216">
        <f t="shared" si="17"/>
        <v>8.5457195998592472E-2</v>
      </c>
      <c r="J183" s="210">
        <v>23</v>
      </c>
      <c r="K183" s="211">
        <v>17</v>
      </c>
      <c r="L183" s="219">
        <f t="shared" si="18"/>
        <v>35.294117647058826</v>
      </c>
      <c r="M183" s="216">
        <f t="shared" si="19"/>
        <v>0.15752345729744538</v>
      </c>
      <c r="N183" s="217">
        <f t="shared" si="20"/>
        <v>8.5457195998592472E-2</v>
      </c>
    </row>
    <row r="184" spans="1:14" hidden="1" outlineLevel="1">
      <c r="A184" s="208"/>
      <c r="B184" s="218">
        <v>718</v>
      </c>
      <c r="C184" s="214">
        <f t="shared" si="14"/>
        <v>350</v>
      </c>
      <c r="E184" s="210">
        <v>9</v>
      </c>
      <c r="F184" s="211">
        <v>2</v>
      </c>
      <c r="G184" s="219">
        <f t="shared" si="15"/>
        <v>350</v>
      </c>
      <c r="H184" s="216">
        <f t="shared" si="16"/>
        <v>6.1639613725087326E-2</v>
      </c>
      <c r="I184" s="216">
        <f t="shared" si="17"/>
        <v>1.005378776454029E-2</v>
      </c>
      <c r="J184" s="210">
        <v>9</v>
      </c>
      <c r="K184" s="211">
        <v>2</v>
      </c>
      <c r="L184" s="219">
        <f t="shared" si="18"/>
        <v>350</v>
      </c>
      <c r="M184" s="216">
        <f t="shared" si="19"/>
        <v>6.1639613725087326E-2</v>
      </c>
      <c r="N184" s="217">
        <f t="shared" si="20"/>
        <v>1.005378776454029E-2</v>
      </c>
    </row>
    <row r="185" spans="1:14" collapsed="1">
      <c r="A185" s="208" t="s">
        <v>1143</v>
      </c>
      <c r="B185" s="207" t="s">
        <v>282</v>
      </c>
      <c r="C185" s="214">
        <f t="shared" si="14"/>
        <v>-47.357293868921772</v>
      </c>
      <c r="E185" s="210">
        <v>249</v>
      </c>
      <c r="F185" s="211">
        <v>473</v>
      </c>
      <c r="G185" s="219">
        <f t="shared" si="15"/>
        <v>-47.357293868921772</v>
      </c>
      <c r="H185" s="216">
        <f t="shared" si="16"/>
        <v>1.7053626463940825</v>
      </c>
      <c r="I185" s="216">
        <f t="shared" si="17"/>
        <v>2.3777208063137789</v>
      </c>
      <c r="J185" s="210">
        <v>249</v>
      </c>
      <c r="K185" s="211">
        <v>473</v>
      </c>
      <c r="L185" s="219">
        <f t="shared" si="18"/>
        <v>-47.357293868921772</v>
      </c>
      <c r="M185" s="216">
        <f t="shared" si="19"/>
        <v>1.7053626463940825</v>
      </c>
      <c r="N185" s="217">
        <f t="shared" si="20"/>
        <v>2.3777208063137789</v>
      </c>
    </row>
    <row r="186" spans="1:14" hidden="1" outlineLevel="1">
      <c r="A186" s="208"/>
      <c r="B186" s="218" t="s">
        <v>913</v>
      </c>
      <c r="C186" s="214">
        <f t="shared" si="14"/>
        <v>-21.238938053097346</v>
      </c>
      <c r="E186" s="210">
        <v>89</v>
      </c>
      <c r="F186" s="211">
        <v>113</v>
      </c>
      <c r="G186" s="219">
        <f t="shared" si="15"/>
        <v>-21.238938053097346</v>
      </c>
      <c r="H186" s="216">
        <f t="shared" si="16"/>
        <v>0.60954729128141905</v>
      </c>
      <c r="I186" s="216">
        <f t="shared" si="17"/>
        <v>0.56803900869652646</v>
      </c>
      <c r="J186" s="210">
        <v>89</v>
      </c>
      <c r="K186" s="211">
        <v>113</v>
      </c>
      <c r="L186" s="219">
        <f t="shared" si="18"/>
        <v>-21.238938053097346</v>
      </c>
      <c r="M186" s="216">
        <f t="shared" si="19"/>
        <v>0.60954729128141905</v>
      </c>
      <c r="N186" s="217">
        <f t="shared" si="20"/>
        <v>0.56803900869652646</v>
      </c>
    </row>
    <row r="187" spans="1:14" hidden="1" outlineLevel="1">
      <c r="A187" s="208"/>
      <c r="B187" s="218" t="s">
        <v>915</v>
      </c>
      <c r="C187" s="214">
        <f t="shared" si="14"/>
        <v>39.285714285714285</v>
      </c>
      <c r="E187" s="210">
        <v>39</v>
      </c>
      <c r="F187" s="211">
        <v>28</v>
      </c>
      <c r="G187" s="219">
        <f t="shared" si="15"/>
        <v>39.285714285714285</v>
      </c>
      <c r="H187" s="216">
        <f t="shared" si="16"/>
        <v>0.26710499280871169</v>
      </c>
      <c r="I187" s="216">
        <f t="shared" si="17"/>
        <v>0.14075302870356407</v>
      </c>
      <c r="J187" s="210">
        <v>39</v>
      </c>
      <c r="K187" s="211">
        <v>28</v>
      </c>
      <c r="L187" s="219">
        <f t="shared" si="18"/>
        <v>39.285714285714285</v>
      </c>
      <c r="M187" s="216">
        <f t="shared" si="19"/>
        <v>0.26710499280871169</v>
      </c>
      <c r="N187" s="217">
        <f t="shared" si="20"/>
        <v>0.14075302870356407</v>
      </c>
    </row>
    <row r="188" spans="1:14" hidden="1" outlineLevel="1">
      <c r="A188" s="208"/>
      <c r="B188" s="218" t="s">
        <v>917</v>
      </c>
      <c r="C188" s="214">
        <f t="shared" si="14"/>
        <v>88.888888888888886</v>
      </c>
      <c r="E188" s="210">
        <v>34</v>
      </c>
      <c r="F188" s="211">
        <v>18</v>
      </c>
      <c r="G188" s="219">
        <f t="shared" si="15"/>
        <v>88.888888888888886</v>
      </c>
      <c r="H188" s="216">
        <f t="shared" si="16"/>
        <v>0.23286076296144101</v>
      </c>
      <c r="I188" s="216">
        <f t="shared" si="17"/>
        <v>9.0484089880862609E-2</v>
      </c>
      <c r="J188" s="210">
        <v>34</v>
      </c>
      <c r="K188" s="211">
        <v>18</v>
      </c>
      <c r="L188" s="219">
        <f t="shared" si="18"/>
        <v>88.888888888888886</v>
      </c>
      <c r="M188" s="216">
        <f t="shared" si="19"/>
        <v>0.23286076296144101</v>
      </c>
      <c r="N188" s="217">
        <f t="shared" si="20"/>
        <v>9.0484089880862609E-2</v>
      </c>
    </row>
    <row r="189" spans="1:14" hidden="1" outlineLevel="1">
      <c r="A189" s="208"/>
      <c r="B189" s="218" t="s">
        <v>918</v>
      </c>
      <c r="C189" s="214">
        <f t="shared" si="14"/>
        <v>-40.816326530612244</v>
      </c>
      <c r="E189" s="210">
        <v>29</v>
      </c>
      <c r="F189" s="211">
        <v>49</v>
      </c>
      <c r="G189" s="219">
        <f t="shared" si="15"/>
        <v>-40.816326530612244</v>
      </c>
      <c r="H189" s="216">
        <f t="shared" si="16"/>
        <v>0.1986165331141703</v>
      </c>
      <c r="I189" s="216">
        <f t="shared" si="17"/>
        <v>0.24631780023123712</v>
      </c>
      <c r="J189" s="210">
        <v>29</v>
      </c>
      <c r="K189" s="211">
        <v>49</v>
      </c>
      <c r="L189" s="219">
        <f t="shared" si="18"/>
        <v>-40.816326530612244</v>
      </c>
      <c r="M189" s="216">
        <f t="shared" si="19"/>
        <v>0.1986165331141703</v>
      </c>
      <c r="N189" s="217">
        <f t="shared" si="20"/>
        <v>0.24631780023123712</v>
      </c>
    </row>
    <row r="190" spans="1:14" hidden="1" outlineLevel="1">
      <c r="A190" s="208"/>
      <c r="B190" s="218" t="s">
        <v>914</v>
      </c>
      <c r="C190" s="214">
        <f t="shared" si="14"/>
        <v>-75.238095238095241</v>
      </c>
      <c r="E190" s="210">
        <v>26</v>
      </c>
      <c r="F190" s="211">
        <v>105</v>
      </c>
      <c r="G190" s="219">
        <f t="shared" si="15"/>
        <v>-75.238095238095241</v>
      </c>
      <c r="H190" s="216">
        <f t="shared" si="16"/>
        <v>0.17806999520580782</v>
      </c>
      <c r="I190" s="216">
        <f t="shared" si="17"/>
        <v>0.52782385763836526</v>
      </c>
      <c r="J190" s="210">
        <v>26</v>
      </c>
      <c r="K190" s="211">
        <v>105</v>
      </c>
      <c r="L190" s="219">
        <f t="shared" si="18"/>
        <v>-75.238095238095241</v>
      </c>
      <c r="M190" s="216">
        <f t="shared" si="19"/>
        <v>0.17806999520580782</v>
      </c>
      <c r="N190" s="217">
        <f t="shared" si="20"/>
        <v>0.52782385763836526</v>
      </c>
    </row>
    <row r="191" spans="1:14" hidden="1" outlineLevel="1">
      <c r="A191" s="208"/>
      <c r="B191" s="218" t="s">
        <v>916</v>
      </c>
      <c r="C191" s="214">
        <f t="shared" si="14"/>
        <v>-85.714285714285708</v>
      </c>
      <c r="E191" s="210">
        <v>16</v>
      </c>
      <c r="F191" s="211">
        <v>112</v>
      </c>
      <c r="G191" s="219">
        <f t="shared" si="15"/>
        <v>-85.714285714285708</v>
      </c>
      <c r="H191" s="216">
        <f t="shared" si="16"/>
        <v>0.10958153551126634</v>
      </c>
      <c r="I191" s="216">
        <f t="shared" si="17"/>
        <v>0.56301211481425628</v>
      </c>
      <c r="J191" s="210">
        <v>16</v>
      </c>
      <c r="K191" s="211">
        <v>112</v>
      </c>
      <c r="L191" s="219">
        <f t="shared" si="18"/>
        <v>-85.714285714285708</v>
      </c>
      <c r="M191" s="216">
        <f t="shared" si="19"/>
        <v>0.10958153551126634</v>
      </c>
      <c r="N191" s="217">
        <f t="shared" si="20"/>
        <v>0.56301211481425628</v>
      </c>
    </row>
    <row r="192" spans="1:14" hidden="1" outlineLevel="1">
      <c r="A192" s="208"/>
      <c r="B192" s="218" t="s">
        <v>919</v>
      </c>
      <c r="C192" s="214">
        <f t="shared" si="14"/>
        <v>0</v>
      </c>
      <c r="E192" s="210">
        <v>14</v>
      </c>
      <c r="F192" s="211">
        <v>14</v>
      </c>
      <c r="G192" s="219">
        <f t="shared" si="15"/>
        <v>0</v>
      </c>
      <c r="H192" s="216">
        <f t="shared" si="16"/>
        <v>9.5883843572358046E-2</v>
      </c>
      <c r="I192" s="216">
        <f t="shared" si="17"/>
        <v>7.0376514351782035E-2</v>
      </c>
      <c r="J192" s="210">
        <v>14</v>
      </c>
      <c r="K192" s="211">
        <v>14</v>
      </c>
      <c r="L192" s="219">
        <f t="shared" si="18"/>
        <v>0</v>
      </c>
      <c r="M192" s="216">
        <f t="shared" si="19"/>
        <v>9.5883843572358046E-2</v>
      </c>
      <c r="N192" s="217">
        <f t="shared" si="20"/>
        <v>7.0376514351782035E-2</v>
      </c>
    </row>
    <row r="193" spans="1:14" hidden="1" outlineLevel="1">
      <c r="A193" s="208"/>
      <c r="B193" s="218" t="s">
        <v>920</v>
      </c>
      <c r="C193" s="214">
        <f t="shared" si="14"/>
        <v>-97.058823529411768</v>
      </c>
      <c r="E193" s="210">
        <v>1</v>
      </c>
      <c r="F193" s="211">
        <v>34</v>
      </c>
      <c r="G193" s="219">
        <f t="shared" si="15"/>
        <v>-97.058823529411768</v>
      </c>
      <c r="H193" s="216">
        <f t="shared" si="16"/>
        <v>6.8488459694541464E-3</v>
      </c>
      <c r="I193" s="216">
        <f t="shared" si="17"/>
        <v>0.17091439199718494</v>
      </c>
      <c r="J193" s="210">
        <v>1</v>
      </c>
      <c r="K193" s="211">
        <v>34</v>
      </c>
      <c r="L193" s="219">
        <f t="shared" si="18"/>
        <v>-97.058823529411768</v>
      </c>
      <c r="M193" s="216">
        <f t="shared" si="19"/>
        <v>6.8488459694541464E-3</v>
      </c>
      <c r="N193" s="217">
        <f t="shared" si="20"/>
        <v>0.17091439199718494</v>
      </c>
    </row>
    <row r="194" spans="1:14" hidden="1" outlineLevel="1">
      <c r="A194" s="208"/>
      <c r="B194" s="218" t="s">
        <v>921</v>
      </c>
      <c r="C194" s="214" t="str">
        <f t="shared" si="14"/>
        <v/>
      </c>
      <c r="E194" s="210">
        <v>1</v>
      </c>
      <c r="F194" s="211">
        <v>0</v>
      </c>
      <c r="G194" s="219" t="str">
        <f t="shared" si="15"/>
        <v/>
      </c>
      <c r="H194" s="216">
        <f t="shared" si="16"/>
        <v>6.8488459694541464E-3</v>
      </c>
      <c r="I194" s="216" t="str">
        <f t="shared" si="17"/>
        <v/>
      </c>
      <c r="J194" s="210">
        <v>1</v>
      </c>
      <c r="K194" s="211">
        <v>0</v>
      </c>
      <c r="L194" s="219" t="str">
        <f t="shared" si="18"/>
        <v/>
      </c>
      <c r="M194" s="216">
        <f t="shared" si="19"/>
        <v>6.8488459694541464E-3</v>
      </c>
      <c r="N194" s="217" t="str">
        <f t="shared" si="20"/>
        <v/>
      </c>
    </row>
    <row r="195" spans="1:14" collapsed="1">
      <c r="A195" s="208" t="s">
        <v>1144</v>
      </c>
      <c r="B195" s="207" t="s">
        <v>627</v>
      </c>
      <c r="C195" s="214">
        <f t="shared" si="14"/>
        <v>-42.010309278350519</v>
      </c>
      <c r="E195" s="210">
        <v>225</v>
      </c>
      <c r="F195" s="211">
        <v>388</v>
      </c>
      <c r="G195" s="219">
        <f t="shared" si="15"/>
        <v>-42.010309278350519</v>
      </c>
      <c r="H195" s="216">
        <f t="shared" si="16"/>
        <v>1.540990343127183</v>
      </c>
      <c r="I195" s="216">
        <f t="shared" si="17"/>
        <v>1.9504348263208164</v>
      </c>
      <c r="J195" s="210">
        <v>225</v>
      </c>
      <c r="K195" s="211">
        <v>388</v>
      </c>
      <c r="L195" s="219">
        <f t="shared" si="18"/>
        <v>-42.010309278350519</v>
      </c>
      <c r="M195" s="216">
        <f t="shared" si="19"/>
        <v>1.540990343127183</v>
      </c>
      <c r="N195" s="217">
        <f t="shared" si="20"/>
        <v>1.9504348263208164</v>
      </c>
    </row>
    <row r="196" spans="1:14" hidden="1" outlineLevel="1">
      <c r="A196" s="208"/>
      <c r="B196" s="218" t="s">
        <v>904</v>
      </c>
      <c r="C196" s="214" t="str">
        <f t="shared" si="14"/>
        <v/>
      </c>
      <c r="E196" s="210">
        <v>81</v>
      </c>
      <c r="F196" s="211">
        <v>0</v>
      </c>
      <c r="G196" s="219" t="str">
        <f t="shared" si="15"/>
        <v/>
      </c>
      <c r="H196" s="216">
        <f t="shared" si="16"/>
        <v>0.55475652352578586</v>
      </c>
      <c r="I196" s="216" t="str">
        <f t="shared" si="17"/>
        <v/>
      </c>
      <c r="J196" s="210">
        <v>81</v>
      </c>
      <c r="K196" s="211">
        <v>0</v>
      </c>
      <c r="L196" s="219" t="str">
        <f t="shared" si="18"/>
        <v/>
      </c>
      <c r="M196" s="216">
        <f t="shared" si="19"/>
        <v>0.55475652352578586</v>
      </c>
      <c r="N196" s="217" t="str">
        <f t="shared" si="20"/>
        <v/>
      </c>
    </row>
    <row r="197" spans="1:14" hidden="1" outlineLevel="1">
      <c r="A197" s="208"/>
      <c r="B197" s="218" t="s">
        <v>903</v>
      </c>
      <c r="C197" s="214">
        <f t="shared" si="14"/>
        <v>189.4736842105263</v>
      </c>
      <c r="E197" s="210">
        <v>55</v>
      </c>
      <c r="F197" s="211">
        <v>19</v>
      </c>
      <c r="G197" s="219">
        <f t="shared" si="15"/>
        <v>189.4736842105263</v>
      </c>
      <c r="H197" s="216">
        <f t="shared" si="16"/>
        <v>0.37668652831997806</v>
      </c>
      <c r="I197" s="216">
        <f t="shared" si="17"/>
        <v>9.5510983763132759E-2</v>
      </c>
      <c r="J197" s="210">
        <v>55</v>
      </c>
      <c r="K197" s="211">
        <v>19</v>
      </c>
      <c r="L197" s="219">
        <f t="shared" si="18"/>
        <v>189.4736842105263</v>
      </c>
      <c r="M197" s="216">
        <f t="shared" si="19"/>
        <v>0.37668652831997806</v>
      </c>
      <c r="N197" s="217">
        <f t="shared" si="20"/>
        <v>9.5510983763132759E-2</v>
      </c>
    </row>
    <row r="198" spans="1:14" hidden="1" outlineLevel="1">
      <c r="A198" s="208"/>
      <c r="B198" s="218" t="s">
        <v>902</v>
      </c>
      <c r="C198" s="214">
        <f t="shared" si="14"/>
        <v>2.083333333333333</v>
      </c>
      <c r="E198" s="210">
        <v>49</v>
      </c>
      <c r="F198" s="211">
        <v>48</v>
      </c>
      <c r="G198" s="219">
        <f t="shared" si="15"/>
        <v>2.083333333333333</v>
      </c>
      <c r="H198" s="216">
        <f t="shared" si="16"/>
        <v>0.33559345250325318</v>
      </c>
      <c r="I198" s="216">
        <f t="shared" si="17"/>
        <v>0.24129090634896697</v>
      </c>
      <c r="J198" s="210">
        <v>49</v>
      </c>
      <c r="K198" s="211">
        <v>48</v>
      </c>
      <c r="L198" s="219">
        <f t="shared" si="18"/>
        <v>2.083333333333333</v>
      </c>
      <c r="M198" s="216">
        <f t="shared" si="19"/>
        <v>0.33559345250325318</v>
      </c>
      <c r="N198" s="217">
        <f t="shared" si="20"/>
        <v>0.24129090634896697</v>
      </c>
    </row>
    <row r="199" spans="1:14" hidden="1" outlineLevel="1">
      <c r="A199" s="208"/>
      <c r="B199" s="218" t="s">
        <v>1054</v>
      </c>
      <c r="C199" s="214" t="str">
        <f t="shared" si="14"/>
        <v/>
      </c>
      <c r="E199" s="210">
        <v>33</v>
      </c>
      <c r="F199" s="211">
        <v>0</v>
      </c>
      <c r="G199" s="219" t="str">
        <f t="shared" si="15"/>
        <v/>
      </c>
      <c r="H199" s="216">
        <f t="shared" si="16"/>
        <v>0.22601191699198686</v>
      </c>
      <c r="I199" s="216" t="str">
        <f t="shared" si="17"/>
        <v/>
      </c>
      <c r="J199" s="210">
        <v>33</v>
      </c>
      <c r="K199" s="211">
        <v>0</v>
      </c>
      <c r="L199" s="219" t="str">
        <f t="shared" si="18"/>
        <v/>
      </c>
      <c r="M199" s="216">
        <f t="shared" si="19"/>
        <v>0.22601191699198686</v>
      </c>
      <c r="N199" s="217" t="str">
        <f t="shared" si="20"/>
        <v/>
      </c>
    </row>
    <row r="200" spans="1:14" hidden="1" outlineLevel="1">
      <c r="A200" s="208"/>
      <c r="B200" s="218" t="s">
        <v>901</v>
      </c>
      <c r="C200" s="214">
        <f t="shared" si="14"/>
        <v>-97.819314641744555</v>
      </c>
      <c r="E200" s="210">
        <v>7</v>
      </c>
      <c r="F200" s="211">
        <v>321</v>
      </c>
      <c r="G200" s="219">
        <f t="shared" si="15"/>
        <v>-97.819314641744555</v>
      </c>
      <c r="H200" s="216">
        <f t="shared" si="16"/>
        <v>4.7941921786179023E-2</v>
      </c>
      <c r="I200" s="216">
        <f t="shared" si="17"/>
        <v>1.6136329362087167</v>
      </c>
      <c r="J200" s="210">
        <v>7</v>
      </c>
      <c r="K200" s="211">
        <v>321</v>
      </c>
      <c r="L200" s="219">
        <f t="shared" si="18"/>
        <v>-97.819314641744555</v>
      </c>
      <c r="M200" s="216">
        <f t="shared" si="19"/>
        <v>4.7941921786179023E-2</v>
      </c>
      <c r="N200" s="217">
        <f t="shared" si="20"/>
        <v>1.6136329362087167</v>
      </c>
    </row>
    <row r="201" spans="1:14" collapsed="1">
      <c r="A201" s="208" t="s">
        <v>1145</v>
      </c>
      <c r="B201" s="207" t="s">
        <v>305</v>
      </c>
      <c r="C201" s="214">
        <f t="shared" si="14"/>
        <v>1945.4545454545453</v>
      </c>
      <c r="E201" s="210">
        <v>225</v>
      </c>
      <c r="F201" s="211">
        <v>11</v>
      </c>
      <c r="G201" s="219">
        <f t="shared" si="15"/>
        <v>1945.4545454545453</v>
      </c>
      <c r="H201" s="216">
        <f t="shared" si="16"/>
        <v>1.540990343127183</v>
      </c>
      <c r="I201" s="216">
        <f t="shared" si="17"/>
        <v>5.5295832704971598E-2</v>
      </c>
      <c r="J201" s="210">
        <v>225</v>
      </c>
      <c r="K201" s="211">
        <v>11</v>
      </c>
      <c r="L201" s="219">
        <f t="shared" si="18"/>
        <v>1945.4545454545453</v>
      </c>
      <c r="M201" s="216">
        <f t="shared" si="19"/>
        <v>1.540990343127183</v>
      </c>
      <c r="N201" s="217">
        <f t="shared" si="20"/>
        <v>5.5295832704971598E-2</v>
      </c>
    </row>
    <row r="202" spans="1:14" hidden="1" outlineLevel="1">
      <c r="A202" s="208"/>
      <c r="B202" s="218" t="s">
        <v>882</v>
      </c>
      <c r="C202" s="214">
        <f t="shared" ref="C202:C265" si="21">IF(K202=0,"",SUM(((J202-K202)/K202)*100))</f>
        <v>1175</v>
      </c>
      <c r="E202" s="210">
        <v>102</v>
      </c>
      <c r="F202" s="211">
        <v>8</v>
      </c>
      <c r="G202" s="219">
        <f t="shared" ref="G202:G265" si="22">IF(F202=0,"",SUM(((E202-F202)/F202)*100))</f>
        <v>1175</v>
      </c>
      <c r="H202" s="216">
        <f t="shared" ref="H202:H265" si="23">IF(E202=0,"",SUM((E202/CntPeriod)*100))</f>
        <v>0.69858228888432294</v>
      </c>
      <c r="I202" s="216">
        <f t="shared" ref="I202:I265" si="24">IF(F202=0,"",SUM((F202/CntPeriodPrevYear)*100))</f>
        <v>4.0215151058161161E-2</v>
      </c>
      <c r="J202" s="210">
        <v>102</v>
      </c>
      <c r="K202" s="211">
        <v>8</v>
      </c>
      <c r="L202" s="219">
        <f t="shared" ref="L202:L265" si="25">IF(K202=0,"",SUM(((J202-K202)/K202)*100))</f>
        <v>1175</v>
      </c>
      <c r="M202" s="216">
        <f t="shared" ref="M202:M265" si="26">IF(J202=0,"",SUM((J202/CntYearAck)*100))</f>
        <v>0.69858228888432294</v>
      </c>
      <c r="N202" s="217">
        <f t="shared" ref="N202:N265" si="27">IF(K202=0,"",SUM((K202/CntPrevYearAck)*100))</f>
        <v>4.0215151058161161E-2</v>
      </c>
    </row>
    <row r="203" spans="1:14" hidden="1" outlineLevel="1">
      <c r="A203" s="208"/>
      <c r="B203" s="218" t="s">
        <v>883</v>
      </c>
      <c r="C203" s="214">
        <f t="shared" si="21"/>
        <v>3100</v>
      </c>
      <c r="E203" s="210">
        <v>96</v>
      </c>
      <c r="F203" s="211">
        <v>3</v>
      </c>
      <c r="G203" s="219">
        <f t="shared" si="22"/>
        <v>3100</v>
      </c>
      <c r="H203" s="216">
        <f t="shared" si="23"/>
        <v>0.65748921306759811</v>
      </c>
      <c r="I203" s="216">
        <f t="shared" si="24"/>
        <v>1.5080681646810435E-2</v>
      </c>
      <c r="J203" s="210">
        <v>96</v>
      </c>
      <c r="K203" s="211">
        <v>3</v>
      </c>
      <c r="L203" s="219">
        <f t="shared" si="25"/>
        <v>3100</v>
      </c>
      <c r="M203" s="216">
        <f t="shared" si="26"/>
        <v>0.65748921306759811</v>
      </c>
      <c r="N203" s="217">
        <f t="shared" si="27"/>
        <v>1.5080681646810435E-2</v>
      </c>
    </row>
    <row r="204" spans="1:14" hidden="1" outlineLevel="1">
      <c r="A204" s="208"/>
      <c r="B204" s="218" t="s">
        <v>884</v>
      </c>
      <c r="C204" s="214" t="str">
        <f t="shared" si="21"/>
        <v/>
      </c>
      <c r="E204" s="210">
        <v>20</v>
      </c>
      <c r="F204" s="211">
        <v>0</v>
      </c>
      <c r="G204" s="219" t="str">
        <f t="shared" si="22"/>
        <v/>
      </c>
      <c r="H204" s="216">
        <f t="shared" si="23"/>
        <v>0.13697691938908294</v>
      </c>
      <c r="I204" s="216" t="str">
        <f t="shared" si="24"/>
        <v/>
      </c>
      <c r="J204" s="210">
        <v>20</v>
      </c>
      <c r="K204" s="211">
        <v>0</v>
      </c>
      <c r="L204" s="219" t="str">
        <f t="shared" si="25"/>
        <v/>
      </c>
      <c r="M204" s="216">
        <f t="shared" si="26"/>
        <v>0.13697691938908294</v>
      </c>
      <c r="N204" s="217" t="str">
        <f t="shared" si="27"/>
        <v/>
      </c>
    </row>
    <row r="205" spans="1:14" hidden="1" outlineLevel="1">
      <c r="A205" s="208"/>
      <c r="B205" s="218" t="s">
        <v>1094</v>
      </c>
      <c r="C205" s="214" t="str">
        <f t="shared" si="21"/>
        <v/>
      </c>
      <c r="E205" s="210">
        <v>7</v>
      </c>
      <c r="F205" s="211">
        <v>0</v>
      </c>
      <c r="G205" s="219" t="str">
        <f t="shared" si="22"/>
        <v/>
      </c>
      <c r="H205" s="216">
        <f t="shared" si="23"/>
        <v>4.7941921786179023E-2</v>
      </c>
      <c r="I205" s="216" t="str">
        <f t="shared" si="24"/>
        <v/>
      </c>
      <c r="J205" s="210">
        <v>7</v>
      </c>
      <c r="K205" s="211">
        <v>0</v>
      </c>
      <c r="L205" s="219" t="str">
        <f t="shared" si="25"/>
        <v/>
      </c>
      <c r="M205" s="216">
        <f t="shared" si="26"/>
        <v>4.7941921786179023E-2</v>
      </c>
      <c r="N205" s="217" t="str">
        <f t="shared" si="27"/>
        <v/>
      </c>
    </row>
    <row r="206" spans="1:14" collapsed="1">
      <c r="A206" s="208" t="s">
        <v>1146</v>
      </c>
      <c r="B206" s="207" t="s">
        <v>296</v>
      </c>
      <c r="C206" s="214">
        <f t="shared" si="21"/>
        <v>-46.594005449591279</v>
      </c>
      <c r="E206" s="210">
        <v>196</v>
      </c>
      <c r="F206" s="211">
        <v>367</v>
      </c>
      <c r="G206" s="219">
        <f t="shared" si="22"/>
        <v>-46.594005449591279</v>
      </c>
      <c r="H206" s="216">
        <f t="shared" si="23"/>
        <v>1.3423738100130127</v>
      </c>
      <c r="I206" s="216">
        <f t="shared" si="24"/>
        <v>1.8448700547931436</v>
      </c>
      <c r="J206" s="210">
        <v>196</v>
      </c>
      <c r="K206" s="211">
        <v>367</v>
      </c>
      <c r="L206" s="219">
        <f t="shared" si="25"/>
        <v>-46.594005449591279</v>
      </c>
      <c r="M206" s="216">
        <f t="shared" si="26"/>
        <v>1.3423738100130127</v>
      </c>
      <c r="N206" s="217">
        <f t="shared" si="27"/>
        <v>1.8448700547931436</v>
      </c>
    </row>
    <row r="207" spans="1:14" hidden="1" outlineLevel="1">
      <c r="A207" s="208"/>
      <c r="B207" s="218" t="s">
        <v>923</v>
      </c>
      <c r="C207" s="214">
        <f t="shared" si="21"/>
        <v>-22.916666666666664</v>
      </c>
      <c r="E207" s="210">
        <v>74</v>
      </c>
      <c r="F207" s="211">
        <v>96</v>
      </c>
      <c r="G207" s="219">
        <f t="shared" si="22"/>
        <v>-22.916666666666664</v>
      </c>
      <c r="H207" s="216">
        <f t="shared" si="23"/>
        <v>0.50681460173960691</v>
      </c>
      <c r="I207" s="216">
        <f t="shared" si="24"/>
        <v>0.48258181269793393</v>
      </c>
      <c r="J207" s="210">
        <v>74</v>
      </c>
      <c r="K207" s="211">
        <v>96</v>
      </c>
      <c r="L207" s="219">
        <f t="shared" si="25"/>
        <v>-22.916666666666664</v>
      </c>
      <c r="M207" s="216">
        <f t="shared" si="26"/>
        <v>0.50681460173960691</v>
      </c>
      <c r="N207" s="217">
        <f t="shared" si="27"/>
        <v>0.48258181269793393</v>
      </c>
    </row>
    <row r="208" spans="1:14" hidden="1" outlineLevel="1">
      <c r="A208" s="208"/>
      <c r="B208" s="218" t="s">
        <v>922</v>
      </c>
      <c r="C208" s="214">
        <f t="shared" si="21"/>
        <v>-71.764705882352942</v>
      </c>
      <c r="E208" s="210">
        <v>72</v>
      </c>
      <c r="F208" s="211">
        <v>255</v>
      </c>
      <c r="G208" s="219">
        <f t="shared" si="22"/>
        <v>-71.764705882352942</v>
      </c>
      <c r="H208" s="216">
        <f t="shared" si="23"/>
        <v>0.49311690980069861</v>
      </c>
      <c r="I208" s="216">
        <f t="shared" si="24"/>
        <v>1.281857939978887</v>
      </c>
      <c r="J208" s="210">
        <v>72</v>
      </c>
      <c r="K208" s="211">
        <v>255</v>
      </c>
      <c r="L208" s="219">
        <f t="shared" si="25"/>
        <v>-71.764705882352942</v>
      </c>
      <c r="M208" s="216">
        <f t="shared" si="26"/>
        <v>0.49311690980069861</v>
      </c>
      <c r="N208" s="217">
        <f t="shared" si="27"/>
        <v>1.281857939978887</v>
      </c>
    </row>
    <row r="209" spans="1:14" hidden="1" outlineLevel="1">
      <c r="A209" s="208"/>
      <c r="B209" s="218" t="s">
        <v>1055</v>
      </c>
      <c r="C209" s="214" t="str">
        <f t="shared" si="21"/>
        <v/>
      </c>
      <c r="E209" s="210">
        <v>26</v>
      </c>
      <c r="F209" s="211">
        <v>0</v>
      </c>
      <c r="G209" s="219" t="str">
        <f t="shared" si="22"/>
        <v/>
      </c>
      <c r="H209" s="216">
        <f t="shared" si="23"/>
        <v>0.17806999520580782</v>
      </c>
      <c r="I209" s="216" t="str">
        <f t="shared" si="24"/>
        <v/>
      </c>
      <c r="J209" s="210">
        <v>26</v>
      </c>
      <c r="K209" s="211">
        <v>0</v>
      </c>
      <c r="L209" s="219" t="str">
        <f t="shared" si="25"/>
        <v/>
      </c>
      <c r="M209" s="216">
        <f t="shared" si="26"/>
        <v>0.17806999520580782</v>
      </c>
      <c r="N209" s="217" t="str">
        <f t="shared" si="27"/>
        <v/>
      </c>
    </row>
    <row r="210" spans="1:14" hidden="1" outlineLevel="1">
      <c r="A210" s="208"/>
      <c r="B210" s="218" t="s">
        <v>926</v>
      </c>
      <c r="C210" s="214">
        <f t="shared" si="21"/>
        <v>500</v>
      </c>
      <c r="E210" s="210">
        <v>12</v>
      </c>
      <c r="F210" s="211">
        <v>2</v>
      </c>
      <c r="G210" s="219">
        <f t="shared" si="22"/>
        <v>500</v>
      </c>
      <c r="H210" s="216">
        <f t="shared" si="23"/>
        <v>8.2186151633449764E-2</v>
      </c>
      <c r="I210" s="216">
        <f t="shared" si="24"/>
        <v>1.005378776454029E-2</v>
      </c>
      <c r="J210" s="210">
        <v>12</v>
      </c>
      <c r="K210" s="211">
        <v>2</v>
      </c>
      <c r="L210" s="219">
        <f t="shared" si="25"/>
        <v>500</v>
      </c>
      <c r="M210" s="216">
        <f t="shared" si="26"/>
        <v>8.2186151633449764E-2</v>
      </c>
      <c r="N210" s="217">
        <f t="shared" si="27"/>
        <v>1.005378776454029E-2</v>
      </c>
    </row>
    <row r="211" spans="1:14" hidden="1" outlineLevel="1">
      <c r="A211" s="208"/>
      <c r="B211" s="218" t="s">
        <v>925</v>
      </c>
      <c r="C211" s="214">
        <f t="shared" si="21"/>
        <v>500</v>
      </c>
      <c r="E211" s="210">
        <v>6</v>
      </c>
      <c r="F211" s="211">
        <v>1</v>
      </c>
      <c r="G211" s="219">
        <f t="shared" si="22"/>
        <v>500</v>
      </c>
      <c r="H211" s="216">
        <f t="shared" si="23"/>
        <v>4.1093075816724882E-2</v>
      </c>
      <c r="I211" s="216">
        <f t="shared" si="24"/>
        <v>5.0268938822701451E-3</v>
      </c>
      <c r="J211" s="210">
        <v>6</v>
      </c>
      <c r="K211" s="211">
        <v>1</v>
      </c>
      <c r="L211" s="219">
        <f t="shared" si="25"/>
        <v>500</v>
      </c>
      <c r="M211" s="216">
        <f t="shared" si="26"/>
        <v>4.1093075816724882E-2</v>
      </c>
      <c r="N211" s="217">
        <f t="shared" si="27"/>
        <v>5.0268938822701451E-3</v>
      </c>
    </row>
    <row r="212" spans="1:14" hidden="1" outlineLevel="1">
      <c r="A212" s="208"/>
      <c r="B212" s="218" t="s">
        <v>927</v>
      </c>
      <c r="C212" s="214" t="str">
        <f t="shared" si="21"/>
        <v/>
      </c>
      <c r="E212" s="210">
        <v>5</v>
      </c>
      <c r="F212" s="211">
        <v>0</v>
      </c>
      <c r="G212" s="219" t="str">
        <f t="shared" si="22"/>
        <v/>
      </c>
      <c r="H212" s="216">
        <f t="shared" si="23"/>
        <v>3.4244229847270734E-2</v>
      </c>
      <c r="I212" s="216" t="str">
        <f t="shared" si="24"/>
        <v/>
      </c>
      <c r="J212" s="210">
        <v>5</v>
      </c>
      <c r="K212" s="211">
        <v>0</v>
      </c>
      <c r="L212" s="219" t="str">
        <f t="shared" si="25"/>
        <v/>
      </c>
      <c r="M212" s="216">
        <f t="shared" si="26"/>
        <v>3.4244229847270734E-2</v>
      </c>
      <c r="N212" s="217" t="str">
        <f t="shared" si="27"/>
        <v/>
      </c>
    </row>
    <row r="213" spans="1:14" hidden="1" outlineLevel="1">
      <c r="A213" s="208"/>
      <c r="B213" s="218" t="s">
        <v>924</v>
      </c>
      <c r="C213" s="214">
        <f t="shared" si="21"/>
        <v>-92.307692307692307</v>
      </c>
      <c r="E213" s="210">
        <v>1</v>
      </c>
      <c r="F213" s="211">
        <v>13</v>
      </c>
      <c r="G213" s="219">
        <f t="shared" si="22"/>
        <v>-92.307692307692307</v>
      </c>
      <c r="H213" s="216">
        <f t="shared" si="23"/>
        <v>6.8488459694541464E-3</v>
      </c>
      <c r="I213" s="216">
        <f t="shared" si="24"/>
        <v>6.5349620469511885E-2</v>
      </c>
      <c r="J213" s="210">
        <v>1</v>
      </c>
      <c r="K213" s="211">
        <v>13</v>
      </c>
      <c r="L213" s="219">
        <f t="shared" si="25"/>
        <v>-92.307692307692307</v>
      </c>
      <c r="M213" s="216">
        <f t="shared" si="26"/>
        <v>6.8488459694541464E-3</v>
      </c>
      <c r="N213" s="217">
        <f t="shared" si="27"/>
        <v>6.5349620469511885E-2</v>
      </c>
    </row>
    <row r="214" spans="1:14" collapsed="1">
      <c r="A214" s="208" t="s">
        <v>1147</v>
      </c>
      <c r="B214" s="207" t="s">
        <v>301</v>
      </c>
      <c r="C214" s="214">
        <f t="shared" si="21"/>
        <v>-39.87341772151899</v>
      </c>
      <c r="E214" s="210">
        <v>190</v>
      </c>
      <c r="F214" s="211">
        <v>316</v>
      </c>
      <c r="G214" s="219">
        <f t="shared" si="22"/>
        <v>-39.87341772151899</v>
      </c>
      <c r="H214" s="216">
        <f t="shared" si="23"/>
        <v>1.301280734196288</v>
      </c>
      <c r="I214" s="216">
        <f t="shared" si="24"/>
        <v>1.5884984667973661</v>
      </c>
      <c r="J214" s="210">
        <v>190</v>
      </c>
      <c r="K214" s="211">
        <v>316</v>
      </c>
      <c r="L214" s="219">
        <f t="shared" si="25"/>
        <v>-39.87341772151899</v>
      </c>
      <c r="M214" s="216">
        <f t="shared" si="26"/>
        <v>1.301280734196288</v>
      </c>
      <c r="N214" s="217">
        <f t="shared" si="27"/>
        <v>1.5884984667973661</v>
      </c>
    </row>
    <row r="215" spans="1:14" hidden="1" outlineLevel="1">
      <c r="A215" s="208"/>
      <c r="B215" s="218" t="s">
        <v>931</v>
      </c>
      <c r="C215" s="214">
        <f t="shared" si="21"/>
        <v>46.478873239436616</v>
      </c>
      <c r="E215" s="210">
        <v>104</v>
      </c>
      <c r="F215" s="211">
        <v>71</v>
      </c>
      <c r="G215" s="219">
        <f t="shared" si="22"/>
        <v>46.478873239436616</v>
      </c>
      <c r="H215" s="216">
        <f t="shared" si="23"/>
        <v>0.7122799808232313</v>
      </c>
      <c r="I215" s="216">
        <f t="shared" si="24"/>
        <v>0.35690946564118031</v>
      </c>
      <c r="J215" s="210">
        <v>104</v>
      </c>
      <c r="K215" s="211">
        <v>71</v>
      </c>
      <c r="L215" s="219">
        <f t="shared" si="25"/>
        <v>46.478873239436616</v>
      </c>
      <c r="M215" s="216">
        <f t="shared" si="26"/>
        <v>0.7122799808232313</v>
      </c>
      <c r="N215" s="217">
        <f t="shared" si="27"/>
        <v>0.35690946564118031</v>
      </c>
    </row>
    <row r="216" spans="1:14" hidden="1" outlineLevel="1">
      <c r="A216" s="208"/>
      <c r="B216" s="218" t="s">
        <v>932</v>
      </c>
      <c r="C216" s="214">
        <f t="shared" si="21"/>
        <v>-33.333333333333329</v>
      </c>
      <c r="E216" s="210">
        <v>30</v>
      </c>
      <c r="F216" s="211">
        <v>45</v>
      </c>
      <c r="G216" s="219">
        <f t="shared" si="22"/>
        <v>-33.333333333333329</v>
      </c>
      <c r="H216" s="216">
        <f t="shared" si="23"/>
        <v>0.20546537908362442</v>
      </c>
      <c r="I216" s="216">
        <f t="shared" si="24"/>
        <v>0.22621022470215654</v>
      </c>
      <c r="J216" s="210">
        <v>30</v>
      </c>
      <c r="K216" s="211">
        <v>45</v>
      </c>
      <c r="L216" s="219">
        <f t="shared" si="25"/>
        <v>-33.333333333333329</v>
      </c>
      <c r="M216" s="216">
        <f t="shared" si="26"/>
        <v>0.20546537908362442</v>
      </c>
      <c r="N216" s="217">
        <f t="shared" si="27"/>
        <v>0.22621022470215654</v>
      </c>
    </row>
    <row r="217" spans="1:14" hidden="1" outlineLevel="1">
      <c r="A217" s="208"/>
      <c r="B217" s="218" t="s">
        <v>930</v>
      </c>
      <c r="C217" s="214">
        <f t="shared" si="21"/>
        <v>-81.188118811881196</v>
      </c>
      <c r="E217" s="210">
        <v>19</v>
      </c>
      <c r="F217" s="211">
        <v>101</v>
      </c>
      <c r="G217" s="219">
        <f t="shared" si="22"/>
        <v>-81.188118811881196</v>
      </c>
      <c r="H217" s="216">
        <f t="shared" si="23"/>
        <v>0.13012807341962879</v>
      </c>
      <c r="I217" s="216">
        <f t="shared" si="24"/>
        <v>0.50771628210928466</v>
      </c>
      <c r="J217" s="210">
        <v>19</v>
      </c>
      <c r="K217" s="211">
        <v>101</v>
      </c>
      <c r="L217" s="219">
        <f t="shared" si="25"/>
        <v>-81.188118811881196</v>
      </c>
      <c r="M217" s="216">
        <f t="shared" si="26"/>
        <v>0.13012807341962879</v>
      </c>
      <c r="N217" s="217">
        <f t="shared" si="27"/>
        <v>0.50771628210928466</v>
      </c>
    </row>
    <row r="218" spans="1:14" hidden="1" outlineLevel="1">
      <c r="A218" s="208"/>
      <c r="B218" s="218" t="s">
        <v>928</v>
      </c>
      <c r="C218" s="214">
        <f t="shared" si="21"/>
        <v>-39.285714285714285</v>
      </c>
      <c r="E218" s="210">
        <v>17</v>
      </c>
      <c r="F218" s="211">
        <v>28</v>
      </c>
      <c r="G218" s="219">
        <f t="shared" si="22"/>
        <v>-39.285714285714285</v>
      </c>
      <c r="H218" s="216">
        <f t="shared" si="23"/>
        <v>0.1164303814807205</v>
      </c>
      <c r="I218" s="216">
        <f t="shared" si="24"/>
        <v>0.14075302870356407</v>
      </c>
      <c r="J218" s="210">
        <v>17</v>
      </c>
      <c r="K218" s="211">
        <v>28</v>
      </c>
      <c r="L218" s="219">
        <f t="shared" si="25"/>
        <v>-39.285714285714285</v>
      </c>
      <c r="M218" s="216">
        <f t="shared" si="26"/>
        <v>0.1164303814807205</v>
      </c>
      <c r="N218" s="217">
        <f t="shared" si="27"/>
        <v>0.14075302870356407</v>
      </c>
    </row>
    <row r="219" spans="1:14" hidden="1" outlineLevel="1">
      <c r="A219" s="208"/>
      <c r="B219" s="218" t="s">
        <v>929</v>
      </c>
      <c r="C219" s="214">
        <f t="shared" si="21"/>
        <v>-40</v>
      </c>
      <c r="E219" s="210">
        <v>12</v>
      </c>
      <c r="F219" s="211">
        <v>20</v>
      </c>
      <c r="G219" s="219">
        <f t="shared" si="22"/>
        <v>-40</v>
      </c>
      <c r="H219" s="216">
        <f t="shared" si="23"/>
        <v>8.2186151633449764E-2</v>
      </c>
      <c r="I219" s="216">
        <f t="shared" si="24"/>
        <v>0.1005378776454029</v>
      </c>
      <c r="J219" s="210">
        <v>12</v>
      </c>
      <c r="K219" s="211">
        <v>20</v>
      </c>
      <c r="L219" s="219">
        <f t="shared" si="25"/>
        <v>-40</v>
      </c>
      <c r="M219" s="216">
        <f t="shared" si="26"/>
        <v>8.2186151633449764E-2</v>
      </c>
      <c r="N219" s="217">
        <f t="shared" si="27"/>
        <v>0.1005378776454029</v>
      </c>
    </row>
    <row r="220" spans="1:14" hidden="1" outlineLevel="1">
      <c r="A220" s="208"/>
      <c r="B220" s="218" t="s">
        <v>933</v>
      </c>
      <c r="C220" s="214">
        <f t="shared" si="21"/>
        <v>-75</v>
      </c>
      <c r="E220" s="210">
        <v>8</v>
      </c>
      <c r="F220" s="211">
        <v>32</v>
      </c>
      <c r="G220" s="219">
        <f t="shared" si="22"/>
        <v>-75</v>
      </c>
      <c r="H220" s="216">
        <f t="shared" si="23"/>
        <v>5.4790767755633171E-2</v>
      </c>
      <c r="I220" s="216">
        <f t="shared" si="24"/>
        <v>0.16086060423264464</v>
      </c>
      <c r="J220" s="210">
        <v>8</v>
      </c>
      <c r="K220" s="211">
        <v>32</v>
      </c>
      <c r="L220" s="219">
        <f t="shared" si="25"/>
        <v>-75</v>
      </c>
      <c r="M220" s="216">
        <f t="shared" si="26"/>
        <v>5.4790767755633171E-2</v>
      </c>
      <c r="N220" s="217">
        <f t="shared" si="27"/>
        <v>0.16086060423264464</v>
      </c>
    </row>
    <row r="221" spans="1:14" hidden="1" outlineLevel="1">
      <c r="A221" s="208"/>
      <c r="B221" s="218" t="s">
        <v>934</v>
      </c>
      <c r="C221" s="214">
        <f t="shared" si="21"/>
        <v>-100</v>
      </c>
      <c r="E221" s="210">
        <v>0</v>
      </c>
      <c r="F221" s="211">
        <v>19</v>
      </c>
      <c r="G221" s="219">
        <f t="shared" si="22"/>
        <v>-100</v>
      </c>
      <c r="H221" s="216" t="str">
        <f t="shared" si="23"/>
        <v/>
      </c>
      <c r="I221" s="216">
        <f t="shared" si="24"/>
        <v>9.5510983763132759E-2</v>
      </c>
      <c r="J221" s="210">
        <v>0</v>
      </c>
      <c r="K221" s="211">
        <v>19</v>
      </c>
      <c r="L221" s="219">
        <f t="shared" si="25"/>
        <v>-100</v>
      </c>
      <c r="M221" s="216" t="str">
        <f t="shared" si="26"/>
        <v/>
      </c>
      <c r="N221" s="217">
        <f t="shared" si="27"/>
        <v>9.5510983763132759E-2</v>
      </c>
    </row>
    <row r="222" spans="1:14" collapsed="1">
      <c r="A222" s="208" t="s">
        <v>1148</v>
      </c>
      <c r="B222" s="207" t="s">
        <v>280</v>
      </c>
      <c r="C222" s="214">
        <f t="shared" si="21"/>
        <v>-84.508440913604773</v>
      </c>
      <c r="E222" s="210">
        <v>156</v>
      </c>
      <c r="F222" s="211">
        <v>1007</v>
      </c>
      <c r="G222" s="219">
        <f t="shared" si="22"/>
        <v>-84.508440913604773</v>
      </c>
      <c r="H222" s="216">
        <f t="shared" si="23"/>
        <v>1.0684199712348468</v>
      </c>
      <c r="I222" s="216">
        <f t="shared" si="24"/>
        <v>5.0620821394460362</v>
      </c>
      <c r="J222" s="210">
        <v>156</v>
      </c>
      <c r="K222" s="211">
        <v>1007</v>
      </c>
      <c r="L222" s="219">
        <f t="shared" si="25"/>
        <v>-84.508440913604773</v>
      </c>
      <c r="M222" s="216">
        <f t="shared" si="26"/>
        <v>1.0684199712348468</v>
      </c>
      <c r="N222" s="217">
        <f t="shared" si="27"/>
        <v>5.0620821394460362</v>
      </c>
    </row>
    <row r="223" spans="1:14" hidden="1" outlineLevel="1">
      <c r="A223" s="208"/>
      <c r="B223" s="218" t="s">
        <v>885</v>
      </c>
      <c r="C223" s="214">
        <f t="shared" si="21"/>
        <v>-88.306451612903231</v>
      </c>
      <c r="E223" s="210">
        <v>58</v>
      </c>
      <c r="F223" s="211">
        <v>496</v>
      </c>
      <c r="G223" s="219">
        <f t="shared" si="22"/>
        <v>-88.306451612903231</v>
      </c>
      <c r="H223" s="216">
        <f t="shared" si="23"/>
        <v>0.39723306622834059</v>
      </c>
      <c r="I223" s="216">
        <f t="shared" si="24"/>
        <v>2.4933393656059919</v>
      </c>
      <c r="J223" s="210">
        <v>58</v>
      </c>
      <c r="K223" s="211">
        <v>496</v>
      </c>
      <c r="L223" s="219">
        <f t="shared" si="25"/>
        <v>-88.306451612903231</v>
      </c>
      <c r="M223" s="216">
        <f t="shared" si="26"/>
        <v>0.39723306622834059</v>
      </c>
      <c r="N223" s="217">
        <f t="shared" si="27"/>
        <v>2.4933393656059919</v>
      </c>
    </row>
    <row r="224" spans="1:14" hidden="1" outlineLevel="1">
      <c r="A224" s="208"/>
      <c r="B224" s="218" t="s">
        <v>896</v>
      </c>
      <c r="C224" s="214">
        <f t="shared" si="21"/>
        <v>271.42857142857144</v>
      </c>
      <c r="E224" s="210">
        <v>26</v>
      </c>
      <c r="F224" s="211">
        <v>7</v>
      </c>
      <c r="G224" s="219">
        <f t="shared" si="22"/>
        <v>271.42857142857144</v>
      </c>
      <c r="H224" s="216">
        <f t="shared" si="23"/>
        <v>0.17806999520580782</v>
      </c>
      <c r="I224" s="216">
        <f t="shared" si="24"/>
        <v>3.5188257175891018E-2</v>
      </c>
      <c r="J224" s="210">
        <v>26</v>
      </c>
      <c r="K224" s="211">
        <v>7</v>
      </c>
      <c r="L224" s="219">
        <f t="shared" si="25"/>
        <v>271.42857142857144</v>
      </c>
      <c r="M224" s="216">
        <f t="shared" si="26"/>
        <v>0.17806999520580782</v>
      </c>
      <c r="N224" s="217">
        <f t="shared" si="27"/>
        <v>3.5188257175891018E-2</v>
      </c>
    </row>
    <row r="225" spans="1:14" hidden="1" outlineLevel="1">
      <c r="A225" s="208"/>
      <c r="B225" s="218" t="s">
        <v>893</v>
      </c>
      <c r="C225" s="214">
        <f t="shared" si="21"/>
        <v>-25</v>
      </c>
      <c r="E225" s="210">
        <v>21</v>
      </c>
      <c r="F225" s="211">
        <v>28</v>
      </c>
      <c r="G225" s="219">
        <f t="shared" si="22"/>
        <v>-25</v>
      </c>
      <c r="H225" s="216">
        <f t="shared" si="23"/>
        <v>0.14382576535853708</v>
      </c>
      <c r="I225" s="216">
        <f t="shared" si="24"/>
        <v>0.14075302870356407</v>
      </c>
      <c r="J225" s="210">
        <v>21</v>
      </c>
      <c r="K225" s="211">
        <v>28</v>
      </c>
      <c r="L225" s="219">
        <f t="shared" si="25"/>
        <v>-25</v>
      </c>
      <c r="M225" s="216">
        <f t="shared" si="26"/>
        <v>0.14382576535853708</v>
      </c>
      <c r="N225" s="217">
        <f t="shared" si="27"/>
        <v>0.14075302870356407</v>
      </c>
    </row>
    <row r="226" spans="1:14" hidden="1" outlineLevel="1">
      <c r="A226" s="208"/>
      <c r="B226" s="218" t="s">
        <v>889</v>
      </c>
      <c r="C226" s="214">
        <f t="shared" si="21"/>
        <v>-61.29032258064516</v>
      </c>
      <c r="E226" s="210">
        <v>12</v>
      </c>
      <c r="F226" s="211">
        <v>31</v>
      </c>
      <c r="G226" s="219">
        <f t="shared" si="22"/>
        <v>-61.29032258064516</v>
      </c>
      <c r="H226" s="216">
        <f t="shared" si="23"/>
        <v>8.2186151633449764E-2</v>
      </c>
      <c r="I226" s="216">
        <f t="shared" si="24"/>
        <v>0.15583371035037449</v>
      </c>
      <c r="J226" s="210">
        <v>12</v>
      </c>
      <c r="K226" s="211">
        <v>31</v>
      </c>
      <c r="L226" s="219">
        <f t="shared" si="25"/>
        <v>-61.29032258064516</v>
      </c>
      <c r="M226" s="216">
        <f t="shared" si="26"/>
        <v>8.2186151633449764E-2</v>
      </c>
      <c r="N226" s="217">
        <f t="shared" si="27"/>
        <v>0.15583371035037449</v>
      </c>
    </row>
    <row r="227" spans="1:14" hidden="1" outlineLevel="1">
      <c r="A227" s="208"/>
      <c r="B227" s="218" t="s">
        <v>886</v>
      </c>
      <c r="C227" s="214">
        <f t="shared" si="21"/>
        <v>-94.73684210526315</v>
      </c>
      <c r="E227" s="210">
        <v>10</v>
      </c>
      <c r="F227" s="211">
        <v>190</v>
      </c>
      <c r="G227" s="219">
        <f t="shared" si="22"/>
        <v>-94.73684210526315</v>
      </c>
      <c r="H227" s="216">
        <f t="shared" si="23"/>
        <v>6.8488459694541468E-2</v>
      </c>
      <c r="I227" s="216">
        <f t="shared" si="24"/>
        <v>0.95510983763132762</v>
      </c>
      <c r="J227" s="210">
        <v>10</v>
      </c>
      <c r="K227" s="211">
        <v>190</v>
      </c>
      <c r="L227" s="219">
        <f t="shared" si="25"/>
        <v>-94.73684210526315</v>
      </c>
      <c r="M227" s="216">
        <f t="shared" si="26"/>
        <v>6.8488459694541468E-2</v>
      </c>
      <c r="N227" s="217">
        <f t="shared" si="27"/>
        <v>0.95510983763132762</v>
      </c>
    </row>
    <row r="228" spans="1:14" hidden="1" outlineLevel="1">
      <c r="A228" s="208"/>
      <c r="B228" s="218" t="s">
        <v>890</v>
      </c>
      <c r="C228" s="214">
        <f t="shared" si="21"/>
        <v>-84</v>
      </c>
      <c r="E228" s="210">
        <v>8</v>
      </c>
      <c r="F228" s="211">
        <v>50</v>
      </c>
      <c r="G228" s="219">
        <f t="shared" si="22"/>
        <v>-84</v>
      </c>
      <c r="H228" s="216">
        <f t="shared" si="23"/>
        <v>5.4790767755633171E-2</v>
      </c>
      <c r="I228" s="216">
        <f t="shared" si="24"/>
        <v>0.25134469411350724</v>
      </c>
      <c r="J228" s="210">
        <v>8</v>
      </c>
      <c r="K228" s="211">
        <v>50</v>
      </c>
      <c r="L228" s="219">
        <f t="shared" si="25"/>
        <v>-84</v>
      </c>
      <c r="M228" s="216">
        <f t="shared" si="26"/>
        <v>5.4790767755633171E-2</v>
      </c>
      <c r="N228" s="217">
        <f t="shared" si="27"/>
        <v>0.25134469411350724</v>
      </c>
    </row>
    <row r="229" spans="1:14" hidden="1" outlineLevel="1">
      <c r="A229" s="208"/>
      <c r="B229" s="218" t="s">
        <v>892</v>
      </c>
      <c r="C229" s="214">
        <f t="shared" si="21"/>
        <v>-57.894736842105267</v>
      </c>
      <c r="E229" s="210">
        <v>8</v>
      </c>
      <c r="F229" s="211">
        <v>19</v>
      </c>
      <c r="G229" s="219">
        <f t="shared" si="22"/>
        <v>-57.894736842105267</v>
      </c>
      <c r="H229" s="216">
        <f t="shared" si="23"/>
        <v>5.4790767755633171E-2</v>
      </c>
      <c r="I229" s="216">
        <f t="shared" si="24"/>
        <v>9.5510983763132759E-2</v>
      </c>
      <c r="J229" s="210">
        <v>8</v>
      </c>
      <c r="K229" s="211">
        <v>19</v>
      </c>
      <c r="L229" s="219">
        <f t="shared" si="25"/>
        <v>-57.894736842105267</v>
      </c>
      <c r="M229" s="216">
        <f t="shared" si="26"/>
        <v>5.4790767755633171E-2</v>
      </c>
      <c r="N229" s="217">
        <f t="shared" si="27"/>
        <v>9.5510983763132759E-2</v>
      </c>
    </row>
    <row r="230" spans="1:14" hidden="1" outlineLevel="1">
      <c r="A230" s="208"/>
      <c r="B230" s="218" t="s">
        <v>897</v>
      </c>
      <c r="C230" s="214" t="str">
        <f t="shared" si="21"/>
        <v/>
      </c>
      <c r="E230" s="210">
        <v>7</v>
      </c>
      <c r="F230" s="211">
        <v>0</v>
      </c>
      <c r="G230" s="219" t="str">
        <f t="shared" si="22"/>
        <v/>
      </c>
      <c r="H230" s="216">
        <f t="shared" si="23"/>
        <v>4.7941921786179023E-2</v>
      </c>
      <c r="I230" s="216" t="str">
        <f t="shared" si="24"/>
        <v/>
      </c>
      <c r="J230" s="210">
        <v>7</v>
      </c>
      <c r="K230" s="211">
        <v>0</v>
      </c>
      <c r="L230" s="219" t="str">
        <f t="shared" si="25"/>
        <v/>
      </c>
      <c r="M230" s="216">
        <f t="shared" si="26"/>
        <v>4.7941921786179023E-2</v>
      </c>
      <c r="N230" s="217" t="str">
        <f t="shared" si="27"/>
        <v/>
      </c>
    </row>
    <row r="231" spans="1:14" hidden="1" outlineLevel="1">
      <c r="A231" s="208"/>
      <c r="B231" s="218" t="s">
        <v>891</v>
      </c>
      <c r="C231" s="214">
        <f t="shared" si="21"/>
        <v>-60</v>
      </c>
      <c r="E231" s="210">
        <v>4</v>
      </c>
      <c r="F231" s="211">
        <v>10</v>
      </c>
      <c r="G231" s="219">
        <f t="shared" si="22"/>
        <v>-60</v>
      </c>
      <c r="H231" s="216">
        <f t="shared" si="23"/>
        <v>2.7395383877816586E-2</v>
      </c>
      <c r="I231" s="216">
        <f t="shared" si="24"/>
        <v>5.0268938822701448E-2</v>
      </c>
      <c r="J231" s="210">
        <v>4</v>
      </c>
      <c r="K231" s="211">
        <v>10</v>
      </c>
      <c r="L231" s="219">
        <f t="shared" si="25"/>
        <v>-60</v>
      </c>
      <c r="M231" s="216">
        <f t="shared" si="26"/>
        <v>2.7395383877816586E-2</v>
      </c>
      <c r="N231" s="217">
        <f t="shared" si="27"/>
        <v>5.0268938822701448E-2</v>
      </c>
    </row>
    <row r="232" spans="1:14" hidden="1" outlineLevel="1">
      <c r="A232" s="208"/>
      <c r="B232" s="218" t="s">
        <v>894</v>
      </c>
      <c r="C232" s="214">
        <f t="shared" si="21"/>
        <v>100</v>
      </c>
      <c r="E232" s="210">
        <v>2</v>
      </c>
      <c r="F232" s="211">
        <v>1</v>
      </c>
      <c r="G232" s="219">
        <f t="shared" si="22"/>
        <v>100</v>
      </c>
      <c r="H232" s="216">
        <f t="shared" si="23"/>
        <v>1.3697691938908293E-2</v>
      </c>
      <c r="I232" s="216">
        <f t="shared" si="24"/>
        <v>5.0268938822701451E-3</v>
      </c>
      <c r="J232" s="210">
        <v>2</v>
      </c>
      <c r="K232" s="211">
        <v>1</v>
      </c>
      <c r="L232" s="219">
        <f t="shared" si="25"/>
        <v>100</v>
      </c>
      <c r="M232" s="216">
        <f t="shared" si="26"/>
        <v>1.3697691938908293E-2</v>
      </c>
      <c r="N232" s="217">
        <f t="shared" si="27"/>
        <v>5.0268938822701451E-3</v>
      </c>
    </row>
    <row r="233" spans="1:14" hidden="1" outlineLevel="1">
      <c r="A233" s="208"/>
      <c r="B233" s="218" t="s">
        <v>887</v>
      </c>
      <c r="C233" s="214">
        <f t="shared" si="21"/>
        <v>-100</v>
      </c>
      <c r="E233" s="210">
        <v>0</v>
      </c>
      <c r="F233" s="211">
        <v>119</v>
      </c>
      <c r="G233" s="219">
        <f t="shared" si="22"/>
        <v>-100</v>
      </c>
      <c r="H233" s="216" t="str">
        <f t="shared" si="23"/>
        <v/>
      </c>
      <c r="I233" s="216">
        <f t="shared" si="24"/>
        <v>0.59820037199014731</v>
      </c>
      <c r="J233" s="210">
        <v>0</v>
      </c>
      <c r="K233" s="211">
        <v>119</v>
      </c>
      <c r="L233" s="219">
        <f t="shared" si="25"/>
        <v>-100</v>
      </c>
      <c r="M233" s="216" t="str">
        <f t="shared" si="26"/>
        <v/>
      </c>
      <c r="N233" s="217">
        <f t="shared" si="27"/>
        <v>0.59820037199014731</v>
      </c>
    </row>
    <row r="234" spans="1:14" hidden="1" outlineLevel="1">
      <c r="A234" s="208"/>
      <c r="B234" s="218" t="s">
        <v>888</v>
      </c>
      <c r="C234" s="214">
        <f t="shared" si="21"/>
        <v>-100</v>
      </c>
      <c r="E234" s="210">
        <v>0</v>
      </c>
      <c r="F234" s="211">
        <v>52</v>
      </c>
      <c r="G234" s="219">
        <f t="shared" si="22"/>
        <v>-100</v>
      </c>
      <c r="H234" s="216" t="str">
        <f t="shared" si="23"/>
        <v/>
      </c>
      <c r="I234" s="216">
        <f t="shared" si="24"/>
        <v>0.26139848187804754</v>
      </c>
      <c r="J234" s="210">
        <v>0</v>
      </c>
      <c r="K234" s="211">
        <v>52</v>
      </c>
      <c r="L234" s="219">
        <f t="shared" si="25"/>
        <v>-100</v>
      </c>
      <c r="M234" s="216" t="str">
        <f t="shared" si="26"/>
        <v/>
      </c>
      <c r="N234" s="217">
        <f t="shared" si="27"/>
        <v>0.26139848187804754</v>
      </c>
    </row>
    <row r="235" spans="1:14" hidden="1" outlineLevel="1">
      <c r="A235" s="208"/>
      <c r="B235" s="218" t="s">
        <v>895</v>
      </c>
      <c r="C235" s="214">
        <f t="shared" si="21"/>
        <v>-100</v>
      </c>
      <c r="E235" s="210">
        <v>0</v>
      </c>
      <c r="F235" s="211">
        <v>4</v>
      </c>
      <c r="G235" s="219">
        <f t="shared" si="22"/>
        <v>-100</v>
      </c>
      <c r="H235" s="216" t="str">
        <f t="shared" si="23"/>
        <v/>
      </c>
      <c r="I235" s="216">
        <f t="shared" si="24"/>
        <v>2.010757552908058E-2</v>
      </c>
      <c r="J235" s="210">
        <v>0</v>
      </c>
      <c r="K235" s="211">
        <v>4</v>
      </c>
      <c r="L235" s="219">
        <f t="shared" si="25"/>
        <v>-100</v>
      </c>
      <c r="M235" s="216" t="str">
        <f t="shared" si="26"/>
        <v/>
      </c>
      <c r="N235" s="217">
        <f t="shared" si="27"/>
        <v>2.010757552908058E-2</v>
      </c>
    </row>
    <row r="236" spans="1:14" collapsed="1">
      <c r="A236" s="208" t="s">
        <v>1149</v>
      </c>
      <c r="B236" s="207" t="s">
        <v>289</v>
      </c>
      <c r="C236" s="214">
        <f t="shared" si="21"/>
        <v>98.611111111111114</v>
      </c>
      <c r="E236" s="210">
        <v>143</v>
      </c>
      <c r="F236" s="211">
        <v>72</v>
      </c>
      <c r="G236" s="219">
        <f t="shared" si="22"/>
        <v>98.611111111111114</v>
      </c>
      <c r="H236" s="216">
        <f t="shared" si="23"/>
        <v>0.97938497363194288</v>
      </c>
      <c r="I236" s="216">
        <f t="shared" si="24"/>
        <v>0.36193635952345043</v>
      </c>
      <c r="J236" s="210">
        <v>143</v>
      </c>
      <c r="K236" s="211">
        <v>72</v>
      </c>
      <c r="L236" s="219">
        <f t="shared" si="25"/>
        <v>98.611111111111114</v>
      </c>
      <c r="M236" s="216">
        <f t="shared" si="26"/>
        <v>0.97938497363194288</v>
      </c>
      <c r="N236" s="217">
        <f t="shared" si="27"/>
        <v>0.36193635952345043</v>
      </c>
    </row>
    <row r="237" spans="1:14" hidden="1" outlineLevel="1">
      <c r="A237" s="208"/>
      <c r="B237" s="218" t="s">
        <v>989</v>
      </c>
      <c r="C237" s="214">
        <f t="shared" si="21"/>
        <v>242.85714285714283</v>
      </c>
      <c r="E237" s="210">
        <v>72</v>
      </c>
      <c r="F237" s="211">
        <v>21</v>
      </c>
      <c r="G237" s="219">
        <f t="shared" si="22"/>
        <v>242.85714285714283</v>
      </c>
      <c r="H237" s="216">
        <f t="shared" si="23"/>
        <v>0.49311690980069861</v>
      </c>
      <c r="I237" s="216">
        <f t="shared" si="24"/>
        <v>0.10556477152767305</v>
      </c>
      <c r="J237" s="210">
        <v>72</v>
      </c>
      <c r="K237" s="211">
        <v>21</v>
      </c>
      <c r="L237" s="219">
        <f t="shared" si="25"/>
        <v>242.85714285714283</v>
      </c>
      <c r="M237" s="216">
        <f t="shared" si="26"/>
        <v>0.49311690980069861</v>
      </c>
      <c r="N237" s="217">
        <f t="shared" si="27"/>
        <v>0.10556477152767305</v>
      </c>
    </row>
    <row r="238" spans="1:14" hidden="1" outlineLevel="1">
      <c r="A238" s="208"/>
      <c r="B238" s="218" t="s">
        <v>289</v>
      </c>
      <c r="C238" s="214">
        <f t="shared" si="21"/>
        <v>-13.333333333333334</v>
      </c>
      <c r="E238" s="210">
        <v>39</v>
      </c>
      <c r="F238" s="211">
        <v>45</v>
      </c>
      <c r="G238" s="219">
        <f t="shared" si="22"/>
        <v>-13.333333333333334</v>
      </c>
      <c r="H238" s="216">
        <f t="shared" si="23"/>
        <v>0.26710499280871169</v>
      </c>
      <c r="I238" s="216">
        <f t="shared" si="24"/>
        <v>0.22621022470215654</v>
      </c>
      <c r="J238" s="210">
        <v>39</v>
      </c>
      <c r="K238" s="211">
        <v>45</v>
      </c>
      <c r="L238" s="219">
        <f t="shared" si="25"/>
        <v>-13.333333333333334</v>
      </c>
      <c r="M238" s="216">
        <f t="shared" si="26"/>
        <v>0.26710499280871169</v>
      </c>
      <c r="N238" s="217">
        <f t="shared" si="27"/>
        <v>0.22621022470215654</v>
      </c>
    </row>
    <row r="239" spans="1:14" hidden="1" outlineLevel="1">
      <c r="A239" s="208"/>
      <c r="B239" s="218" t="s">
        <v>1079</v>
      </c>
      <c r="C239" s="214" t="str">
        <f t="shared" si="21"/>
        <v/>
      </c>
      <c r="E239" s="210">
        <v>27</v>
      </c>
      <c r="F239" s="211">
        <v>0</v>
      </c>
      <c r="G239" s="219" t="str">
        <f t="shared" si="22"/>
        <v/>
      </c>
      <c r="H239" s="216">
        <f t="shared" si="23"/>
        <v>0.18491884117526197</v>
      </c>
      <c r="I239" s="216" t="str">
        <f t="shared" si="24"/>
        <v/>
      </c>
      <c r="J239" s="210">
        <v>27</v>
      </c>
      <c r="K239" s="211">
        <v>0</v>
      </c>
      <c r="L239" s="219" t="str">
        <f t="shared" si="25"/>
        <v/>
      </c>
      <c r="M239" s="216">
        <f t="shared" si="26"/>
        <v>0.18491884117526197</v>
      </c>
      <c r="N239" s="217" t="str">
        <f t="shared" si="27"/>
        <v/>
      </c>
    </row>
    <row r="240" spans="1:14" hidden="1" outlineLevel="1">
      <c r="A240" s="208"/>
      <c r="B240" s="218" t="s">
        <v>991</v>
      </c>
      <c r="C240" s="214">
        <f t="shared" si="21"/>
        <v>150</v>
      </c>
      <c r="E240" s="210">
        <v>5</v>
      </c>
      <c r="F240" s="211">
        <v>2</v>
      </c>
      <c r="G240" s="219">
        <f t="shared" si="22"/>
        <v>150</v>
      </c>
      <c r="H240" s="216">
        <f t="shared" si="23"/>
        <v>3.4244229847270734E-2</v>
      </c>
      <c r="I240" s="216">
        <f t="shared" si="24"/>
        <v>1.005378776454029E-2</v>
      </c>
      <c r="J240" s="210">
        <v>5</v>
      </c>
      <c r="K240" s="211">
        <v>2</v>
      </c>
      <c r="L240" s="219">
        <f t="shared" si="25"/>
        <v>150</v>
      </c>
      <c r="M240" s="216">
        <f t="shared" si="26"/>
        <v>3.4244229847270734E-2</v>
      </c>
      <c r="N240" s="217">
        <f t="shared" si="27"/>
        <v>1.005378776454029E-2</v>
      </c>
    </row>
    <row r="241" spans="1:14" hidden="1" outlineLevel="1">
      <c r="A241" s="208"/>
      <c r="B241" s="218" t="s">
        <v>990</v>
      </c>
      <c r="C241" s="214">
        <f t="shared" si="21"/>
        <v>-100</v>
      </c>
      <c r="E241" s="210">
        <v>0</v>
      </c>
      <c r="F241" s="211">
        <v>3</v>
      </c>
      <c r="G241" s="219">
        <f t="shared" si="22"/>
        <v>-100</v>
      </c>
      <c r="H241" s="216" t="str">
        <f t="shared" si="23"/>
        <v/>
      </c>
      <c r="I241" s="216">
        <f t="shared" si="24"/>
        <v>1.5080681646810435E-2</v>
      </c>
      <c r="J241" s="210">
        <v>0</v>
      </c>
      <c r="K241" s="211">
        <v>3</v>
      </c>
      <c r="L241" s="219">
        <f t="shared" si="25"/>
        <v>-100</v>
      </c>
      <c r="M241" s="216" t="str">
        <f t="shared" si="26"/>
        <v/>
      </c>
      <c r="N241" s="217">
        <f t="shared" si="27"/>
        <v>1.5080681646810435E-2</v>
      </c>
    </row>
    <row r="242" spans="1:14" hidden="1" outlineLevel="1">
      <c r="A242" s="208"/>
      <c r="B242" s="218" t="s">
        <v>992</v>
      </c>
      <c r="C242" s="214">
        <f t="shared" si="21"/>
        <v>-100</v>
      </c>
      <c r="E242" s="210">
        <v>0</v>
      </c>
      <c r="F242" s="211">
        <v>1</v>
      </c>
      <c r="G242" s="219">
        <f t="shared" si="22"/>
        <v>-100</v>
      </c>
      <c r="H242" s="216" t="str">
        <f t="shared" si="23"/>
        <v/>
      </c>
      <c r="I242" s="216">
        <f t="shared" si="24"/>
        <v>5.0268938822701451E-3</v>
      </c>
      <c r="J242" s="210">
        <v>0</v>
      </c>
      <c r="K242" s="211">
        <v>1</v>
      </c>
      <c r="L242" s="219">
        <f t="shared" si="25"/>
        <v>-100</v>
      </c>
      <c r="M242" s="216" t="str">
        <f t="shared" si="26"/>
        <v/>
      </c>
      <c r="N242" s="217">
        <f t="shared" si="27"/>
        <v>5.0268938822701451E-3</v>
      </c>
    </row>
    <row r="243" spans="1:14" collapsed="1">
      <c r="A243" s="208" t="s">
        <v>1150</v>
      </c>
      <c r="B243" s="207" t="s">
        <v>303</v>
      </c>
      <c r="C243" s="214">
        <f t="shared" si="21"/>
        <v>51.136363636363633</v>
      </c>
      <c r="E243" s="210">
        <v>133</v>
      </c>
      <c r="F243" s="211">
        <v>88</v>
      </c>
      <c r="G243" s="219">
        <f t="shared" si="22"/>
        <v>51.136363636363633</v>
      </c>
      <c r="H243" s="216">
        <f t="shared" si="23"/>
        <v>0.91089651393740156</v>
      </c>
      <c r="I243" s="216">
        <f t="shared" si="24"/>
        <v>0.44236666163977278</v>
      </c>
      <c r="J243" s="210">
        <v>133</v>
      </c>
      <c r="K243" s="211">
        <v>88</v>
      </c>
      <c r="L243" s="219">
        <f t="shared" si="25"/>
        <v>51.136363636363633</v>
      </c>
      <c r="M243" s="216">
        <f t="shared" si="26"/>
        <v>0.91089651393740156</v>
      </c>
      <c r="N243" s="217">
        <f t="shared" si="27"/>
        <v>0.44236666163977278</v>
      </c>
    </row>
    <row r="244" spans="1:14" hidden="1" outlineLevel="1">
      <c r="A244" s="208"/>
      <c r="B244" s="218" t="s">
        <v>967</v>
      </c>
      <c r="C244" s="214">
        <f t="shared" si="21"/>
        <v>52.459016393442624</v>
      </c>
      <c r="E244" s="210">
        <v>93</v>
      </c>
      <c r="F244" s="211">
        <v>61</v>
      </c>
      <c r="G244" s="219">
        <f t="shared" si="22"/>
        <v>52.459016393442624</v>
      </c>
      <c r="H244" s="216">
        <f t="shared" si="23"/>
        <v>0.63694267515923575</v>
      </c>
      <c r="I244" s="216">
        <f t="shared" si="24"/>
        <v>0.30664052681847886</v>
      </c>
      <c r="J244" s="210">
        <v>93</v>
      </c>
      <c r="K244" s="211">
        <v>61</v>
      </c>
      <c r="L244" s="219">
        <f t="shared" si="25"/>
        <v>52.459016393442624</v>
      </c>
      <c r="M244" s="216">
        <f t="shared" si="26"/>
        <v>0.63694267515923575</v>
      </c>
      <c r="N244" s="217">
        <f t="shared" si="27"/>
        <v>0.30664052681847886</v>
      </c>
    </row>
    <row r="245" spans="1:14" hidden="1" outlineLevel="1">
      <c r="A245" s="208"/>
      <c r="B245" s="218" t="s">
        <v>968</v>
      </c>
      <c r="C245" s="214">
        <f t="shared" si="21"/>
        <v>100</v>
      </c>
      <c r="E245" s="210">
        <v>24</v>
      </c>
      <c r="F245" s="211">
        <v>12</v>
      </c>
      <c r="G245" s="219">
        <f t="shared" si="22"/>
        <v>100</v>
      </c>
      <c r="H245" s="216">
        <f t="shared" si="23"/>
        <v>0.16437230326689953</v>
      </c>
      <c r="I245" s="216">
        <f t="shared" si="24"/>
        <v>6.0322726587241741E-2</v>
      </c>
      <c r="J245" s="210">
        <v>24</v>
      </c>
      <c r="K245" s="211">
        <v>12</v>
      </c>
      <c r="L245" s="219">
        <f t="shared" si="25"/>
        <v>100</v>
      </c>
      <c r="M245" s="216">
        <f t="shared" si="26"/>
        <v>0.16437230326689953</v>
      </c>
      <c r="N245" s="217">
        <f t="shared" si="27"/>
        <v>6.0322726587241741E-2</v>
      </c>
    </row>
    <row r="246" spans="1:14" hidden="1" outlineLevel="1">
      <c r="A246" s="208"/>
      <c r="B246" s="218" t="s">
        <v>969</v>
      </c>
      <c r="C246" s="214">
        <f t="shared" si="21"/>
        <v>-6.666666666666667</v>
      </c>
      <c r="E246" s="210">
        <v>14</v>
      </c>
      <c r="F246" s="211">
        <v>15</v>
      </c>
      <c r="G246" s="219">
        <f t="shared" si="22"/>
        <v>-6.666666666666667</v>
      </c>
      <c r="H246" s="216">
        <f t="shared" si="23"/>
        <v>9.5883843572358046E-2</v>
      </c>
      <c r="I246" s="216">
        <f t="shared" si="24"/>
        <v>7.5403408234052172E-2</v>
      </c>
      <c r="J246" s="210">
        <v>14</v>
      </c>
      <c r="K246" s="211">
        <v>15</v>
      </c>
      <c r="L246" s="219">
        <f t="shared" si="25"/>
        <v>-6.666666666666667</v>
      </c>
      <c r="M246" s="216">
        <f t="shared" si="26"/>
        <v>9.5883843572358046E-2</v>
      </c>
      <c r="N246" s="217">
        <f t="shared" si="27"/>
        <v>7.5403408234052172E-2</v>
      </c>
    </row>
    <row r="247" spans="1:14" hidden="1" outlineLevel="1">
      <c r="A247" s="208"/>
      <c r="B247" s="218" t="s">
        <v>970</v>
      </c>
      <c r="C247" s="214" t="str">
        <f t="shared" si="21"/>
        <v/>
      </c>
      <c r="E247" s="210">
        <v>2</v>
      </c>
      <c r="F247" s="211">
        <v>0</v>
      </c>
      <c r="G247" s="219" t="str">
        <f t="shared" si="22"/>
        <v/>
      </c>
      <c r="H247" s="216">
        <f t="shared" si="23"/>
        <v>1.3697691938908293E-2</v>
      </c>
      <c r="I247" s="216" t="str">
        <f t="shared" si="24"/>
        <v/>
      </c>
      <c r="J247" s="210">
        <v>2</v>
      </c>
      <c r="K247" s="211">
        <v>0</v>
      </c>
      <c r="L247" s="219" t="str">
        <f t="shared" si="25"/>
        <v/>
      </c>
      <c r="M247" s="216">
        <f t="shared" si="26"/>
        <v>1.3697691938908293E-2</v>
      </c>
      <c r="N247" s="217" t="str">
        <f t="shared" si="27"/>
        <v/>
      </c>
    </row>
    <row r="248" spans="1:14" collapsed="1">
      <c r="A248" s="208" t="s">
        <v>1151</v>
      </c>
      <c r="B248" s="207" t="s">
        <v>965</v>
      </c>
      <c r="C248" s="214">
        <f t="shared" si="21"/>
        <v>-18.70967741935484</v>
      </c>
      <c r="E248" s="210">
        <v>126</v>
      </c>
      <c r="F248" s="211">
        <v>155</v>
      </c>
      <c r="G248" s="219">
        <f t="shared" si="22"/>
        <v>-18.70967741935484</v>
      </c>
      <c r="H248" s="216">
        <f t="shared" si="23"/>
        <v>0.8629545921512225</v>
      </c>
      <c r="I248" s="216">
        <f t="shared" si="24"/>
        <v>0.7791685517518725</v>
      </c>
      <c r="J248" s="210">
        <v>126</v>
      </c>
      <c r="K248" s="211">
        <v>155</v>
      </c>
      <c r="L248" s="219">
        <f t="shared" si="25"/>
        <v>-18.70967741935484</v>
      </c>
      <c r="M248" s="216">
        <f t="shared" si="26"/>
        <v>0.8629545921512225</v>
      </c>
      <c r="N248" s="217">
        <f t="shared" si="27"/>
        <v>0.7791685517518725</v>
      </c>
    </row>
    <row r="249" spans="1:14" hidden="1" outlineLevel="1">
      <c r="A249" s="208"/>
      <c r="B249" s="218" t="s">
        <v>966</v>
      </c>
      <c r="C249" s="214">
        <f t="shared" si="21"/>
        <v>-18.70967741935484</v>
      </c>
      <c r="E249" s="210">
        <v>126</v>
      </c>
      <c r="F249" s="211">
        <v>155</v>
      </c>
      <c r="G249" s="219">
        <f t="shared" si="22"/>
        <v>-18.70967741935484</v>
      </c>
      <c r="H249" s="216">
        <f t="shared" si="23"/>
        <v>0.8629545921512225</v>
      </c>
      <c r="I249" s="216">
        <f t="shared" si="24"/>
        <v>0.7791685517518725</v>
      </c>
      <c r="J249" s="210">
        <v>126</v>
      </c>
      <c r="K249" s="211">
        <v>155</v>
      </c>
      <c r="L249" s="219">
        <f t="shared" si="25"/>
        <v>-18.70967741935484</v>
      </c>
      <c r="M249" s="216">
        <f t="shared" si="26"/>
        <v>0.8629545921512225</v>
      </c>
      <c r="N249" s="217">
        <f t="shared" si="27"/>
        <v>0.7791685517518725</v>
      </c>
    </row>
    <row r="250" spans="1:14" collapsed="1">
      <c r="A250" s="208" t="s">
        <v>1096</v>
      </c>
      <c r="B250" s="207" t="s">
        <v>277</v>
      </c>
      <c r="C250" s="214">
        <f t="shared" si="21"/>
        <v>-42.72300469483568</v>
      </c>
      <c r="E250" s="210">
        <v>122</v>
      </c>
      <c r="F250" s="211">
        <v>213</v>
      </c>
      <c r="G250" s="219">
        <f t="shared" si="22"/>
        <v>-42.72300469483568</v>
      </c>
      <c r="H250" s="216">
        <f t="shared" si="23"/>
        <v>0.83555920827340591</v>
      </c>
      <c r="I250" s="216">
        <f t="shared" si="24"/>
        <v>1.0707283969235408</v>
      </c>
      <c r="J250" s="210">
        <v>122</v>
      </c>
      <c r="K250" s="211">
        <v>213</v>
      </c>
      <c r="L250" s="219">
        <f t="shared" si="25"/>
        <v>-42.72300469483568</v>
      </c>
      <c r="M250" s="216">
        <f t="shared" si="26"/>
        <v>0.83555920827340591</v>
      </c>
      <c r="N250" s="217">
        <f t="shared" si="27"/>
        <v>1.0707283969235408</v>
      </c>
    </row>
    <row r="251" spans="1:14" hidden="1" outlineLevel="1">
      <c r="A251" s="208"/>
      <c r="B251" s="218" t="s">
        <v>936</v>
      </c>
      <c r="C251" s="214">
        <f t="shared" si="21"/>
        <v>-17.021276595744681</v>
      </c>
      <c r="E251" s="210">
        <v>78</v>
      </c>
      <c r="F251" s="211">
        <v>94</v>
      </c>
      <c r="G251" s="219">
        <f t="shared" si="22"/>
        <v>-17.021276595744681</v>
      </c>
      <c r="H251" s="216">
        <f t="shared" si="23"/>
        <v>0.53420998561742339</v>
      </c>
      <c r="I251" s="216">
        <f t="shared" si="24"/>
        <v>0.47252802493339363</v>
      </c>
      <c r="J251" s="210">
        <v>78</v>
      </c>
      <c r="K251" s="211">
        <v>94</v>
      </c>
      <c r="L251" s="219">
        <f t="shared" si="25"/>
        <v>-17.021276595744681</v>
      </c>
      <c r="M251" s="216">
        <f t="shared" si="26"/>
        <v>0.53420998561742339</v>
      </c>
      <c r="N251" s="217">
        <f t="shared" si="27"/>
        <v>0.47252802493339363</v>
      </c>
    </row>
    <row r="252" spans="1:14" hidden="1" outlineLevel="1">
      <c r="A252" s="208"/>
      <c r="B252" s="218" t="s">
        <v>937</v>
      </c>
      <c r="C252" s="214">
        <f t="shared" si="21"/>
        <v>-18.518518518518519</v>
      </c>
      <c r="E252" s="210">
        <v>22</v>
      </c>
      <c r="F252" s="211">
        <v>27</v>
      </c>
      <c r="G252" s="219">
        <f t="shared" si="22"/>
        <v>-18.518518518518519</v>
      </c>
      <c r="H252" s="216">
        <f t="shared" si="23"/>
        <v>0.15067461132799123</v>
      </c>
      <c r="I252" s="216">
        <f t="shared" si="24"/>
        <v>0.13572613482129392</v>
      </c>
      <c r="J252" s="210">
        <v>22</v>
      </c>
      <c r="K252" s="211">
        <v>27</v>
      </c>
      <c r="L252" s="219">
        <f t="shared" si="25"/>
        <v>-18.518518518518519</v>
      </c>
      <c r="M252" s="216">
        <f t="shared" si="26"/>
        <v>0.15067461132799123</v>
      </c>
      <c r="N252" s="217">
        <f t="shared" si="27"/>
        <v>0.13572613482129392</v>
      </c>
    </row>
    <row r="253" spans="1:14" hidden="1" outlineLevel="1">
      <c r="A253" s="208"/>
      <c r="B253" s="218" t="s">
        <v>935</v>
      </c>
      <c r="C253" s="214">
        <f t="shared" si="21"/>
        <v>-75</v>
      </c>
      <c r="E253" s="210">
        <v>12</v>
      </c>
      <c r="F253" s="211">
        <v>48</v>
      </c>
      <c r="G253" s="219">
        <f t="shared" si="22"/>
        <v>-75</v>
      </c>
      <c r="H253" s="216">
        <f t="shared" si="23"/>
        <v>8.2186151633449764E-2</v>
      </c>
      <c r="I253" s="216">
        <f t="shared" si="24"/>
        <v>0.24129090634896697</v>
      </c>
      <c r="J253" s="210">
        <v>12</v>
      </c>
      <c r="K253" s="211">
        <v>48</v>
      </c>
      <c r="L253" s="219">
        <f t="shared" si="25"/>
        <v>-75</v>
      </c>
      <c r="M253" s="216">
        <f t="shared" si="26"/>
        <v>8.2186151633449764E-2</v>
      </c>
      <c r="N253" s="217">
        <f t="shared" si="27"/>
        <v>0.24129090634896697</v>
      </c>
    </row>
    <row r="254" spans="1:14" hidden="1" outlineLevel="1">
      <c r="A254" s="208"/>
      <c r="B254" s="218" t="s">
        <v>940</v>
      </c>
      <c r="C254" s="214" t="str">
        <f t="shared" si="21"/>
        <v/>
      </c>
      <c r="E254" s="210">
        <v>6</v>
      </c>
      <c r="F254" s="211">
        <v>0</v>
      </c>
      <c r="G254" s="219" t="str">
        <f t="shared" si="22"/>
        <v/>
      </c>
      <c r="H254" s="216">
        <f t="shared" si="23"/>
        <v>4.1093075816724882E-2</v>
      </c>
      <c r="I254" s="216" t="str">
        <f t="shared" si="24"/>
        <v/>
      </c>
      <c r="J254" s="210">
        <v>6</v>
      </c>
      <c r="K254" s="211">
        <v>0</v>
      </c>
      <c r="L254" s="219" t="str">
        <f t="shared" si="25"/>
        <v/>
      </c>
      <c r="M254" s="216">
        <f t="shared" si="26"/>
        <v>4.1093075816724882E-2</v>
      </c>
      <c r="N254" s="217" t="str">
        <f t="shared" si="27"/>
        <v/>
      </c>
    </row>
    <row r="255" spans="1:14" hidden="1" outlineLevel="1">
      <c r="A255" s="208"/>
      <c r="B255" s="218" t="s">
        <v>943</v>
      </c>
      <c r="C255" s="214" t="str">
        <f t="shared" si="21"/>
        <v/>
      </c>
      <c r="E255" s="210">
        <v>2</v>
      </c>
      <c r="F255" s="211">
        <v>0</v>
      </c>
      <c r="G255" s="219" t="str">
        <f t="shared" si="22"/>
        <v/>
      </c>
      <c r="H255" s="216">
        <f t="shared" si="23"/>
        <v>1.3697691938908293E-2</v>
      </c>
      <c r="I255" s="216" t="str">
        <f t="shared" si="24"/>
        <v/>
      </c>
      <c r="J255" s="210">
        <v>2</v>
      </c>
      <c r="K255" s="211">
        <v>0</v>
      </c>
      <c r="L255" s="219" t="str">
        <f t="shared" si="25"/>
        <v/>
      </c>
      <c r="M255" s="216">
        <f t="shared" si="26"/>
        <v>1.3697691938908293E-2</v>
      </c>
      <c r="N255" s="217" t="str">
        <f t="shared" si="27"/>
        <v/>
      </c>
    </row>
    <row r="256" spans="1:14" hidden="1" outlineLevel="1">
      <c r="A256" s="208"/>
      <c r="B256" s="218" t="s">
        <v>939</v>
      </c>
      <c r="C256" s="214" t="str">
        <f t="shared" si="21"/>
        <v/>
      </c>
      <c r="E256" s="210">
        <v>2</v>
      </c>
      <c r="F256" s="211">
        <v>0</v>
      </c>
      <c r="G256" s="219" t="str">
        <f t="shared" si="22"/>
        <v/>
      </c>
      <c r="H256" s="216">
        <f t="shared" si="23"/>
        <v>1.3697691938908293E-2</v>
      </c>
      <c r="I256" s="216" t="str">
        <f t="shared" si="24"/>
        <v/>
      </c>
      <c r="J256" s="210">
        <v>2</v>
      </c>
      <c r="K256" s="211">
        <v>0</v>
      </c>
      <c r="L256" s="219" t="str">
        <f t="shared" si="25"/>
        <v/>
      </c>
      <c r="M256" s="216">
        <f t="shared" si="26"/>
        <v>1.3697691938908293E-2</v>
      </c>
      <c r="N256" s="217" t="str">
        <f t="shared" si="27"/>
        <v/>
      </c>
    </row>
    <row r="257" spans="1:14" hidden="1" outlineLevel="1">
      <c r="A257" s="208"/>
      <c r="B257" s="218" t="s">
        <v>938</v>
      </c>
      <c r="C257" s="214">
        <f t="shared" si="21"/>
        <v>-100</v>
      </c>
      <c r="E257" s="210">
        <v>0</v>
      </c>
      <c r="F257" s="211">
        <v>34</v>
      </c>
      <c r="G257" s="219">
        <f t="shared" si="22"/>
        <v>-100</v>
      </c>
      <c r="H257" s="216" t="str">
        <f t="shared" si="23"/>
        <v/>
      </c>
      <c r="I257" s="216">
        <f t="shared" si="24"/>
        <v>0.17091439199718494</v>
      </c>
      <c r="J257" s="210">
        <v>0</v>
      </c>
      <c r="K257" s="211">
        <v>34</v>
      </c>
      <c r="L257" s="219">
        <f t="shared" si="25"/>
        <v>-100</v>
      </c>
      <c r="M257" s="216" t="str">
        <f t="shared" si="26"/>
        <v/>
      </c>
      <c r="N257" s="217">
        <f t="shared" si="27"/>
        <v>0.17091439199718494</v>
      </c>
    </row>
    <row r="258" spans="1:14" hidden="1" outlineLevel="1">
      <c r="A258" s="208"/>
      <c r="B258" s="218" t="s">
        <v>942</v>
      </c>
      <c r="C258" s="214">
        <f t="shared" si="21"/>
        <v>-100</v>
      </c>
      <c r="E258" s="210">
        <v>0</v>
      </c>
      <c r="F258" s="211">
        <v>9</v>
      </c>
      <c r="G258" s="219">
        <f t="shared" si="22"/>
        <v>-100</v>
      </c>
      <c r="H258" s="216" t="str">
        <f t="shared" si="23"/>
        <v/>
      </c>
      <c r="I258" s="216">
        <f t="shared" si="24"/>
        <v>4.5242044940431304E-2</v>
      </c>
      <c r="J258" s="210">
        <v>0</v>
      </c>
      <c r="K258" s="211">
        <v>9</v>
      </c>
      <c r="L258" s="219">
        <f t="shared" si="25"/>
        <v>-100</v>
      </c>
      <c r="M258" s="216" t="str">
        <f t="shared" si="26"/>
        <v/>
      </c>
      <c r="N258" s="217">
        <f t="shared" si="27"/>
        <v>4.5242044940431304E-2</v>
      </c>
    </row>
    <row r="259" spans="1:14" hidden="1" outlineLevel="1">
      <c r="A259" s="208"/>
      <c r="B259" s="218" t="s">
        <v>941</v>
      </c>
      <c r="C259" s="214">
        <f t="shared" si="21"/>
        <v>-100</v>
      </c>
      <c r="E259" s="210">
        <v>0</v>
      </c>
      <c r="F259" s="211">
        <v>1</v>
      </c>
      <c r="G259" s="219">
        <f t="shared" si="22"/>
        <v>-100</v>
      </c>
      <c r="H259" s="216" t="str">
        <f t="shared" si="23"/>
        <v/>
      </c>
      <c r="I259" s="216">
        <f t="shared" si="24"/>
        <v>5.0268938822701451E-3</v>
      </c>
      <c r="J259" s="210">
        <v>0</v>
      </c>
      <c r="K259" s="211">
        <v>1</v>
      </c>
      <c r="L259" s="219">
        <f t="shared" si="25"/>
        <v>-100</v>
      </c>
      <c r="M259" s="216" t="str">
        <f t="shared" si="26"/>
        <v/>
      </c>
      <c r="N259" s="217">
        <f t="shared" si="27"/>
        <v>5.0268938822701451E-3</v>
      </c>
    </row>
    <row r="260" spans="1:14" collapsed="1">
      <c r="A260" s="208" t="s">
        <v>1152</v>
      </c>
      <c r="B260" s="207" t="s">
        <v>293</v>
      </c>
      <c r="C260" s="214">
        <f t="shared" si="21"/>
        <v>-45.360824742268044</v>
      </c>
      <c r="E260" s="210">
        <v>106</v>
      </c>
      <c r="F260" s="211">
        <v>194</v>
      </c>
      <c r="G260" s="219">
        <f t="shared" si="22"/>
        <v>-45.360824742268044</v>
      </c>
      <c r="H260" s="216">
        <f t="shared" si="23"/>
        <v>0.72597767276213965</v>
      </c>
      <c r="I260" s="216">
        <f t="shared" si="24"/>
        <v>0.97521741316040822</v>
      </c>
      <c r="J260" s="210">
        <v>106</v>
      </c>
      <c r="K260" s="211">
        <v>194</v>
      </c>
      <c r="L260" s="219">
        <f t="shared" si="25"/>
        <v>-45.360824742268044</v>
      </c>
      <c r="M260" s="216">
        <f t="shared" si="26"/>
        <v>0.72597767276213965</v>
      </c>
      <c r="N260" s="217">
        <f t="shared" si="27"/>
        <v>0.97521741316040822</v>
      </c>
    </row>
    <row r="261" spans="1:14" hidden="1" outlineLevel="1">
      <c r="A261" s="208"/>
      <c r="B261" s="218" t="s">
        <v>962</v>
      </c>
      <c r="C261" s="214">
        <f t="shared" si="21"/>
        <v>-42.857142857142854</v>
      </c>
      <c r="E261" s="210">
        <v>68</v>
      </c>
      <c r="F261" s="211">
        <v>119</v>
      </c>
      <c r="G261" s="219">
        <f t="shared" si="22"/>
        <v>-42.857142857142854</v>
      </c>
      <c r="H261" s="216">
        <f t="shared" si="23"/>
        <v>0.46572152592288202</v>
      </c>
      <c r="I261" s="216">
        <f t="shared" si="24"/>
        <v>0.59820037199014731</v>
      </c>
      <c r="J261" s="210">
        <v>68</v>
      </c>
      <c r="K261" s="211">
        <v>119</v>
      </c>
      <c r="L261" s="219">
        <f t="shared" si="25"/>
        <v>-42.857142857142854</v>
      </c>
      <c r="M261" s="216">
        <f t="shared" si="26"/>
        <v>0.46572152592288202</v>
      </c>
      <c r="N261" s="217">
        <f t="shared" si="27"/>
        <v>0.59820037199014731</v>
      </c>
    </row>
    <row r="262" spans="1:14" hidden="1" outlineLevel="1">
      <c r="A262" s="208"/>
      <c r="B262" s="218" t="s">
        <v>963</v>
      </c>
      <c r="C262" s="214">
        <f t="shared" si="21"/>
        <v>-39.344262295081968</v>
      </c>
      <c r="E262" s="210">
        <v>37</v>
      </c>
      <c r="F262" s="211">
        <v>61</v>
      </c>
      <c r="G262" s="219">
        <f t="shared" si="22"/>
        <v>-39.344262295081968</v>
      </c>
      <c r="H262" s="216">
        <f t="shared" si="23"/>
        <v>0.25340730086980345</v>
      </c>
      <c r="I262" s="216">
        <f t="shared" si="24"/>
        <v>0.30664052681847886</v>
      </c>
      <c r="J262" s="210">
        <v>37</v>
      </c>
      <c r="K262" s="211">
        <v>61</v>
      </c>
      <c r="L262" s="219">
        <f t="shared" si="25"/>
        <v>-39.344262295081968</v>
      </c>
      <c r="M262" s="216">
        <f t="shared" si="26"/>
        <v>0.25340730086980345</v>
      </c>
      <c r="N262" s="217">
        <f t="shared" si="27"/>
        <v>0.30664052681847886</v>
      </c>
    </row>
    <row r="263" spans="1:14" hidden="1" outlineLevel="1">
      <c r="A263" s="208"/>
      <c r="B263" s="218" t="s">
        <v>964</v>
      </c>
      <c r="C263" s="214">
        <f t="shared" si="21"/>
        <v>-92.857142857142861</v>
      </c>
      <c r="E263" s="210">
        <v>1</v>
      </c>
      <c r="F263" s="211">
        <v>14</v>
      </c>
      <c r="G263" s="219">
        <f t="shared" si="22"/>
        <v>-92.857142857142861</v>
      </c>
      <c r="H263" s="216">
        <f t="shared" si="23"/>
        <v>6.8488459694541464E-3</v>
      </c>
      <c r="I263" s="216">
        <f t="shared" si="24"/>
        <v>7.0376514351782035E-2</v>
      </c>
      <c r="J263" s="210">
        <v>1</v>
      </c>
      <c r="K263" s="211">
        <v>14</v>
      </c>
      <c r="L263" s="219">
        <f t="shared" si="25"/>
        <v>-92.857142857142861</v>
      </c>
      <c r="M263" s="216">
        <f t="shared" si="26"/>
        <v>6.8488459694541464E-3</v>
      </c>
      <c r="N263" s="217">
        <f t="shared" si="27"/>
        <v>7.0376514351782035E-2</v>
      </c>
    </row>
    <row r="264" spans="1:14" collapsed="1">
      <c r="A264" s="208" t="s">
        <v>1153</v>
      </c>
      <c r="B264" s="207" t="s">
        <v>297</v>
      </c>
      <c r="C264" s="214">
        <f t="shared" si="21"/>
        <v>-65.529010238907844</v>
      </c>
      <c r="E264" s="210">
        <v>101</v>
      </c>
      <c r="F264" s="211">
        <v>293</v>
      </c>
      <c r="G264" s="219">
        <f t="shared" si="22"/>
        <v>-65.529010238907844</v>
      </c>
      <c r="H264" s="216">
        <f t="shared" si="23"/>
        <v>0.69173344291486882</v>
      </c>
      <c r="I264" s="216">
        <f t="shared" si="24"/>
        <v>1.4728799075051526</v>
      </c>
      <c r="J264" s="210">
        <v>101</v>
      </c>
      <c r="K264" s="211">
        <v>293</v>
      </c>
      <c r="L264" s="219">
        <f t="shared" si="25"/>
        <v>-65.529010238907844</v>
      </c>
      <c r="M264" s="216">
        <f t="shared" si="26"/>
        <v>0.69173344291486882</v>
      </c>
      <c r="N264" s="217">
        <f t="shared" si="27"/>
        <v>1.4728799075051526</v>
      </c>
    </row>
    <row r="265" spans="1:14" hidden="1" outlineLevel="1">
      <c r="A265" s="208"/>
      <c r="B265" s="218" t="s">
        <v>945</v>
      </c>
      <c r="C265" s="214">
        <f t="shared" si="21"/>
        <v>-34.615384615384613</v>
      </c>
      <c r="E265" s="210">
        <v>51</v>
      </c>
      <c r="F265" s="211">
        <v>78</v>
      </c>
      <c r="G265" s="219">
        <f t="shared" si="22"/>
        <v>-34.615384615384613</v>
      </c>
      <c r="H265" s="216">
        <f t="shared" si="23"/>
        <v>0.34929114444216147</v>
      </c>
      <c r="I265" s="216">
        <f t="shared" si="24"/>
        <v>0.39209772281707134</v>
      </c>
      <c r="J265" s="210">
        <v>51</v>
      </c>
      <c r="K265" s="211">
        <v>78</v>
      </c>
      <c r="L265" s="219">
        <f t="shared" si="25"/>
        <v>-34.615384615384613</v>
      </c>
      <c r="M265" s="216">
        <f t="shared" si="26"/>
        <v>0.34929114444216147</v>
      </c>
      <c r="N265" s="217">
        <f t="shared" si="27"/>
        <v>0.39209772281707134</v>
      </c>
    </row>
    <row r="266" spans="1:14" hidden="1" outlineLevel="1">
      <c r="A266" s="208"/>
      <c r="B266" s="218" t="s">
        <v>944</v>
      </c>
      <c r="C266" s="214">
        <f t="shared" ref="C266:C329" si="28">IF(K266=0,"",SUM(((J266-K266)/K266)*100))</f>
        <v>-77.348066298342545</v>
      </c>
      <c r="E266" s="210">
        <v>41</v>
      </c>
      <c r="F266" s="211">
        <v>181</v>
      </c>
      <c r="G266" s="219">
        <f t="shared" ref="G266:G329" si="29">IF(F266=0,"",SUM(((E266-F266)/F266)*100))</f>
        <v>-77.348066298342545</v>
      </c>
      <c r="H266" s="216">
        <f t="shared" ref="H266:H329" si="30">IF(E266=0,"",SUM((E266/CntPeriod)*100))</f>
        <v>0.28080268474762005</v>
      </c>
      <c r="I266" s="216">
        <f t="shared" ref="I266:I329" si="31">IF(F266=0,"",SUM((F266/CntPeriodPrevYear)*100))</f>
        <v>0.90986779269089624</v>
      </c>
      <c r="J266" s="210">
        <v>41</v>
      </c>
      <c r="K266" s="211">
        <v>181</v>
      </c>
      <c r="L266" s="219">
        <f t="shared" ref="L266:L329" si="32">IF(K266=0,"",SUM(((J266-K266)/K266)*100))</f>
        <v>-77.348066298342545</v>
      </c>
      <c r="M266" s="216">
        <f t="shared" ref="M266:M329" si="33">IF(J266=0,"",SUM((J266/CntYearAck)*100))</f>
        <v>0.28080268474762005</v>
      </c>
      <c r="N266" s="217">
        <f t="shared" ref="N266:N329" si="34">IF(K266=0,"",SUM((K266/CntPrevYearAck)*100))</f>
        <v>0.90986779269089624</v>
      </c>
    </row>
    <row r="267" spans="1:14" hidden="1" outlineLevel="1">
      <c r="A267" s="208"/>
      <c r="B267" s="218" t="s">
        <v>946</v>
      </c>
      <c r="C267" s="214">
        <f t="shared" si="28"/>
        <v>-41.666666666666671</v>
      </c>
      <c r="E267" s="210">
        <v>7</v>
      </c>
      <c r="F267" s="211">
        <v>12</v>
      </c>
      <c r="G267" s="219">
        <f t="shared" si="29"/>
        <v>-41.666666666666671</v>
      </c>
      <c r="H267" s="216">
        <f t="shared" si="30"/>
        <v>4.7941921786179023E-2</v>
      </c>
      <c r="I267" s="216">
        <f t="shared" si="31"/>
        <v>6.0322726587241741E-2</v>
      </c>
      <c r="J267" s="210">
        <v>7</v>
      </c>
      <c r="K267" s="211">
        <v>12</v>
      </c>
      <c r="L267" s="219">
        <f t="shared" si="32"/>
        <v>-41.666666666666671</v>
      </c>
      <c r="M267" s="216">
        <f t="shared" si="33"/>
        <v>4.7941921786179023E-2</v>
      </c>
      <c r="N267" s="217">
        <f t="shared" si="34"/>
        <v>6.0322726587241741E-2</v>
      </c>
    </row>
    <row r="268" spans="1:14" hidden="1" outlineLevel="1">
      <c r="A268" s="208"/>
      <c r="B268" s="218" t="s">
        <v>948</v>
      </c>
      <c r="C268" s="214">
        <f t="shared" si="28"/>
        <v>-60</v>
      </c>
      <c r="E268" s="210">
        <v>2</v>
      </c>
      <c r="F268" s="211">
        <v>5</v>
      </c>
      <c r="G268" s="219">
        <f t="shared" si="29"/>
        <v>-60</v>
      </c>
      <c r="H268" s="216">
        <f t="shared" si="30"/>
        <v>1.3697691938908293E-2</v>
      </c>
      <c r="I268" s="216">
        <f t="shared" si="31"/>
        <v>2.5134469411350724E-2</v>
      </c>
      <c r="J268" s="210">
        <v>2</v>
      </c>
      <c r="K268" s="211">
        <v>5</v>
      </c>
      <c r="L268" s="219">
        <f t="shared" si="32"/>
        <v>-60</v>
      </c>
      <c r="M268" s="216">
        <f t="shared" si="33"/>
        <v>1.3697691938908293E-2</v>
      </c>
      <c r="N268" s="217">
        <f t="shared" si="34"/>
        <v>2.5134469411350724E-2</v>
      </c>
    </row>
    <row r="269" spans="1:14" hidden="1" outlineLevel="1">
      <c r="A269" s="208"/>
      <c r="B269" s="218" t="s">
        <v>947</v>
      </c>
      <c r="C269" s="214">
        <f t="shared" si="28"/>
        <v>-100</v>
      </c>
      <c r="E269" s="210">
        <v>0</v>
      </c>
      <c r="F269" s="211">
        <v>12</v>
      </c>
      <c r="G269" s="219">
        <f t="shared" si="29"/>
        <v>-100</v>
      </c>
      <c r="H269" s="216" t="str">
        <f t="shared" si="30"/>
        <v/>
      </c>
      <c r="I269" s="216">
        <f t="shared" si="31"/>
        <v>6.0322726587241741E-2</v>
      </c>
      <c r="J269" s="210">
        <v>0</v>
      </c>
      <c r="K269" s="211">
        <v>12</v>
      </c>
      <c r="L269" s="219">
        <f t="shared" si="32"/>
        <v>-100</v>
      </c>
      <c r="M269" s="216" t="str">
        <f t="shared" si="33"/>
        <v/>
      </c>
      <c r="N269" s="217">
        <f t="shared" si="34"/>
        <v>6.0322726587241741E-2</v>
      </c>
    </row>
    <row r="270" spans="1:14" hidden="1" outlineLevel="1">
      <c r="A270" s="208"/>
      <c r="B270" s="218" t="s">
        <v>950</v>
      </c>
      <c r="C270" s="214">
        <f t="shared" si="28"/>
        <v>-100</v>
      </c>
      <c r="E270" s="210">
        <v>0</v>
      </c>
      <c r="F270" s="211">
        <v>3</v>
      </c>
      <c r="G270" s="219">
        <f t="shared" si="29"/>
        <v>-100</v>
      </c>
      <c r="H270" s="216" t="str">
        <f t="shared" si="30"/>
        <v/>
      </c>
      <c r="I270" s="216">
        <f t="shared" si="31"/>
        <v>1.5080681646810435E-2</v>
      </c>
      <c r="J270" s="210">
        <v>0</v>
      </c>
      <c r="K270" s="211">
        <v>3</v>
      </c>
      <c r="L270" s="219">
        <f t="shared" si="32"/>
        <v>-100</v>
      </c>
      <c r="M270" s="216" t="str">
        <f t="shared" si="33"/>
        <v/>
      </c>
      <c r="N270" s="217">
        <f t="shared" si="34"/>
        <v>1.5080681646810435E-2</v>
      </c>
    </row>
    <row r="271" spans="1:14" hidden="1" outlineLevel="1">
      <c r="A271" s="208"/>
      <c r="B271" s="218" t="s">
        <v>951</v>
      </c>
      <c r="C271" s="214">
        <f t="shared" si="28"/>
        <v>-100</v>
      </c>
      <c r="E271" s="210">
        <v>0</v>
      </c>
      <c r="F271" s="211">
        <v>1</v>
      </c>
      <c r="G271" s="219">
        <f t="shared" si="29"/>
        <v>-100</v>
      </c>
      <c r="H271" s="216" t="str">
        <f t="shared" si="30"/>
        <v/>
      </c>
      <c r="I271" s="216">
        <f t="shared" si="31"/>
        <v>5.0268938822701451E-3</v>
      </c>
      <c r="J271" s="210">
        <v>0</v>
      </c>
      <c r="K271" s="211">
        <v>1</v>
      </c>
      <c r="L271" s="219">
        <f t="shared" si="32"/>
        <v>-100</v>
      </c>
      <c r="M271" s="216" t="str">
        <f t="shared" si="33"/>
        <v/>
      </c>
      <c r="N271" s="217">
        <f t="shared" si="34"/>
        <v>5.0268938822701451E-3</v>
      </c>
    </row>
    <row r="272" spans="1:14" hidden="1" outlineLevel="1">
      <c r="A272" s="208"/>
      <c r="B272" s="218" t="s">
        <v>949</v>
      </c>
      <c r="C272" s="214">
        <f t="shared" si="28"/>
        <v>-100</v>
      </c>
      <c r="E272" s="210">
        <v>0</v>
      </c>
      <c r="F272" s="211">
        <v>1</v>
      </c>
      <c r="G272" s="219">
        <f t="shared" si="29"/>
        <v>-100</v>
      </c>
      <c r="H272" s="216" t="str">
        <f t="shared" si="30"/>
        <v/>
      </c>
      <c r="I272" s="216">
        <f t="shared" si="31"/>
        <v>5.0268938822701451E-3</v>
      </c>
      <c r="J272" s="210">
        <v>0</v>
      </c>
      <c r="K272" s="211">
        <v>1</v>
      </c>
      <c r="L272" s="219">
        <f t="shared" si="32"/>
        <v>-100</v>
      </c>
      <c r="M272" s="216" t="str">
        <f t="shared" si="33"/>
        <v/>
      </c>
      <c r="N272" s="217">
        <f t="shared" si="34"/>
        <v>5.0268938822701451E-3</v>
      </c>
    </row>
    <row r="273" spans="1:14" collapsed="1">
      <c r="A273" s="208" t="s">
        <v>1154</v>
      </c>
      <c r="B273" s="207" t="s">
        <v>337</v>
      </c>
      <c r="C273" s="214">
        <f t="shared" si="28"/>
        <v>-60.887096774193552</v>
      </c>
      <c r="E273" s="210">
        <v>97</v>
      </c>
      <c r="F273" s="211">
        <v>248</v>
      </c>
      <c r="G273" s="219">
        <f t="shared" si="29"/>
        <v>-60.887096774193552</v>
      </c>
      <c r="H273" s="216">
        <f t="shared" si="30"/>
        <v>0.66433805903705223</v>
      </c>
      <c r="I273" s="216">
        <f t="shared" si="31"/>
        <v>1.2466696828029959</v>
      </c>
      <c r="J273" s="210">
        <v>97</v>
      </c>
      <c r="K273" s="211">
        <v>248</v>
      </c>
      <c r="L273" s="219">
        <f t="shared" si="32"/>
        <v>-60.887096774193552</v>
      </c>
      <c r="M273" s="216">
        <f t="shared" si="33"/>
        <v>0.66433805903705223</v>
      </c>
      <c r="N273" s="217">
        <f t="shared" si="34"/>
        <v>1.2466696828029959</v>
      </c>
    </row>
    <row r="274" spans="1:14" hidden="1" outlineLevel="1">
      <c r="A274" s="208"/>
      <c r="B274" s="218">
        <v>2</v>
      </c>
      <c r="C274" s="214">
        <f t="shared" si="28"/>
        <v>-60.728744939271252</v>
      </c>
      <c r="E274" s="210">
        <v>97</v>
      </c>
      <c r="F274" s="211">
        <v>247</v>
      </c>
      <c r="G274" s="219">
        <f t="shared" si="29"/>
        <v>-60.728744939271252</v>
      </c>
      <c r="H274" s="216">
        <f t="shared" si="30"/>
        <v>0.66433805903705223</v>
      </c>
      <c r="I274" s="216">
        <f t="shared" si="31"/>
        <v>1.241642788920726</v>
      </c>
      <c r="J274" s="210">
        <v>97</v>
      </c>
      <c r="K274" s="211">
        <v>247</v>
      </c>
      <c r="L274" s="219">
        <f t="shared" si="32"/>
        <v>-60.728744939271252</v>
      </c>
      <c r="M274" s="216">
        <f t="shared" si="33"/>
        <v>0.66433805903705223</v>
      </c>
      <c r="N274" s="217">
        <f t="shared" si="34"/>
        <v>1.241642788920726</v>
      </c>
    </row>
    <row r="275" spans="1:14" hidden="1" outlineLevel="1">
      <c r="A275" s="208"/>
      <c r="B275" s="218">
        <v>1</v>
      </c>
      <c r="C275" s="214">
        <f t="shared" si="28"/>
        <v>-100</v>
      </c>
      <c r="E275" s="210">
        <v>0</v>
      </c>
      <c r="F275" s="211">
        <v>1</v>
      </c>
      <c r="G275" s="219">
        <f t="shared" si="29"/>
        <v>-100</v>
      </c>
      <c r="H275" s="216" t="str">
        <f t="shared" si="30"/>
        <v/>
      </c>
      <c r="I275" s="216">
        <f t="shared" si="31"/>
        <v>5.0268938822701451E-3</v>
      </c>
      <c r="J275" s="210">
        <v>0</v>
      </c>
      <c r="K275" s="211">
        <v>1</v>
      </c>
      <c r="L275" s="219">
        <f t="shared" si="32"/>
        <v>-100</v>
      </c>
      <c r="M275" s="216" t="str">
        <f t="shared" si="33"/>
        <v/>
      </c>
      <c r="N275" s="217">
        <f t="shared" si="34"/>
        <v>5.0268938822701451E-3</v>
      </c>
    </row>
    <row r="276" spans="1:14" collapsed="1">
      <c r="A276" s="208" t="s">
        <v>1155</v>
      </c>
      <c r="B276" s="207" t="s">
        <v>304</v>
      </c>
      <c r="C276" s="214">
        <f t="shared" si="28"/>
        <v>-45.3125</v>
      </c>
      <c r="E276" s="210">
        <v>70</v>
      </c>
      <c r="F276" s="211">
        <v>128</v>
      </c>
      <c r="G276" s="219">
        <f t="shared" si="29"/>
        <v>-45.3125</v>
      </c>
      <c r="H276" s="216">
        <f t="shared" si="30"/>
        <v>0.47941921786179026</v>
      </c>
      <c r="I276" s="216">
        <f t="shared" si="31"/>
        <v>0.64344241693057858</v>
      </c>
      <c r="J276" s="210">
        <v>70</v>
      </c>
      <c r="K276" s="211">
        <v>128</v>
      </c>
      <c r="L276" s="219">
        <f t="shared" si="32"/>
        <v>-45.3125</v>
      </c>
      <c r="M276" s="216">
        <f t="shared" si="33"/>
        <v>0.47941921786179026</v>
      </c>
      <c r="N276" s="217">
        <f t="shared" si="34"/>
        <v>0.64344241693057858</v>
      </c>
    </row>
    <row r="277" spans="1:14" hidden="1" outlineLevel="1">
      <c r="A277" s="208"/>
      <c r="B277" s="218" t="s">
        <v>971</v>
      </c>
      <c r="C277" s="214">
        <f t="shared" si="28"/>
        <v>-17.647058823529413</v>
      </c>
      <c r="E277" s="210">
        <v>28</v>
      </c>
      <c r="F277" s="211">
        <v>34</v>
      </c>
      <c r="G277" s="219">
        <f t="shared" si="29"/>
        <v>-17.647058823529413</v>
      </c>
      <c r="H277" s="216">
        <f t="shared" si="30"/>
        <v>0.19176768714471609</v>
      </c>
      <c r="I277" s="216">
        <f t="shared" si="31"/>
        <v>0.17091439199718494</v>
      </c>
      <c r="J277" s="210">
        <v>28</v>
      </c>
      <c r="K277" s="211">
        <v>34</v>
      </c>
      <c r="L277" s="219">
        <f t="shared" si="32"/>
        <v>-17.647058823529413</v>
      </c>
      <c r="M277" s="216">
        <f t="shared" si="33"/>
        <v>0.19176768714471609</v>
      </c>
      <c r="N277" s="217">
        <f t="shared" si="34"/>
        <v>0.17091439199718494</v>
      </c>
    </row>
    <row r="278" spans="1:14" hidden="1" outlineLevel="1">
      <c r="A278" s="208"/>
      <c r="B278" s="218" t="s">
        <v>972</v>
      </c>
      <c r="C278" s="214">
        <f t="shared" si="28"/>
        <v>-55.26315789473685</v>
      </c>
      <c r="E278" s="210">
        <v>17</v>
      </c>
      <c r="F278" s="211">
        <v>38</v>
      </c>
      <c r="G278" s="219">
        <f t="shared" si="29"/>
        <v>-55.26315789473685</v>
      </c>
      <c r="H278" s="216">
        <f t="shared" si="30"/>
        <v>0.1164303814807205</v>
      </c>
      <c r="I278" s="216">
        <f t="shared" si="31"/>
        <v>0.19102196752626552</v>
      </c>
      <c r="J278" s="210">
        <v>17</v>
      </c>
      <c r="K278" s="211">
        <v>38</v>
      </c>
      <c r="L278" s="219">
        <f t="shared" si="32"/>
        <v>-55.26315789473685</v>
      </c>
      <c r="M278" s="216">
        <f t="shared" si="33"/>
        <v>0.1164303814807205</v>
      </c>
      <c r="N278" s="217">
        <f t="shared" si="34"/>
        <v>0.19102196752626552</v>
      </c>
    </row>
    <row r="279" spans="1:14" hidden="1" outlineLevel="1">
      <c r="A279" s="208"/>
      <c r="B279" s="218" t="s">
        <v>974</v>
      </c>
      <c r="C279" s="214">
        <f t="shared" si="28"/>
        <v>-12.5</v>
      </c>
      <c r="E279" s="210">
        <v>14</v>
      </c>
      <c r="F279" s="211">
        <v>16</v>
      </c>
      <c r="G279" s="219">
        <f t="shared" si="29"/>
        <v>-12.5</v>
      </c>
      <c r="H279" s="216">
        <f t="shared" si="30"/>
        <v>9.5883843572358046E-2</v>
      </c>
      <c r="I279" s="216">
        <f t="shared" si="31"/>
        <v>8.0430302116322322E-2</v>
      </c>
      <c r="J279" s="210">
        <v>14</v>
      </c>
      <c r="K279" s="211">
        <v>16</v>
      </c>
      <c r="L279" s="219">
        <f t="shared" si="32"/>
        <v>-12.5</v>
      </c>
      <c r="M279" s="216">
        <f t="shared" si="33"/>
        <v>9.5883843572358046E-2</v>
      </c>
      <c r="N279" s="217">
        <f t="shared" si="34"/>
        <v>8.0430302116322322E-2</v>
      </c>
    </row>
    <row r="280" spans="1:14" hidden="1" outlineLevel="1">
      <c r="A280" s="208"/>
      <c r="B280" s="218" t="s">
        <v>973</v>
      </c>
      <c r="C280" s="214">
        <f t="shared" si="28"/>
        <v>-74.358974358974365</v>
      </c>
      <c r="E280" s="210">
        <v>10</v>
      </c>
      <c r="F280" s="211">
        <v>39</v>
      </c>
      <c r="G280" s="219">
        <f t="shared" si="29"/>
        <v>-74.358974358974365</v>
      </c>
      <c r="H280" s="216">
        <f t="shared" si="30"/>
        <v>6.8488459694541468E-2</v>
      </c>
      <c r="I280" s="216">
        <f t="shared" si="31"/>
        <v>0.19604886140853567</v>
      </c>
      <c r="J280" s="210">
        <v>10</v>
      </c>
      <c r="K280" s="211">
        <v>39</v>
      </c>
      <c r="L280" s="219">
        <f t="shared" si="32"/>
        <v>-74.358974358974365</v>
      </c>
      <c r="M280" s="216">
        <f t="shared" si="33"/>
        <v>6.8488459694541468E-2</v>
      </c>
      <c r="N280" s="217">
        <f t="shared" si="34"/>
        <v>0.19604886140853567</v>
      </c>
    </row>
    <row r="281" spans="1:14" hidden="1" outlineLevel="1">
      <c r="A281" s="208"/>
      <c r="B281" s="218" t="s">
        <v>975</v>
      </c>
      <c r="C281" s="214">
        <f t="shared" si="28"/>
        <v>0</v>
      </c>
      <c r="E281" s="210">
        <v>1</v>
      </c>
      <c r="F281" s="211">
        <v>1</v>
      </c>
      <c r="G281" s="219">
        <f t="shared" si="29"/>
        <v>0</v>
      </c>
      <c r="H281" s="216">
        <f t="shared" si="30"/>
        <v>6.8488459694541464E-3</v>
      </c>
      <c r="I281" s="216">
        <f t="shared" si="31"/>
        <v>5.0268938822701451E-3</v>
      </c>
      <c r="J281" s="210">
        <v>1</v>
      </c>
      <c r="K281" s="211">
        <v>1</v>
      </c>
      <c r="L281" s="219">
        <f t="shared" si="32"/>
        <v>0</v>
      </c>
      <c r="M281" s="216">
        <f t="shared" si="33"/>
        <v>6.8488459694541464E-3</v>
      </c>
      <c r="N281" s="217">
        <f t="shared" si="34"/>
        <v>5.0268938822701451E-3</v>
      </c>
    </row>
    <row r="282" spans="1:14" collapsed="1">
      <c r="A282" s="208" t="s">
        <v>1156</v>
      </c>
      <c r="B282" s="207" t="s">
        <v>294</v>
      </c>
      <c r="C282" s="214">
        <f t="shared" si="28"/>
        <v>-53.260869565217398</v>
      </c>
      <c r="E282" s="210">
        <v>43</v>
      </c>
      <c r="F282" s="211">
        <v>92</v>
      </c>
      <c r="G282" s="219">
        <f t="shared" si="29"/>
        <v>-53.260869565217398</v>
      </c>
      <c r="H282" s="216">
        <f t="shared" si="30"/>
        <v>0.29450037668652834</v>
      </c>
      <c r="I282" s="216">
        <f t="shared" si="31"/>
        <v>0.46247423716885333</v>
      </c>
      <c r="J282" s="210">
        <v>43</v>
      </c>
      <c r="K282" s="211">
        <v>92</v>
      </c>
      <c r="L282" s="219">
        <f t="shared" si="32"/>
        <v>-53.260869565217398</v>
      </c>
      <c r="M282" s="216">
        <f t="shared" si="33"/>
        <v>0.29450037668652834</v>
      </c>
      <c r="N282" s="217">
        <f t="shared" si="34"/>
        <v>0.46247423716885333</v>
      </c>
    </row>
    <row r="283" spans="1:14" hidden="1" outlineLevel="1">
      <c r="A283" s="208"/>
      <c r="B283" s="218" t="s">
        <v>994</v>
      </c>
      <c r="C283" s="214">
        <f t="shared" si="28"/>
        <v>-43.39622641509434</v>
      </c>
      <c r="E283" s="210">
        <v>30</v>
      </c>
      <c r="F283" s="211">
        <v>53</v>
      </c>
      <c r="G283" s="219">
        <f t="shared" si="29"/>
        <v>-43.39622641509434</v>
      </c>
      <c r="H283" s="216">
        <f t="shared" si="30"/>
        <v>0.20546537908362442</v>
      </c>
      <c r="I283" s="216">
        <f t="shared" si="31"/>
        <v>0.26642537576031772</v>
      </c>
      <c r="J283" s="210">
        <v>30</v>
      </c>
      <c r="K283" s="211">
        <v>53</v>
      </c>
      <c r="L283" s="219">
        <f t="shared" si="32"/>
        <v>-43.39622641509434</v>
      </c>
      <c r="M283" s="216">
        <f t="shared" si="33"/>
        <v>0.20546537908362442</v>
      </c>
      <c r="N283" s="217">
        <f t="shared" si="34"/>
        <v>0.26642537576031772</v>
      </c>
    </row>
    <row r="284" spans="1:14" hidden="1" outlineLevel="1">
      <c r="A284" s="208"/>
      <c r="B284" s="218" t="s">
        <v>993</v>
      </c>
      <c r="C284" s="214">
        <f t="shared" si="28"/>
        <v>-66.666666666666657</v>
      </c>
      <c r="E284" s="210">
        <v>13</v>
      </c>
      <c r="F284" s="211">
        <v>39</v>
      </c>
      <c r="G284" s="219">
        <f t="shared" si="29"/>
        <v>-66.666666666666657</v>
      </c>
      <c r="H284" s="216">
        <f t="shared" si="30"/>
        <v>8.9034997602903912E-2</v>
      </c>
      <c r="I284" s="216">
        <f t="shared" si="31"/>
        <v>0.19604886140853567</v>
      </c>
      <c r="J284" s="210">
        <v>13</v>
      </c>
      <c r="K284" s="211">
        <v>39</v>
      </c>
      <c r="L284" s="219">
        <f t="shared" si="32"/>
        <v>-66.666666666666657</v>
      </c>
      <c r="M284" s="216">
        <f t="shared" si="33"/>
        <v>8.9034997602903912E-2</v>
      </c>
      <c r="N284" s="217">
        <f t="shared" si="34"/>
        <v>0.19604886140853567</v>
      </c>
    </row>
    <row r="285" spans="1:14" collapsed="1">
      <c r="A285" s="208" t="s">
        <v>1157</v>
      </c>
      <c r="B285" s="207" t="s">
        <v>1158</v>
      </c>
      <c r="C285" s="214" t="str">
        <f t="shared" si="28"/>
        <v/>
      </c>
      <c r="E285" s="210">
        <v>41</v>
      </c>
      <c r="F285" s="211">
        <v>0</v>
      </c>
      <c r="G285" s="219" t="str">
        <f t="shared" si="29"/>
        <v/>
      </c>
      <c r="H285" s="216">
        <f t="shared" si="30"/>
        <v>0.28080268474762005</v>
      </c>
      <c r="I285" s="216" t="str">
        <f t="shared" si="31"/>
        <v/>
      </c>
      <c r="J285" s="210">
        <v>41</v>
      </c>
      <c r="K285" s="211">
        <v>0</v>
      </c>
      <c r="L285" s="219" t="str">
        <f t="shared" si="32"/>
        <v/>
      </c>
      <c r="M285" s="216">
        <f t="shared" si="33"/>
        <v>0.28080268474762005</v>
      </c>
      <c r="N285" s="217" t="str">
        <f t="shared" si="34"/>
        <v/>
      </c>
    </row>
    <row r="286" spans="1:14" hidden="1" outlineLevel="1">
      <c r="A286" s="208"/>
      <c r="B286" s="218" t="s">
        <v>1159</v>
      </c>
      <c r="C286" s="214" t="str">
        <f t="shared" si="28"/>
        <v/>
      </c>
      <c r="E286" s="210">
        <v>21</v>
      </c>
      <c r="F286" s="211">
        <v>0</v>
      </c>
      <c r="G286" s="219" t="str">
        <f t="shared" si="29"/>
        <v/>
      </c>
      <c r="H286" s="216">
        <f t="shared" si="30"/>
        <v>0.14382576535853708</v>
      </c>
      <c r="I286" s="216" t="str">
        <f t="shared" si="31"/>
        <v/>
      </c>
      <c r="J286" s="210">
        <v>21</v>
      </c>
      <c r="K286" s="211">
        <v>0</v>
      </c>
      <c r="L286" s="219" t="str">
        <f t="shared" si="32"/>
        <v/>
      </c>
      <c r="M286" s="216">
        <f t="shared" si="33"/>
        <v>0.14382576535853708</v>
      </c>
      <c r="N286" s="217" t="str">
        <f t="shared" si="34"/>
        <v/>
      </c>
    </row>
    <row r="287" spans="1:14" hidden="1" outlineLevel="1">
      <c r="A287" s="208"/>
      <c r="B287" s="218" t="s">
        <v>1160</v>
      </c>
      <c r="C287" s="214" t="str">
        <f t="shared" si="28"/>
        <v/>
      </c>
      <c r="E287" s="210">
        <v>16</v>
      </c>
      <c r="F287" s="211">
        <v>0</v>
      </c>
      <c r="G287" s="219" t="str">
        <f t="shared" si="29"/>
        <v/>
      </c>
      <c r="H287" s="216">
        <f t="shared" si="30"/>
        <v>0.10958153551126634</v>
      </c>
      <c r="I287" s="216" t="str">
        <f t="shared" si="31"/>
        <v/>
      </c>
      <c r="J287" s="210">
        <v>16</v>
      </c>
      <c r="K287" s="211">
        <v>0</v>
      </c>
      <c r="L287" s="219" t="str">
        <f t="shared" si="32"/>
        <v/>
      </c>
      <c r="M287" s="216">
        <f t="shared" si="33"/>
        <v>0.10958153551126634</v>
      </c>
      <c r="N287" s="217" t="str">
        <f t="shared" si="34"/>
        <v/>
      </c>
    </row>
    <row r="288" spans="1:14" hidden="1" outlineLevel="1">
      <c r="A288" s="208"/>
      <c r="B288" s="218" t="s">
        <v>930</v>
      </c>
      <c r="C288" s="214" t="str">
        <f t="shared" si="28"/>
        <v/>
      </c>
      <c r="E288" s="210">
        <v>3</v>
      </c>
      <c r="F288" s="211">
        <v>0</v>
      </c>
      <c r="G288" s="219" t="str">
        <f t="shared" si="29"/>
        <v/>
      </c>
      <c r="H288" s="216">
        <f t="shared" si="30"/>
        <v>2.0546537908362441E-2</v>
      </c>
      <c r="I288" s="216" t="str">
        <f t="shared" si="31"/>
        <v/>
      </c>
      <c r="J288" s="210">
        <v>3</v>
      </c>
      <c r="K288" s="211">
        <v>0</v>
      </c>
      <c r="L288" s="219" t="str">
        <f t="shared" si="32"/>
        <v/>
      </c>
      <c r="M288" s="216">
        <f t="shared" si="33"/>
        <v>2.0546537908362441E-2</v>
      </c>
      <c r="N288" s="217" t="str">
        <f t="shared" si="34"/>
        <v/>
      </c>
    </row>
    <row r="289" spans="1:14" hidden="1" outlineLevel="1">
      <c r="A289" s="208"/>
      <c r="B289" s="218" t="s">
        <v>933</v>
      </c>
      <c r="C289" s="214" t="str">
        <f t="shared" si="28"/>
        <v/>
      </c>
      <c r="E289" s="210">
        <v>1</v>
      </c>
      <c r="F289" s="211">
        <v>0</v>
      </c>
      <c r="G289" s="219" t="str">
        <f t="shared" si="29"/>
        <v/>
      </c>
      <c r="H289" s="216">
        <f t="shared" si="30"/>
        <v>6.8488459694541464E-3</v>
      </c>
      <c r="I289" s="216" t="str">
        <f t="shared" si="31"/>
        <v/>
      </c>
      <c r="J289" s="210">
        <v>1</v>
      </c>
      <c r="K289" s="211">
        <v>0</v>
      </c>
      <c r="L289" s="219" t="str">
        <f t="shared" si="32"/>
        <v/>
      </c>
      <c r="M289" s="216">
        <f t="shared" si="33"/>
        <v>6.8488459694541464E-3</v>
      </c>
      <c r="N289" s="217" t="str">
        <f t="shared" si="34"/>
        <v/>
      </c>
    </row>
    <row r="290" spans="1:14" collapsed="1">
      <c r="A290" s="208" t="s">
        <v>1161</v>
      </c>
      <c r="B290" s="207" t="s">
        <v>279</v>
      </c>
      <c r="C290" s="214">
        <f t="shared" si="28"/>
        <v>-38.983050847457626</v>
      </c>
      <c r="E290" s="210">
        <v>36</v>
      </c>
      <c r="F290" s="211">
        <v>59</v>
      </c>
      <c r="G290" s="219">
        <f t="shared" si="29"/>
        <v>-38.983050847457626</v>
      </c>
      <c r="H290" s="216">
        <f t="shared" si="30"/>
        <v>0.24655845490034931</v>
      </c>
      <c r="I290" s="216">
        <f t="shared" si="31"/>
        <v>0.29658673905393856</v>
      </c>
      <c r="J290" s="210">
        <v>36</v>
      </c>
      <c r="K290" s="211">
        <v>59</v>
      </c>
      <c r="L290" s="219">
        <f t="shared" si="32"/>
        <v>-38.983050847457626</v>
      </c>
      <c r="M290" s="216">
        <f t="shared" si="33"/>
        <v>0.24655845490034931</v>
      </c>
      <c r="N290" s="217">
        <f t="shared" si="34"/>
        <v>0.29658673905393856</v>
      </c>
    </row>
    <row r="291" spans="1:14" hidden="1" outlineLevel="1">
      <c r="A291" s="208"/>
      <c r="B291" s="218" t="s">
        <v>952</v>
      </c>
      <c r="C291" s="214">
        <f t="shared" si="28"/>
        <v>-15.151515151515152</v>
      </c>
      <c r="E291" s="210">
        <v>28</v>
      </c>
      <c r="F291" s="211">
        <v>33</v>
      </c>
      <c r="G291" s="219">
        <f t="shared" si="29"/>
        <v>-15.151515151515152</v>
      </c>
      <c r="H291" s="216">
        <f t="shared" si="30"/>
        <v>0.19176768714471609</v>
      </c>
      <c r="I291" s="216">
        <f t="shared" si="31"/>
        <v>0.16588749811491479</v>
      </c>
      <c r="J291" s="210">
        <v>28</v>
      </c>
      <c r="K291" s="211">
        <v>33</v>
      </c>
      <c r="L291" s="219">
        <f t="shared" si="32"/>
        <v>-15.151515151515152</v>
      </c>
      <c r="M291" s="216">
        <f t="shared" si="33"/>
        <v>0.19176768714471609</v>
      </c>
      <c r="N291" s="217">
        <f t="shared" si="34"/>
        <v>0.16588749811491479</v>
      </c>
    </row>
    <row r="292" spans="1:14" hidden="1" outlineLevel="1">
      <c r="A292" s="208"/>
      <c r="B292" s="218">
        <v>500</v>
      </c>
      <c r="C292" s="214">
        <f t="shared" si="28"/>
        <v>-68.181818181818173</v>
      </c>
      <c r="E292" s="210">
        <v>7</v>
      </c>
      <c r="F292" s="211">
        <v>22</v>
      </c>
      <c r="G292" s="219">
        <f t="shared" si="29"/>
        <v>-68.181818181818173</v>
      </c>
      <c r="H292" s="216">
        <f t="shared" si="30"/>
        <v>4.7941921786179023E-2</v>
      </c>
      <c r="I292" s="216">
        <f t="shared" si="31"/>
        <v>0.1105916654099432</v>
      </c>
      <c r="J292" s="210">
        <v>7</v>
      </c>
      <c r="K292" s="211">
        <v>22</v>
      </c>
      <c r="L292" s="219">
        <f t="shared" si="32"/>
        <v>-68.181818181818173</v>
      </c>
      <c r="M292" s="216">
        <f t="shared" si="33"/>
        <v>4.7941921786179023E-2</v>
      </c>
      <c r="N292" s="217">
        <f t="shared" si="34"/>
        <v>0.1105916654099432</v>
      </c>
    </row>
    <row r="293" spans="1:14" hidden="1" outlineLevel="1">
      <c r="A293" s="208"/>
      <c r="B293" s="218" t="s">
        <v>953</v>
      </c>
      <c r="C293" s="214" t="str">
        <f t="shared" si="28"/>
        <v/>
      </c>
      <c r="E293" s="210">
        <v>1</v>
      </c>
      <c r="F293" s="211">
        <v>0</v>
      </c>
      <c r="G293" s="219" t="str">
        <f t="shared" si="29"/>
        <v/>
      </c>
      <c r="H293" s="216">
        <f t="shared" si="30"/>
        <v>6.8488459694541464E-3</v>
      </c>
      <c r="I293" s="216" t="str">
        <f t="shared" si="31"/>
        <v/>
      </c>
      <c r="J293" s="210">
        <v>1</v>
      </c>
      <c r="K293" s="211">
        <v>0</v>
      </c>
      <c r="L293" s="219" t="str">
        <f t="shared" si="32"/>
        <v/>
      </c>
      <c r="M293" s="216">
        <f t="shared" si="33"/>
        <v>6.8488459694541464E-3</v>
      </c>
      <c r="N293" s="217" t="str">
        <f t="shared" si="34"/>
        <v/>
      </c>
    </row>
    <row r="294" spans="1:14" hidden="1" outlineLevel="1">
      <c r="A294" s="208"/>
      <c r="B294" s="218" t="s">
        <v>954</v>
      </c>
      <c r="C294" s="214">
        <f t="shared" si="28"/>
        <v>-100</v>
      </c>
      <c r="E294" s="210">
        <v>0</v>
      </c>
      <c r="F294" s="211">
        <v>4</v>
      </c>
      <c r="G294" s="219">
        <f t="shared" si="29"/>
        <v>-100</v>
      </c>
      <c r="H294" s="216" t="str">
        <f t="shared" si="30"/>
        <v/>
      </c>
      <c r="I294" s="216">
        <f t="shared" si="31"/>
        <v>2.010757552908058E-2</v>
      </c>
      <c r="J294" s="210">
        <v>0</v>
      </c>
      <c r="K294" s="211">
        <v>4</v>
      </c>
      <c r="L294" s="219">
        <f t="shared" si="32"/>
        <v>-100</v>
      </c>
      <c r="M294" s="216" t="str">
        <f t="shared" si="33"/>
        <v/>
      </c>
      <c r="N294" s="217">
        <f t="shared" si="34"/>
        <v>2.010757552908058E-2</v>
      </c>
    </row>
    <row r="295" spans="1:14" collapsed="1">
      <c r="A295" s="208" t="s">
        <v>1097</v>
      </c>
      <c r="B295" s="207" t="s">
        <v>310</v>
      </c>
      <c r="C295" s="214">
        <f t="shared" si="28"/>
        <v>-31.578947368421051</v>
      </c>
      <c r="E295" s="210">
        <v>26</v>
      </c>
      <c r="F295" s="211">
        <v>38</v>
      </c>
      <c r="G295" s="219">
        <f t="shared" si="29"/>
        <v>-31.578947368421051</v>
      </c>
      <c r="H295" s="216">
        <f t="shared" si="30"/>
        <v>0.17806999520580782</v>
      </c>
      <c r="I295" s="216">
        <f t="shared" si="31"/>
        <v>0.19102196752626552</v>
      </c>
      <c r="J295" s="210">
        <v>26</v>
      </c>
      <c r="K295" s="211">
        <v>38</v>
      </c>
      <c r="L295" s="219">
        <f t="shared" si="32"/>
        <v>-31.578947368421051</v>
      </c>
      <c r="M295" s="216">
        <f t="shared" si="33"/>
        <v>0.17806999520580782</v>
      </c>
      <c r="N295" s="217">
        <f t="shared" si="34"/>
        <v>0.19102196752626552</v>
      </c>
    </row>
    <row r="296" spans="1:14" hidden="1" outlineLevel="1">
      <c r="A296" s="208"/>
      <c r="B296" s="218">
        <v>4</v>
      </c>
      <c r="C296" s="214" t="str">
        <f t="shared" si="28"/>
        <v/>
      </c>
      <c r="E296" s="210">
        <v>12</v>
      </c>
      <c r="F296" s="211">
        <v>0</v>
      </c>
      <c r="G296" s="219" t="str">
        <f t="shared" si="29"/>
        <v/>
      </c>
      <c r="H296" s="216">
        <f t="shared" si="30"/>
        <v>8.2186151633449764E-2</v>
      </c>
      <c r="I296" s="216" t="str">
        <f t="shared" si="31"/>
        <v/>
      </c>
      <c r="J296" s="210">
        <v>12</v>
      </c>
      <c r="K296" s="211">
        <v>0</v>
      </c>
      <c r="L296" s="219" t="str">
        <f t="shared" si="32"/>
        <v/>
      </c>
      <c r="M296" s="216">
        <f t="shared" si="33"/>
        <v>8.2186151633449764E-2</v>
      </c>
      <c r="N296" s="217" t="str">
        <f t="shared" si="34"/>
        <v/>
      </c>
    </row>
    <row r="297" spans="1:14" hidden="1" outlineLevel="1">
      <c r="A297" s="208"/>
      <c r="B297" s="218">
        <v>3</v>
      </c>
      <c r="C297" s="214">
        <f t="shared" si="28"/>
        <v>120</v>
      </c>
      <c r="E297" s="210">
        <v>11</v>
      </c>
      <c r="F297" s="211">
        <v>5</v>
      </c>
      <c r="G297" s="219">
        <f t="shared" si="29"/>
        <v>120</v>
      </c>
      <c r="H297" s="216">
        <f t="shared" si="30"/>
        <v>7.5337305663995616E-2</v>
      </c>
      <c r="I297" s="216">
        <f t="shared" si="31"/>
        <v>2.5134469411350724E-2</v>
      </c>
      <c r="J297" s="210">
        <v>11</v>
      </c>
      <c r="K297" s="211">
        <v>5</v>
      </c>
      <c r="L297" s="219">
        <f t="shared" si="32"/>
        <v>120</v>
      </c>
      <c r="M297" s="216">
        <f t="shared" si="33"/>
        <v>7.5337305663995616E-2</v>
      </c>
      <c r="N297" s="217">
        <f t="shared" si="34"/>
        <v>2.5134469411350724E-2</v>
      </c>
    </row>
    <row r="298" spans="1:14" hidden="1" outlineLevel="1">
      <c r="A298" s="208"/>
      <c r="B298" s="218">
        <v>7</v>
      </c>
      <c r="C298" s="214">
        <f t="shared" si="28"/>
        <v>-90.909090909090907</v>
      </c>
      <c r="E298" s="210">
        <v>3</v>
      </c>
      <c r="F298" s="211">
        <v>33</v>
      </c>
      <c r="G298" s="219">
        <f t="shared" si="29"/>
        <v>-90.909090909090907</v>
      </c>
      <c r="H298" s="216">
        <f t="shared" si="30"/>
        <v>2.0546537908362441E-2</v>
      </c>
      <c r="I298" s="216">
        <f t="shared" si="31"/>
        <v>0.16588749811491479</v>
      </c>
      <c r="J298" s="210">
        <v>3</v>
      </c>
      <c r="K298" s="211">
        <v>33</v>
      </c>
      <c r="L298" s="219">
        <f t="shared" si="32"/>
        <v>-90.909090909090907</v>
      </c>
      <c r="M298" s="216">
        <f t="shared" si="33"/>
        <v>2.0546537908362441E-2</v>
      </c>
      <c r="N298" s="217">
        <f t="shared" si="34"/>
        <v>0.16588749811491479</v>
      </c>
    </row>
    <row r="299" spans="1:14" collapsed="1">
      <c r="A299" s="208" t="s">
        <v>1162</v>
      </c>
      <c r="B299" s="207" t="s">
        <v>281</v>
      </c>
      <c r="C299" s="214">
        <f t="shared" si="28"/>
        <v>-62.68656716417911</v>
      </c>
      <c r="E299" s="210">
        <v>25</v>
      </c>
      <c r="F299" s="211">
        <v>67</v>
      </c>
      <c r="G299" s="219">
        <f t="shared" si="29"/>
        <v>-62.68656716417911</v>
      </c>
      <c r="H299" s="216">
        <f t="shared" si="30"/>
        <v>0.17122114923635368</v>
      </c>
      <c r="I299" s="216">
        <f t="shared" si="31"/>
        <v>0.33680189011209971</v>
      </c>
      <c r="J299" s="210">
        <v>25</v>
      </c>
      <c r="K299" s="211">
        <v>67</v>
      </c>
      <c r="L299" s="219">
        <f t="shared" si="32"/>
        <v>-62.68656716417911</v>
      </c>
      <c r="M299" s="216">
        <f t="shared" si="33"/>
        <v>0.17122114923635368</v>
      </c>
      <c r="N299" s="217">
        <f t="shared" si="34"/>
        <v>0.33680189011209971</v>
      </c>
    </row>
    <row r="300" spans="1:14" hidden="1" outlineLevel="1">
      <c r="A300" s="208"/>
      <c r="B300" s="218" t="s">
        <v>985</v>
      </c>
      <c r="C300" s="214">
        <f t="shared" si="28"/>
        <v>-23.076923076923077</v>
      </c>
      <c r="E300" s="210">
        <v>10</v>
      </c>
      <c r="F300" s="211">
        <v>13</v>
      </c>
      <c r="G300" s="219">
        <f t="shared" si="29"/>
        <v>-23.076923076923077</v>
      </c>
      <c r="H300" s="216">
        <f t="shared" si="30"/>
        <v>6.8488459694541468E-2</v>
      </c>
      <c r="I300" s="216">
        <f t="shared" si="31"/>
        <v>6.5349620469511885E-2</v>
      </c>
      <c r="J300" s="210">
        <v>10</v>
      </c>
      <c r="K300" s="211">
        <v>13</v>
      </c>
      <c r="L300" s="219">
        <f t="shared" si="32"/>
        <v>-23.076923076923077</v>
      </c>
      <c r="M300" s="216">
        <f t="shared" si="33"/>
        <v>6.8488459694541468E-2</v>
      </c>
      <c r="N300" s="217">
        <f t="shared" si="34"/>
        <v>6.5349620469511885E-2</v>
      </c>
    </row>
    <row r="301" spans="1:14" hidden="1" outlineLevel="1">
      <c r="A301" s="208"/>
      <c r="B301" s="218" t="s">
        <v>986</v>
      </c>
      <c r="C301" s="214">
        <f t="shared" si="28"/>
        <v>100</v>
      </c>
      <c r="E301" s="210">
        <v>8</v>
      </c>
      <c r="F301" s="211">
        <v>4</v>
      </c>
      <c r="G301" s="219">
        <f t="shared" si="29"/>
        <v>100</v>
      </c>
      <c r="H301" s="216">
        <f t="shared" si="30"/>
        <v>5.4790767755633171E-2</v>
      </c>
      <c r="I301" s="216">
        <f t="shared" si="31"/>
        <v>2.010757552908058E-2</v>
      </c>
      <c r="J301" s="210">
        <v>8</v>
      </c>
      <c r="K301" s="211">
        <v>4</v>
      </c>
      <c r="L301" s="219">
        <f t="shared" si="32"/>
        <v>100</v>
      </c>
      <c r="M301" s="216">
        <f t="shared" si="33"/>
        <v>5.4790767755633171E-2</v>
      </c>
      <c r="N301" s="217">
        <f t="shared" si="34"/>
        <v>2.010757552908058E-2</v>
      </c>
    </row>
    <row r="302" spans="1:14" hidden="1" outlineLevel="1">
      <c r="A302" s="208"/>
      <c r="B302" s="218" t="s">
        <v>988</v>
      </c>
      <c r="C302" s="214">
        <f t="shared" si="28"/>
        <v>-55.555555555555557</v>
      </c>
      <c r="E302" s="210">
        <v>4</v>
      </c>
      <c r="F302" s="211">
        <v>9</v>
      </c>
      <c r="G302" s="219">
        <f t="shared" si="29"/>
        <v>-55.555555555555557</v>
      </c>
      <c r="H302" s="216">
        <f t="shared" si="30"/>
        <v>2.7395383877816586E-2</v>
      </c>
      <c r="I302" s="216">
        <f t="shared" si="31"/>
        <v>4.5242044940431304E-2</v>
      </c>
      <c r="J302" s="210">
        <v>4</v>
      </c>
      <c r="K302" s="211">
        <v>9</v>
      </c>
      <c r="L302" s="219">
        <f t="shared" si="32"/>
        <v>-55.555555555555557</v>
      </c>
      <c r="M302" s="216">
        <f t="shared" si="33"/>
        <v>2.7395383877816586E-2</v>
      </c>
      <c r="N302" s="217">
        <f t="shared" si="34"/>
        <v>4.5242044940431304E-2</v>
      </c>
    </row>
    <row r="303" spans="1:14" hidden="1" outlineLevel="1">
      <c r="A303" s="208"/>
      <c r="B303" s="218" t="s">
        <v>987</v>
      </c>
      <c r="C303" s="214">
        <f t="shared" si="28"/>
        <v>-88.235294117647058</v>
      </c>
      <c r="E303" s="210">
        <v>2</v>
      </c>
      <c r="F303" s="211">
        <v>17</v>
      </c>
      <c r="G303" s="219">
        <f t="shared" si="29"/>
        <v>-88.235294117647058</v>
      </c>
      <c r="H303" s="216">
        <f t="shared" si="30"/>
        <v>1.3697691938908293E-2</v>
      </c>
      <c r="I303" s="216">
        <f t="shared" si="31"/>
        <v>8.5457195998592472E-2</v>
      </c>
      <c r="J303" s="210">
        <v>2</v>
      </c>
      <c r="K303" s="211">
        <v>17</v>
      </c>
      <c r="L303" s="219">
        <f t="shared" si="32"/>
        <v>-88.235294117647058</v>
      </c>
      <c r="M303" s="216">
        <f t="shared" si="33"/>
        <v>1.3697691938908293E-2</v>
      </c>
      <c r="N303" s="217">
        <f t="shared" si="34"/>
        <v>8.5457195998592472E-2</v>
      </c>
    </row>
    <row r="304" spans="1:14" hidden="1" outlineLevel="1">
      <c r="A304" s="208"/>
      <c r="B304" s="218" t="s">
        <v>984</v>
      </c>
      <c r="C304" s="214">
        <f t="shared" si="28"/>
        <v>-95.833333333333343</v>
      </c>
      <c r="E304" s="210">
        <v>1</v>
      </c>
      <c r="F304" s="211">
        <v>24</v>
      </c>
      <c r="G304" s="219">
        <f t="shared" si="29"/>
        <v>-95.833333333333343</v>
      </c>
      <c r="H304" s="216">
        <f t="shared" si="30"/>
        <v>6.8488459694541464E-3</v>
      </c>
      <c r="I304" s="216">
        <f t="shared" si="31"/>
        <v>0.12064545317448348</v>
      </c>
      <c r="J304" s="210">
        <v>1</v>
      </c>
      <c r="K304" s="211">
        <v>24</v>
      </c>
      <c r="L304" s="219">
        <f t="shared" si="32"/>
        <v>-95.833333333333343</v>
      </c>
      <c r="M304" s="216">
        <f t="shared" si="33"/>
        <v>6.8488459694541464E-3</v>
      </c>
      <c r="N304" s="217">
        <f t="shared" si="34"/>
        <v>0.12064545317448348</v>
      </c>
    </row>
    <row r="305" spans="1:14" collapsed="1">
      <c r="A305" s="208" t="s">
        <v>1098</v>
      </c>
      <c r="B305" s="207" t="s">
        <v>288</v>
      </c>
      <c r="C305" s="214">
        <f t="shared" si="28"/>
        <v>-30.303030303030305</v>
      </c>
      <c r="E305" s="210">
        <v>23</v>
      </c>
      <c r="F305" s="211">
        <v>33</v>
      </c>
      <c r="G305" s="219">
        <f t="shared" si="29"/>
        <v>-30.303030303030305</v>
      </c>
      <c r="H305" s="216">
        <f t="shared" si="30"/>
        <v>0.15752345729744538</v>
      </c>
      <c r="I305" s="216">
        <f t="shared" si="31"/>
        <v>0.16588749811491479</v>
      </c>
      <c r="J305" s="210">
        <v>23</v>
      </c>
      <c r="K305" s="211">
        <v>33</v>
      </c>
      <c r="L305" s="219">
        <f t="shared" si="32"/>
        <v>-30.303030303030305</v>
      </c>
      <c r="M305" s="216">
        <f t="shared" si="33"/>
        <v>0.15752345729744538</v>
      </c>
      <c r="N305" s="217">
        <f t="shared" si="34"/>
        <v>0.16588749811491479</v>
      </c>
    </row>
    <row r="306" spans="1:14" hidden="1" outlineLevel="1">
      <c r="A306" s="208"/>
      <c r="B306" s="218" t="s">
        <v>995</v>
      </c>
      <c r="C306" s="214">
        <f t="shared" si="28"/>
        <v>-25</v>
      </c>
      <c r="E306" s="210">
        <v>12</v>
      </c>
      <c r="F306" s="211">
        <v>16</v>
      </c>
      <c r="G306" s="219">
        <f t="shared" si="29"/>
        <v>-25</v>
      </c>
      <c r="H306" s="216">
        <f t="shared" si="30"/>
        <v>8.2186151633449764E-2</v>
      </c>
      <c r="I306" s="216">
        <f t="shared" si="31"/>
        <v>8.0430302116322322E-2</v>
      </c>
      <c r="J306" s="210">
        <v>12</v>
      </c>
      <c r="K306" s="211">
        <v>16</v>
      </c>
      <c r="L306" s="219">
        <f t="shared" si="32"/>
        <v>-25</v>
      </c>
      <c r="M306" s="216">
        <f t="shared" si="33"/>
        <v>8.2186151633449764E-2</v>
      </c>
      <c r="N306" s="217">
        <f t="shared" si="34"/>
        <v>8.0430302116322322E-2</v>
      </c>
    </row>
    <row r="307" spans="1:14" hidden="1" outlineLevel="1">
      <c r="A307" s="208"/>
      <c r="B307" s="218" t="s">
        <v>996</v>
      </c>
      <c r="C307" s="214">
        <f t="shared" si="28"/>
        <v>14.285714285714285</v>
      </c>
      <c r="E307" s="210">
        <v>8</v>
      </c>
      <c r="F307" s="211">
        <v>7</v>
      </c>
      <c r="G307" s="219">
        <f t="shared" si="29"/>
        <v>14.285714285714285</v>
      </c>
      <c r="H307" s="216">
        <f t="shared" si="30"/>
        <v>5.4790767755633171E-2</v>
      </c>
      <c r="I307" s="216">
        <f t="shared" si="31"/>
        <v>3.5188257175891018E-2</v>
      </c>
      <c r="J307" s="210">
        <v>8</v>
      </c>
      <c r="K307" s="211">
        <v>7</v>
      </c>
      <c r="L307" s="219">
        <f t="shared" si="32"/>
        <v>14.285714285714285</v>
      </c>
      <c r="M307" s="216">
        <f t="shared" si="33"/>
        <v>5.4790767755633171E-2</v>
      </c>
      <c r="N307" s="217">
        <f t="shared" si="34"/>
        <v>3.5188257175891018E-2</v>
      </c>
    </row>
    <row r="308" spans="1:14" hidden="1" outlineLevel="1">
      <c r="A308" s="208"/>
      <c r="B308" s="218" t="s">
        <v>998</v>
      </c>
      <c r="C308" s="214">
        <f t="shared" si="28"/>
        <v>0</v>
      </c>
      <c r="E308" s="210">
        <v>3</v>
      </c>
      <c r="F308" s="211">
        <v>3</v>
      </c>
      <c r="G308" s="219">
        <f t="shared" si="29"/>
        <v>0</v>
      </c>
      <c r="H308" s="216">
        <f t="shared" si="30"/>
        <v>2.0546537908362441E-2</v>
      </c>
      <c r="I308" s="216">
        <f t="shared" si="31"/>
        <v>1.5080681646810435E-2</v>
      </c>
      <c r="J308" s="210">
        <v>3</v>
      </c>
      <c r="K308" s="211">
        <v>3</v>
      </c>
      <c r="L308" s="219">
        <f t="shared" si="32"/>
        <v>0</v>
      </c>
      <c r="M308" s="216">
        <f t="shared" si="33"/>
        <v>2.0546537908362441E-2</v>
      </c>
      <c r="N308" s="217">
        <f t="shared" si="34"/>
        <v>1.5080681646810435E-2</v>
      </c>
    </row>
    <row r="309" spans="1:14" hidden="1" outlineLevel="1">
      <c r="A309" s="208"/>
      <c r="B309" s="218" t="s">
        <v>997</v>
      </c>
      <c r="C309" s="214">
        <f t="shared" si="28"/>
        <v>-100</v>
      </c>
      <c r="E309" s="210">
        <v>0</v>
      </c>
      <c r="F309" s="211">
        <v>7</v>
      </c>
      <c r="G309" s="219">
        <f t="shared" si="29"/>
        <v>-100</v>
      </c>
      <c r="H309" s="216" t="str">
        <f t="shared" si="30"/>
        <v/>
      </c>
      <c r="I309" s="216">
        <f t="shared" si="31"/>
        <v>3.5188257175891018E-2</v>
      </c>
      <c r="J309" s="210">
        <v>0</v>
      </c>
      <c r="K309" s="211">
        <v>7</v>
      </c>
      <c r="L309" s="219">
        <f t="shared" si="32"/>
        <v>-100</v>
      </c>
      <c r="M309" s="216" t="str">
        <f t="shared" si="33"/>
        <v/>
      </c>
      <c r="N309" s="217">
        <f t="shared" si="34"/>
        <v>3.5188257175891018E-2</v>
      </c>
    </row>
    <row r="310" spans="1:14" collapsed="1">
      <c r="A310" s="208" t="s">
        <v>1163</v>
      </c>
      <c r="B310" s="207" t="s">
        <v>540</v>
      </c>
      <c r="C310" s="214" t="str">
        <f t="shared" si="28"/>
        <v/>
      </c>
      <c r="E310" s="210">
        <v>18</v>
      </c>
      <c r="F310" s="211">
        <v>0</v>
      </c>
      <c r="G310" s="219" t="str">
        <f t="shared" si="29"/>
        <v/>
      </c>
      <c r="H310" s="216">
        <f t="shared" si="30"/>
        <v>0.12327922745017465</v>
      </c>
      <c r="I310" s="216" t="str">
        <f t="shared" si="31"/>
        <v/>
      </c>
      <c r="J310" s="210">
        <v>18</v>
      </c>
      <c r="K310" s="211">
        <v>0</v>
      </c>
      <c r="L310" s="219" t="str">
        <f t="shared" si="32"/>
        <v/>
      </c>
      <c r="M310" s="216">
        <f t="shared" si="33"/>
        <v>0.12327922745017465</v>
      </c>
      <c r="N310" s="217" t="str">
        <f t="shared" si="34"/>
        <v/>
      </c>
    </row>
    <row r="311" spans="1:14" hidden="1" outlineLevel="1">
      <c r="A311" s="208"/>
      <c r="B311" s="218" t="s">
        <v>1080</v>
      </c>
      <c r="C311" s="214" t="str">
        <f t="shared" si="28"/>
        <v/>
      </c>
      <c r="E311" s="210">
        <v>9</v>
      </c>
      <c r="F311" s="211">
        <v>0</v>
      </c>
      <c r="G311" s="219" t="str">
        <f t="shared" si="29"/>
        <v/>
      </c>
      <c r="H311" s="216">
        <f t="shared" si="30"/>
        <v>6.1639613725087326E-2</v>
      </c>
      <c r="I311" s="216" t="str">
        <f t="shared" si="31"/>
        <v/>
      </c>
      <c r="J311" s="210">
        <v>9</v>
      </c>
      <c r="K311" s="211">
        <v>0</v>
      </c>
      <c r="L311" s="219" t="str">
        <f t="shared" si="32"/>
        <v/>
      </c>
      <c r="M311" s="216">
        <f t="shared" si="33"/>
        <v>6.1639613725087326E-2</v>
      </c>
      <c r="N311" s="217" t="str">
        <f t="shared" si="34"/>
        <v/>
      </c>
    </row>
    <row r="312" spans="1:14" hidden="1" outlineLevel="1">
      <c r="A312" s="208"/>
      <c r="B312" s="218" t="s">
        <v>1164</v>
      </c>
      <c r="C312" s="214" t="str">
        <f t="shared" si="28"/>
        <v/>
      </c>
      <c r="E312" s="210">
        <v>8</v>
      </c>
      <c r="F312" s="211">
        <v>0</v>
      </c>
      <c r="G312" s="219" t="str">
        <f t="shared" si="29"/>
        <v/>
      </c>
      <c r="H312" s="216">
        <f t="shared" si="30"/>
        <v>5.4790767755633171E-2</v>
      </c>
      <c r="I312" s="216" t="str">
        <f t="shared" si="31"/>
        <v/>
      </c>
      <c r="J312" s="210">
        <v>8</v>
      </c>
      <c r="K312" s="211">
        <v>0</v>
      </c>
      <c r="L312" s="219" t="str">
        <f t="shared" si="32"/>
        <v/>
      </c>
      <c r="M312" s="216">
        <f t="shared" si="33"/>
        <v>5.4790767755633171E-2</v>
      </c>
      <c r="N312" s="217" t="str">
        <f t="shared" si="34"/>
        <v/>
      </c>
    </row>
    <row r="313" spans="1:14" hidden="1" outlineLevel="1">
      <c r="A313" s="208"/>
      <c r="B313" s="218" t="s">
        <v>1068</v>
      </c>
      <c r="C313" s="214" t="str">
        <f t="shared" si="28"/>
        <v/>
      </c>
      <c r="E313" s="210">
        <v>1</v>
      </c>
      <c r="F313" s="211">
        <v>0</v>
      </c>
      <c r="G313" s="219" t="str">
        <f t="shared" si="29"/>
        <v/>
      </c>
      <c r="H313" s="216">
        <f t="shared" si="30"/>
        <v>6.8488459694541464E-3</v>
      </c>
      <c r="I313" s="216" t="str">
        <f t="shared" si="31"/>
        <v/>
      </c>
      <c r="J313" s="210">
        <v>1</v>
      </c>
      <c r="K313" s="211">
        <v>0</v>
      </c>
      <c r="L313" s="219" t="str">
        <f t="shared" si="32"/>
        <v/>
      </c>
      <c r="M313" s="216">
        <f t="shared" si="33"/>
        <v>6.8488459694541464E-3</v>
      </c>
      <c r="N313" s="217" t="str">
        <f t="shared" si="34"/>
        <v/>
      </c>
    </row>
    <row r="314" spans="1:14" collapsed="1">
      <c r="A314" s="208" t="s">
        <v>1165</v>
      </c>
      <c r="B314" s="207" t="s">
        <v>1099</v>
      </c>
      <c r="C314" s="214" t="str">
        <f t="shared" si="28"/>
        <v/>
      </c>
      <c r="E314" s="210">
        <v>10</v>
      </c>
      <c r="F314" s="211">
        <v>0</v>
      </c>
      <c r="G314" s="219" t="str">
        <f t="shared" si="29"/>
        <v/>
      </c>
      <c r="H314" s="216">
        <f t="shared" si="30"/>
        <v>6.8488459694541468E-2</v>
      </c>
      <c r="I314" s="216" t="str">
        <f t="shared" si="31"/>
        <v/>
      </c>
      <c r="J314" s="210">
        <v>10</v>
      </c>
      <c r="K314" s="211">
        <v>0</v>
      </c>
      <c r="L314" s="219" t="str">
        <f t="shared" si="32"/>
        <v/>
      </c>
      <c r="M314" s="216">
        <f t="shared" si="33"/>
        <v>6.8488459694541468E-2</v>
      </c>
      <c r="N314" s="217" t="str">
        <f t="shared" si="34"/>
        <v/>
      </c>
    </row>
    <row r="315" spans="1:14" hidden="1" outlineLevel="1">
      <c r="A315" s="208"/>
      <c r="B315" s="218" t="s">
        <v>1100</v>
      </c>
      <c r="C315" s="214" t="str">
        <f t="shared" si="28"/>
        <v/>
      </c>
      <c r="E315" s="210">
        <v>10</v>
      </c>
      <c r="F315" s="211">
        <v>0</v>
      </c>
      <c r="G315" s="219" t="str">
        <f t="shared" si="29"/>
        <v/>
      </c>
      <c r="H315" s="216">
        <f t="shared" si="30"/>
        <v>6.8488459694541468E-2</v>
      </c>
      <c r="I315" s="216" t="str">
        <f t="shared" si="31"/>
        <v/>
      </c>
      <c r="J315" s="210">
        <v>10</v>
      </c>
      <c r="K315" s="211">
        <v>0</v>
      </c>
      <c r="L315" s="219" t="str">
        <f t="shared" si="32"/>
        <v/>
      </c>
      <c r="M315" s="216">
        <f t="shared" si="33"/>
        <v>6.8488459694541468E-2</v>
      </c>
      <c r="N315" s="217" t="str">
        <f t="shared" si="34"/>
        <v/>
      </c>
    </row>
    <row r="316" spans="1:14" collapsed="1">
      <c r="A316" s="208" t="s">
        <v>1166</v>
      </c>
      <c r="B316" s="207" t="s">
        <v>444</v>
      </c>
      <c r="C316" s="214">
        <f t="shared" si="28"/>
        <v>50</v>
      </c>
      <c r="E316" s="210">
        <v>6</v>
      </c>
      <c r="F316" s="211">
        <v>4</v>
      </c>
      <c r="G316" s="219">
        <f t="shared" si="29"/>
        <v>50</v>
      </c>
      <c r="H316" s="216">
        <f t="shared" si="30"/>
        <v>4.1093075816724882E-2</v>
      </c>
      <c r="I316" s="216">
        <f t="shared" si="31"/>
        <v>2.010757552908058E-2</v>
      </c>
      <c r="J316" s="210">
        <v>6</v>
      </c>
      <c r="K316" s="211">
        <v>4</v>
      </c>
      <c r="L316" s="219">
        <f t="shared" si="32"/>
        <v>50</v>
      </c>
      <c r="M316" s="216">
        <f t="shared" si="33"/>
        <v>4.1093075816724882E-2</v>
      </c>
      <c r="N316" s="217">
        <f t="shared" si="34"/>
        <v>2.010757552908058E-2</v>
      </c>
    </row>
    <row r="317" spans="1:14" hidden="1" outlineLevel="1">
      <c r="A317" s="208"/>
      <c r="B317" s="218" t="s">
        <v>1003</v>
      </c>
      <c r="C317" s="214">
        <f t="shared" si="28"/>
        <v>50</v>
      </c>
      <c r="E317" s="210">
        <v>6</v>
      </c>
      <c r="F317" s="211">
        <v>4</v>
      </c>
      <c r="G317" s="219">
        <f t="shared" si="29"/>
        <v>50</v>
      </c>
      <c r="H317" s="216">
        <f t="shared" si="30"/>
        <v>4.1093075816724882E-2</v>
      </c>
      <c r="I317" s="216">
        <f t="shared" si="31"/>
        <v>2.010757552908058E-2</v>
      </c>
      <c r="J317" s="210">
        <v>6</v>
      </c>
      <c r="K317" s="211">
        <v>4</v>
      </c>
      <c r="L317" s="219">
        <f t="shared" si="32"/>
        <v>50</v>
      </c>
      <c r="M317" s="216">
        <f t="shared" si="33"/>
        <v>4.1093075816724882E-2</v>
      </c>
      <c r="N317" s="217">
        <f t="shared" si="34"/>
        <v>2.010757552908058E-2</v>
      </c>
    </row>
    <row r="318" spans="1:14" collapsed="1">
      <c r="A318" s="208" t="s">
        <v>1167</v>
      </c>
      <c r="B318" s="207" t="s">
        <v>276</v>
      </c>
      <c r="C318" s="214" t="str">
        <f t="shared" si="28"/>
        <v/>
      </c>
      <c r="E318" s="210">
        <v>5</v>
      </c>
      <c r="F318" s="211">
        <v>0</v>
      </c>
      <c r="G318" s="219" t="str">
        <f t="shared" si="29"/>
        <v/>
      </c>
      <c r="H318" s="216">
        <f t="shared" si="30"/>
        <v>3.4244229847270734E-2</v>
      </c>
      <c r="I318" s="216" t="str">
        <f t="shared" si="31"/>
        <v/>
      </c>
      <c r="J318" s="210">
        <v>5</v>
      </c>
      <c r="K318" s="211">
        <v>0</v>
      </c>
      <c r="L318" s="219" t="str">
        <f t="shared" si="32"/>
        <v/>
      </c>
      <c r="M318" s="216">
        <f t="shared" si="33"/>
        <v>3.4244229847270734E-2</v>
      </c>
      <c r="N318" s="217" t="str">
        <f t="shared" si="34"/>
        <v/>
      </c>
    </row>
    <row r="319" spans="1:14" hidden="1" outlineLevel="1">
      <c r="A319" s="208"/>
      <c r="B319" s="218" t="s">
        <v>1007</v>
      </c>
      <c r="C319" s="214" t="str">
        <f t="shared" si="28"/>
        <v/>
      </c>
      <c r="E319" s="210">
        <v>4</v>
      </c>
      <c r="F319" s="211">
        <v>0</v>
      </c>
      <c r="G319" s="219" t="str">
        <f t="shared" si="29"/>
        <v/>
      </c>
      <c r="H319" s="216">
        <f t="shared" si="30"/>
        <v>2.7395383877816586E-2</v>
      </c>
      <c r="I319" s="216" t="str">
        <f t="shared" si="31"/>
        <v/>
      </c>
      <c r="J319" s="210">
        <v>4</v>
      </c>
      <c r="K319" s="211">
        <v>0</v>
      </c>
      <c r="L319" s="219" t="str">
        <f t="shared" si="32"/>
        <v/>
      </c>
      <c r="M319" s="216">
        <f t="shared" si="33"/>
        <v>2.7395383877816586E-2</v>
      </c>
      <c r="N319" s="217" t="str">
        <f t="shared" si="34"/>
        <v/>
      </c>
    </row>
    <row r="320" spans="1:14" hidden="1" outlineLevel="1">
      <c r="A320" s="208"/>
      <c r="B320" s="218" t="s">
        <v>309</v>
      </c>
      <c r="C320" s="214" t="str">
        <f t="shared" si="28"/>
        <v/>
      </c>
      <c r="E320" s="210">
        <v>1</v>
      </c>
      <c r="F320" s="211">
        <v>0</v>
      </c>
      <c r="G320" s="219" t="str">
        <f t="shared" si="29"/>
        <v/>
      </c>
      <c r="H320" s="216">
        <f t="shared" si="30"/>
        <v>6.8488459694541464E-3</v>
      </c>
      <c r="I320" s="216" t="str">
        <f t="shared" si="31"/>
        <v/>
      </c>
      <c r="J320" s="210">
        <v>1</v>
      </c>
      <c r="K320" s="211">
        <v>0</v>
      </c>
      <c r="L320" s="219" t="str">
        <f t="shared" si="32"/>
        <v/>
      </c>
      <c r="M320" s="216">
        <f t="shared" si="33"/>
        <v>6.8488459694541464E-3</v>
      </c>
      <c r="N320" s="217" t="str">
        <f t="shared" si="34"/>
        <v/>
      </c>
    </row>
    <row r="321" spans="1:14" collapsed="1">
      <c r="A321" s="208" t="s">
        <v>1168</v>
      </c>
      <c r="B321" s="207" t="s">
        <v>272</v>
      </c>
      <c r="C321" s="214">
        <f t="shared" si="28"/>
        <v>100</v>
      </c>
      <c r="E321" s="210">
        <v>4</v>
      </c>
      <c r="F321" s="211">
        <v>2</v>
      </c>
      <c r="G321" s="219">
        <f t="shared" si="29"/>
        <v>100</v>
      </c>
      <c r="H321" s="216">
        <f t="shared" si="30"/>
        <v>2.7395383877816586E-2</v>
      </c>
      <c r="I321" s="216">
        <f t="shared" si="31"/>
        <v>1.005378776454029E-2</v>
      </c>
      <c r="J321" s="210">
        <v>4</v>
      </c>
      <c r="K321" s="211">
        <v>2</v>
      </c>
      <c r="L321" s="219">
        <f t="shared" si="32"/>
        <v>100</v>
      </c>
      <c r="M321" s="216">
        <f t="shared" si="33"/>
        <v>2.7395383877816586E-2</v>
      </c>
      <c r="N321" s="217">
        <f t="shared" si="34"/>
        <v>1.005378776454029E-2</v>
      </c>
    </row>
    <row r="322" spans="1:14" hidden="1" outlineLevel="1">
      <c r="A322" s="208"/>
      <c r="B322" s="218" t="s">
        <v>1008</v>
      </c>
      <c r="C322" s="214">
        <f t="shared" si="28"/>
        <v>100</v>
      </c>
      <c r="E322" s="210">
        <v>4</v>
      </c>
      <c r="F322" s="211">
        <v>2</v>
      </c>
      <c r="G322" s="219">
        <f t="shared" si="29"/>
        <v>100</v>
      </c>
      <c r="H322" s="216">
        <f t="shared" si="30"/>
        <v>2.7395383877816586E-2</v>
      </c>
      <c r="I322" s="216">
        <f t="shared" si="31"/>
        <v>1.005378776454029E-2</v>
      </c>
      <c r="J322" s="210">
        <v>4</v>
      </c>
      <c r="K322" s="211">
        <v>2</v>
      </c>
      <c r="L322" s="219">
        <f t="shared" si="32"/>
        <v>100</v>
      </c>
      <c r="M322" s="216">
        <f t="shared" si="33"/>
        <v>2.7395383877816586E-2</v>
      </c>
      <c r="N322" s="217">
        <f t="shared" si="34"/>
        <v>1.005378776454029E-2</v>
      </c>
    </row>
    <row r="323" spans="1:14" collapsed="1">
      <c r="A323" s="208" t="s">
        <v>1169</v>
      </c>
      <c r="B323" s="207" t="s">
        <v>284</v>
      </c>
      <c r="C323" s="214">
        <f t="shared" si="28"/>
        <v>300</v>
      </c>
      <c r="E323" s="210">
        <v>4</v>
      </c>
      <c r="F323" s="211">
        <v>1</v>
      </c>
      <c r="G323" s="219">
        <f t="shared" si="29"/>
        <v>300</v>
      </c>
      <c r="H323" s="216">
        <f t="shared" si="30"/>
        <v>2.7395383877816586E-2</v>
      </c>
      <c r="I323" s="216">
        <f t="shared" si="31"/>
        <v>5.0268938822701451E-3</v>
      </c>
      <c r="J323" s="210">
        <v>4</v>
      </c>
      <c r="K323" s="211">
        <v>1</v>
      </c>
      <c r="L323" s="219">
        <f t="shared" si="32"/>
        <v>300</v>
      </c>
      <c r="M323" s="216">
        <f t="shared" si="33"/>
        <v>2.7395383877816586E-2</v>
      </c>
      <c r="N323" s="217">
        <f t="shared" si="34"/>
        <v>5.0268938822701451E-3</v>
      </c>
    </row>
    <row r="324" spans="1:14" hidden="1" outlineLevel="1">
      <c r="A324" s="208"/>
      <c r="B324" s="218" t="s">
        <v>1001</v>
      </c>
      <c r="C324" s="214" t="str">
        <f t="shared" si="28"/>
        <v/>
      </c>
      <c r="E324" s="210">
        <v>4</v>
      </c>
      <c r="F324" s="211">
        <v>0</v>
      </c>
      <c r="G324" s="219" t="str">
        <f t="shared" si="29"/>
        <v/>
      </c>
      <c r="H324" s="216">
        <f t="shared" si="30"/>
        <v>2.7395383877816586E-2</v>
      </c>
      <c r="I324" s="216" t="str">
        <f t="shared" si="31"/>
        <v/>
      </c>
      <c r="J324" s="210">
        <v>4</v>
      </c>
      <c r="K324" s="211">
        <v>0</v>
      </c>
      <c r="L324" s="219" t="str">
        <f t="shared" si="32"/>
        <v/>
      </c>
      <c r="M324" s="216">
        <f t="shared" si="33"/>
        <v>2.7395383877816586E-2</v>
      </c>
      <c r="N324" s="217" t="str">
        <f t="shared" si="34"/>
        <v/>
      </c>
    </row>
    <row r="325" spans="1:14" hidden="1" outlineLevel="1">
      <c r="A325" s="208"/>
      <c r="B325" s="218" t="s">
        <v>1002</v>
      </c>
      <c r="C325" s="214">
        <f t="shared" si="28"/>
        <v>-100</v>
      </c>
      <c r="E325" s="210">
        <v>0</v>
      </c>
      <c r="F325" s="211">
        <v>1</v>
      </c>
      <c r="G325" s="219">
        <f t="shared" si="29"/>
        <v>-100</v>
      </c>
      <c r="H325" s="216" t="str">
        <f t="shared" si="30"/>
        <v/>
      </c>
      <c r="I325" s="216">
        <f t="shared" si="31"/>
        <v>5.0268938822701451E-3</v>
      </c>
      <c r="J325" s="210">
        <v>0</v>
      </c>
      <c r="K325" s="211">
        <v>1</v>
      </c>
      <c r="L325" s="219">
        <f t="shared" si="32"/>
        <v>-100</v>
      </c>
      <c r="M325" s="216" t="str">
        <f t="shared" si="33"/>
        <v/>
      </c>
      <c r="N325" s="217">
        <f t="shared" si="34"/>
        <v>5.0268938822701451E-3</v>
      </c>
    </row>
    <row r="326" spans="1:14" collapsed="1">
      <c r="A326" s="208" t="s">
        <v>1170</v>
      </c>
      <c r="B326" s="207" t="s">
        <v>710</v>
      </c>
      <c r="C326" s="214" t="str">
        <f t="shared" si="28"/>
        <v/>
      </c>
      <c r="E326" s="210">
        <v>3</v>
      </c>
      <c r="F326" s="211">
        <v>0</v>
      </c>
      <c r="G326" s="219" t="str">
        <f t="shared" si="29"/>
        <v/>
      </c>
      <c r="H326" s="216">
        <f t="shared" si="30"/>
        <v>2.0546537908362441E-2</v>
      </c>
      <c r="I326" s="216" t="str">
        <f t="shared" si="31"/>
        <v/>
      </c>
      <c r="J326" s="210">
        <v>3</v>
      </c>
      <c r="K326" s="211">
        <v>0</v>
      </c>
      <c r="L326" s="219" t="str">
        <f t="shared" si="32"/>
        <v/>
      </c>
      <c r="M326" s="216">
        <f t="shared" si="33"/>
        <v>2.0546537908362441E-2</v>
      </c>
      <c r="N326" s="217" t="str">
        <f t="shared" si="34"/>
        <v/>
      </c>
    </row>
    <row r="327" spans="1:14" hidden="1" outlineLevel="1">
      <c r="A327" s="208"/>
      <c r="B327" s="218" t="s">
        <v>710</v>
      </c>
      <c r="C327" s="214" t="str">
        <f t="shared" si="28"/>
        <v/>
      </c>
      <c r="E327" s="210">
        <v>1</v>
      </c>
      <c r="F327" s="211">
        <v>0</v>
      </c>
      <c r="G327" s="219" t="str">
        <f t="shared" si="29"/>
        <v/>
      </c>
      <c r="H327" s="216">
        <f t="shared" si="30"/>
        <v>6.8488459694541464E-3</v>
      </c>
      <c r="I327" s="216" t="str">
        <f t="shared" si="31"/>
        <v/>
      </c>
      <c r="J327" s="210">
        <v>1</v>
      </c>
      <c r="K327" s="211">
        <v>0</v>
      </c>
      <c r="L327" s="219" t="str">
        <f t="shared" si="32"/>
        <v/>
      </c>
      <c r="M327" s="216">
        <f t="shared" si="33"/>
        <v>6.8488459694541464E-3</v>
      </c>
      <c r="N327" s="217" t="str">
        <f t="shared" si="34"/>
        <v/>
      </c>
    </row>
    <row r="328" spans="1:14" hidden="1" outlineLevel="1">
      <c r="A328" s="208"/>
      <c r="B328" s="218" t="s">
        <v>1006</v>
      </c>
      <c r="C328" s="214" t="str">
        <f t="shared" si="28"/>
        <v/>
      </c>
      <c r="E328" s="210">
        <v>1</v>
      </c>
      <c r="F328" s="211">
        <v>0</v>
      </c>
      <c r="G328" s="219" t="str">
        <f t="shared" si="29"/>
        <v/>
      </c>
      <c r="H328" s="216">
        <f t="shared" si="30"/>
        <v>6.8488459694541464E-3</v>
      </c>
      <c r="I328" s="216" t="str">
        <f t="shared" si="31"/>
        <v/>
      </c>
      <c r="J328" s="210">
        <v>1</v>
      </c>
      <c r="K328" s="211">
        <v>0</v>
      </c>
      <c r="L328" s="219" t="str">
        <f t="shared" si="32"/>
        <v/>
      </c>
      <c r="M328" s="216">
        <f t="shared" si="33"/>
        <v>6.8488459694541464E-3</v>
      </c>
      <c r="N328" s="217" t="str">
        <f t="shared" si="34"/>
        <v/>
      </c>
    </row>
    <row r="329" spans="1:14" hidden="1" outlineLevel="1">
      <c r="A329" s="208"/>
      <c r="B329" s="218">
        <v>812</v>
      </c>
      <c r="C329" s="214" t="str">
        <f t="shared" si="28"/>
        <v/>
      </c>
      <c r="E329" s="210">
        <v>1</v>
      </c>
      <c r="F329" s="211">
        <v>0</v>
      </c>
      <c r="G329" s="219" t="str">
        <f t="shared" si="29"/>
        <v/>
      </c>
      <c r="H329" s="216">
        <f t="shared" si="30"/>
        <v>6.8488459694541464E-3</v>
      </c>
      <c r="I329" s="216" t="str">
        <f t="shared" si="31"/>
        <v/>
      </c>
      <c r="J329" s="210">
        <v>1</v>
      </c>
      <c r="K329" s="211">
        <v>0</v>
      </c>
      <c r="L329" s="219" t="str">
        <f t="shared" si="32"/>
        <v/>
      </c>
      <c r="M329" s="216">
        <f t="shared" si="33"/>
        <v>6.8488459694541464E-3</v>
      </c>
      <c r="N329" s="217" t="str">
        <f t="shared" si="34"/>
        <v/>
      </c>
    </row>
    <row r="330" spans="1:14" collapsed="1">
      <c r="A330" s="208" t="s">
        <v>1171</v>
      </c>
      <c r="B330" s="207" t="s">
        <v>274</v>
      </c>
      <c r="C330" s="214">
        <f t="shared" ref="C330:C355" si="35">IF(K330=0,"",SUM(((J330-K330)/K330)*100))</f>
        <v>-33.333333333333329</v>
      </c>
      <c r="E330" s="210">
        <v>2</v>
      </c>
      <c r="F330" s="211">
        <v>3</v>
      </c>
      <c r="G330" s="219">
        <f t="shared" ref="G330:G355" si="36">IF(F330=0,"",SUM(((E330-F330)/F330)*100))</f>
        <v>-33.333333333333329</v>
      </c>
      <c r="H330" s="216">
        <f t="shared" ref="H330:H355" si="37">IF(E330=0,"",SUM((E330/CntPeriod)*100))</f>
        <v>1.3697691938908293E-2</v>
      </c>
      <c r="I330" s="216">
        <f t="shared" ref="I330:I355" si="38">IF(F330=0,"",SUM((F330/CntPeriodPrevYear)*100))</f>
        <v>1.5080681646810435E-2</v>
      </c>
      <c r="J330" s="210">
        <v>2</v>
      </c>
      <c r="K330" s="211">
        <v>3</v>
      </c>
      <c r="L330" s="219">
        <f t="shared" ref="L330:L355" si="39">IF(K330=0,"",SUM(((J330-K330)/K330)*100))</f>
        <v>-33.333333333333329</v>
      </c>
      <c r="M330" s="216">
        <f t="shared" ref="M330:M355" si="40">IF(J330=0,"",SUM((J330/CntYearAck)*100))</f>
        <v>1.3697691938908293E-2</v>
      </c>
      <c r="N330" s="217">
        <f t="shared" ref="N330:N355" si="41">IF(K330=0,"",SUM((K330/CntPrevYearAck)*100))</f>
        <v>1.5080681646810435E-2</v>
      </c>
    </row>
    <row r="331" spans="1:14" hidden="1" outlineLevel="1">
      <c r="A331" s="208"/>
      <c r="B331" s="218" t="s">
        <v>1010</v>
      </c>
      <c r="C331" s="214">
        <f t="shared" si="35"/>
        <v>-66.666666666666657</v>
      </c>
      <c r="E331" s="210">
        <v>1</v>
      </c>
      <c r="F331" s="211">
        <v>3</v>
      </c>
      <c r="G331" s="219">
        <f t="shared" si="36"/>
        <v>-66.666666666666657</v>
      </c>
      <c r="H331" s="216">
        <f t="shared" si="37"/>
        <v>6.8488459694541464E-3</v>
      </c>
      <c r="I331" s="216">
        <f t="shared" si="38"/>
        <v>1.5080681646810435E-2</v>
      </c>
      <c r="J331" s="210">
        <v>1</v>
      </c>
      <c r="K331" s="211">
        <v>3</v>
      </c>
      <c r="L331" s="219">
        <f t="shared" si="39"/>
        <v>-66.666666666666657</v>
      </c>
      <c r="M331" s="216">
        <f t="shared" si="40"/>
        <v>6.8488459694541464E-3</v>
      </c>
      <c r="N331" s="217">
        <f t="shared" si="41"/>
        <v>1.5080681646810435E-2</v>
      </c>
    </row>
    <row r="332" spans="1:14" hidden="1" outlineLevel="1">
      <c r="A332" s="208"/>
      <c r="B332" s="218" t="s">
        <v>1011</v>
      </c>
      <c r="C332" s="214" t="str">
        <f t="shared" si="35"/>
        <v/>
      </c>
      <c r="E332" s="210">
        <v>1</v>
      </c>
      <c r="F332" s="211">
        <v>0</v>
      </c>
      <c r="G332" s="219" t="str">
        <f t="shared" si="36"/>
        <v/>
      </c>
      <c r="H332" s="216">
        <f t="shared" si="37"/>
        <v>6.8488459694541464E-3</v>
      </c>
      <c r="I332" s="216" t="str">
        <f t="shared" si="38"/>
        <v/>
      </c>
      <c r="J332" s="210">
        <v>1</v>
      </c>
      <c r="K332" s="211">
        <v>0</v>
      </c>
      <c r="L332" s="219" t="str">
        <f t="shared" si="39"/>
        <v/>
      </c>
      <c r="M332" s="216">
        <f t="shared" si="40"/>
        <v>6.8488459694541464E-3</v>
      </c>
      <c r="N332" s="217" t="str">
        <f t="shared" si="41"/>
        <v/>
      </c>
    </row>
    <row r="333" spans="1:14" collapsed="1">
      <c r="A333" s="208" t="s">
        <v>1172</v>
      </c>
      <c r="B333" s="207" t="s">
        <v>1004</v>
      </c>
      <c r="C333" s="214">
        <f t="shared" si="35"/>
        <v>-33.333333333333329</v>
      </c>
      <c r="E333" s="210">
        <v>2</v>
      </c>
      <c r="F333" s="211">
        <v>3</v>
      </c>
      <c r="G333" s="219">
        <f t="shared" si="36"/>
        <v>-33.333333333333329</v>
      </c>
      <c r="H333" s="216">
        <f t="shared" si="37"/>
        <v>1.3697691938908293E-2</v>
      </c>
      <c r="I333" s="216">
        <f t="shared" si="38"/>
        <v>1.5080681646810435E-2</v>
      </c>
      <c r="J333" s="210">
        <v>2</v>
      </c>
      <c r="K333" s="211">
        <v>3</v>
      </c>
      <c r="L333" s="219">
        <f t="shared" si="39"/>
        <v>-33.333333333333329</v>
      </c>
      <c r="M333" s="216">
        <f t="shared" si="40"/>
        <v>1.3697691938908293E-2</v>
      </c>
      <c r="N333" s="217">
        <f t="shared" si="41"/>
        <v>1.5080681646810435E-2</v>
      </c>
    </row>
    <row r="334" spans="1:14" hidden="1" outlineLevel="1">
      <c r="A334" s="208"/>
      <c r="B334" s="218" t="s">
        <v>1005</v>
      </c>
      <c r="C334" s="214">
        <f t="shared" si="35"/>
        <v>-33.333333333333329</v>
      </c>
      <c r="E334" s="210">
        <v>2</v>
      </c>
      <c r="F334" s="211">
        <v>3</v>
      </c>
      <c r="G334" s="219">
        <f t="shared" si="36"/>
        <v>-33.333333333333329</v>
      </c>
      <c r="H334" s="216">
        <f t="shared" si="37"/>
        <v>1.3697691938908293E-2</v>
      </c>
      <c r="I334" s="216">
        <f t="shared" si="38"/>
        <v>1.5080681646810435E-2</v>
      </c>
      <c r="J334" s="210">
        <v>2</v>
      </c>
      <c r="K334" s="211">
        <v>3</v>
      </c>
      <c r="L334" s="219">
        <f t="shared" si="39"/>
        <v>-33.333333333333329</v>
      </c>
      <c r="M334" s="216">
        <f t="shared" si="40"/>
        <v>1.3697691938908293E-2</v>
      </c>
      <c r="N334" s="217">
        <f t="shared" si="41"/>
        <v>1.5080681646810435E-2</v>
      </c>
    </row>
    <row r="335" spans="1:14" collapsed="1">
      <c r="A335" s="208" t="s">
        <v>1173</v>
      </c>
      <c r="B335" s="207" t="s">
        <v>1012</v>
      </c>
      <c r="C335" s="214">
        <f t="shared" si="35"/>
        <v>0</v>
      </c>
      <c r="E335" s="210">
        <v>2</v>
      </c>
      <c r="F335" s="211">
        <v>2</v>
      </c>
      <c r="G335" s="219">
        <f t="shared" si="36"/>
        <v>0</v>
      </c>
      <c r="H335" s="216">
        <f t="shared" si="37"/>
        <v>1.3697691938908293E-2</v>
      </c>
      <c r="I335" s="216">
        <f t="shared" si="38"/>
        <v>1.005378776454029E-2</v>
      </c>
      <c r="J335" s="210">
        <v>2</v>
      </c>
      <c r="K335" s="211">
        <v>2</v>
      </c>
      <c r="L335" s="219">
        <f t="shared" si="39"/>
        <v>0</v>
      </c>
      <c r="M335" s="216">
        <f t="shared" si="40"/>
        <v>1.3697691938908293E-2</v>
      </c>
      <c r="N335" s="217">
        <f t="shared" si="41"/>
        <v>1.005378776454029E-2</v>
      </c>
    </row>
    <row r="336" spans="1:14" hidden="1" outlineLevel="1">
      <c r="A336" s="208"/>
      <c r="B336" s="218" t="s">
        <v>1012</v>
      </c>
      <c r="C336" s="214">
        <f t="shared" si="35"/>
        <v>0</v>
      </c>
      <c r="E336" s="210">
        <v>2</v>
      </c>
      <c r="F336" s="211">
        <v>2</v>
      </c>
      <c r="G336" s="219">
        <f t="shared" si="36"/>
        <v>0</v>
      </c>
      <c r="H336" s="216">
        <f t="shared" si="37"/>
        <v>1.3697691938908293E-2</v>
      </c>
      <c r="I336" s="216">
        <f t="shared" si="38"/>
        <v>1.005378776454029E-2</v>
      </c>
      <c r="J336" s="210">
        <v>2</v>
      </c>
      <c r="K336" s="211">
        <v>2</v>
      </c>
      <c r="L336" s="219">
        <f t="shared" si="39"/>
        <v>0</v>
      </c>
      <c r="M336" s="216">
        <f t="shared" si="40"/>
        <v>1.3697691938908293E-2</v>
      </c>
      <c r="N336" s="217">
        <f t="shared" si="41"/>
        <v>1.005378776454029E-2</v>
      </c>
    </row>
    <row r="337" spans="1:14" collapsed="1">
      <c r="A337" s="208" t="s">
        <v>1174</v>
      </c>
      <c r="B337" s="207" t="s">
        <v>709</v>
      </c>
      <c r="C337" s="214" t="str">
        <f t="shared" si="35"/>
        <v/>
      </c>
      <c r="E337" s="210">
        <v>2</v>
      </c>
      <c r="F337" s="211">
        <v>0</v>
      </c>
      <c r="G337" s="219" t="str">
        <f t="shared" si="36"/>
        <v/>
      </c>
      <c r="H337" s="216">
        <f t="shared" si="37"/>
        <v>1.3697691938908293E-2</v>
      </c>
      <c r="I337" s="216" t="str">
        <f t="shared" si="38"/>
        <v/>
      </c>
      <c r="J337" s="210">
        <v>2</v>
      </c>
      <c r="K337" s="211">
        <v>0</v>
      </c>
      <c r="L337" s="219" t="str">
        <f t="shared" si="39"/>
        <v/>
      </c>
      <c r="M337" s="216">
        <f t="shared" si="40"/>
        <v>1.3697691938908293E-2</v>
      </c>
      <c r="N337" s="217" t="str">
        <f t="shared" si="41"/>
        <v/>
      </c>
    </row>
    <row r="338" spans="1:14" hidden="1" outlineLevel="1">
      <c r="A338" s="208"/>
      <c r="B338" s="218" t="s">
        <v>1014</v>
      </c>
      <c r="C338" s="214" t="str">
        <f t="shared" si="35"/>
        <v/>
      </c>
      <c r="E338" s="210">
        <v>2</v>
      </c>
      <c r="F338" s="211">
        <v>0</v>
      </c>
      <c r="G338" s="219" t="str">
        <f t="shared" si="36"/>
        <v/>
      </c>
      <c r="H338" s="216">
        <f t="shared" si="37"/>
        <v>1.3697691938908293E-2</v>
      </c>
      <c r="I338" s="216" t="str">
        <f t="shared" si="38"/>
        <v/>
      </c>
      <c r="J338" s="210">
        <v>2</v>
      </c>
      <c r="K338" s="211">
        <v>0</v>
      </c>
      <c r="L338" s="219" t="str">
        <f t="shared" si="39"/>
        <v/>
      </c>
      <c r="M338" s="216">
        <f t="shared" si="40"/>
        <v>1.3697691938908293E-2</v>
      </c>
      <c r="N338" s="217" t="str">
        <f t="shared" si="41"/>
        <v/>
      </c>
    </row>
    <row r="339" spans="1:14" collapsed="1">
      <c r="A339" s="208" t="s">
        <v>1175</v>
      </c>
      <c r="B339" s="207" t="s">
        <v>287</v>
      </c>
      <c r="C339" s="214">
        <f t="shared" si="35"/>
        <v>-75</v>
      </c>
      <c r="E339" s="210">
        <v>1</v>
      </c>
      <c r="F339" s="211">
        <v>4</v>
      </c>
      <c r="G339" s="219">
        <f t="shared" si="36"/>
        <v>-75</v>
      </c>
      <c r="H339" s="216">
        <f t="shared" si="37"/>
        <v>6.8488459694541464E-3</v>
      </c>
      <c r="I339" s="216">
        <f t="shared" si="38"/>
        <v>2.010757552908058E-2</v>
      </c>
      <c r="J339" s="210">
        <v>1</v>
      </c>
      <c r="K339" s="211">
        <v>4</v>
      </c>
      <c r="L339" s="219">
        <f t="shared" si="39"/>
        <v>-75</v>
      </c>
      <c r="M339" s="216">
        <f t="shared" si="40"/>
        <v>6.8488459694541464E-3</v>
      </c>
      <c r="N339" s="217">
        <f t="shared" si="41"/>
        <v>2.010757552908058E-2</v>
      </c>
    </row>
    <row r="340" spans="1:14" hidden="1" outlineLevel="1">
      <c r="A340" s="208"/>
      <c r="B340" s="218" t="s">
        <v>287</v>
      </c>
      <c r="C340" s="214">
        <f t="shared" si="35"/>
        <v>-75</v>
      </c>
      <c r="E340" s="210">
        <v>1</v>
      </c>
      <c r="F340" s="211">
        <v>4</v>
      </c>
      <c r="G340" s="219">
        <f t="shared" si="36"/>
        <v>-75</v>
      </c>
      <c r="H340" s="216">
        <f t="shared" si="37"/>
        <v>6.8488459694541464E-3</v>
      </c>
      <c r="I340" s="216">
        <f t="shared" si="38"/>
        <v>2.010757552908058E-2</v>
      </c>
      <c r="J340" s="210">
        <v>1</v>
      </c>
      <c r="K340" s="211">
        <v>4</v>
      </c>
      <c r="L340" s="219">
        <f t="shared" si="39"/>
        <v>-75</v>
      </c>
      <c r="M340" s="216">
        <f t="shared" si="40"/>
        <v>6.8488459694541464E-3</v>
      </c>
      <c r="N340" s="217">
        <f t="shared" si="41"/>
        <v>2.010757552908058E-2</v>
      </c>
    </row>
    <row r="341" spans="1:14" collapsed="1">
      <c r="A341" s="208" t="s">
        <v>1176</v>
      </c>
      <c r="B341" s="207" t="s">
        <v>283</v>
      </c>
      <c r="C341" s="214">
        <f t="shared" si="35"/>
        <v>-50</v>
      </c>
      <c r="E341" s="210">
        <v>1</v>
      </c>
      <c r="F341" s="211">
        <v>2</v>
      </c>
      <c r="G341" s="219">
        <f t="shared" si="36"/>
        <v>-50</v>
      </c>
      <c r="H341" s="216">
        <f t="shared" si="37"/>
        <v>6.8488459694541464E-3</v>
      </c>
      <c r="I341" s="216">
        <f t="shared" si="38"/>
        <v>1.005378776454029E-2</v>
      </c>
      <c r="J341" s="210">
        <v>1</v>
      </c>
      <c r="K341" s="211">
        <v>2</v>
      </c>
      <c r="L341" s="219">
        <f t="shared" si="39"/>
        <v>-50</v>
      </c>
      <c r="M341" s="216">
        <f t="shared" si="40"/>
        <v>6.8488459694541464E-3</v>
      </c>
      <c r="N341" s="217">
        <f t="shared" si="41"/>
        <v>1.005378776454029E-2</v>
      </c>
    </row>
    <row r="342" spans="1:14" hidden="1" outlineLevel="1">
      <c r="A342" s="208"/>
      <c r="B342" s="218" t="s">
        <v>1009</v>
      </c>
      <c r="C342" s="214">
        <f t="shared" si="35"/>
        <v>-50</v>
      </c>
      <c r="E342" s="210">
        <v>1</v>
      </c>
      <c r="F342" s="211">
        <v>2</v>
      </c>
      <c r="G342" s="219">
        <f t="shared" si="36"/>
        <v>-50</v>
      </c>
      <c r="H342" s="216">
        <f t="shared" si="37"/>
        <v>6.8488459694541464E-3</v>
      </c>
      <c r="I342" s="216">
        <f t="shared" si="38"/>
        <v>1.005378776454029E-2</v>
      </c>
      <c r="J342" s="210">
        <v>1</v>
      </c>
      <c r="K342" s="211">
        <v>2</v>
      </c>
      <c r="L342" s="219">
        <f t="shared" si="39"/>
        <v>-50</v>
      </c>
      <c r="M342" s="216">
        <f t="shared" si="40"/>
        <v>6.8488459694541464E-3</v>
      </c>
      <c r="N342" s="217">
        <f t="shared" si="41"/>
        <v>1.005378776454029E-2</v>
      </c>
    </row>
    <row r="343" spans="1:14" collapsed="1">
      <c r="A343" s="208" t="s">
        <v>1177</v>
      </c>
      <c r="B343" s="207" t="s">
        <v>1118</v>
      </c>
      <c r="C343" s="214" t="str">
        <f t="shared" si="35"/>
        <v/>
      </c>
      <c r="E343" s="210">
        <v>1</v>
      </c>
      <c r="F343" s="211">
        <v>0</v>
      </c>
      <c r="G343" s="219" t="str">
        <f t="shared" si="36"/>
        <v/>
      </c>
      <c r="H343" s="216">
        <f t="shared" si="37"/>
        <v>6.8488459694541464E-3</v>
      </c>
      <c r="I343" s="216" t="str">
        <f t="shared" si="38"/>
        <v/>
      </c>
      <c r="J343" s="210">
        <v>1</v>
      </c>
      <c r="K343" s="211">
        <v>0</v>
      </c>
      <c r="L343" s="219" t="str">
        <f t="shared" si="39"/>
        <v/>
      </c>
      <c r="M343" s="216">
        <f t="shared" si="40"/>
        <v>6.8488459694541464E-3</v>
      </c>
      <c r="N343" s="217" t="str">
        <f t="shared" si="41"/>
        <v/>
      </c>
    </row>
    <row r="344" spans="1:14" hidden="1" outlineLevel="1">
      <c r="A344" s="208"/>
      <c r="B344" s="218" t="s">
        <v>1178</v>
      </c>
      <c r="C344" s="214" t="str">
        <f t="shared" si="35"/>
        <v/>
      </c>
      <c r="E344" s="210">
        <v>1</v>
      </c>
      <c r="F344" s="211">
        <v>0</v>
      </c>
      <c r="G344" s="219" t="str">
        <f t="shared" si="36"/>
        <v/>
      </c>
      <c r="H344" s="216">
        <f t="shared" si="37"/>
        <v>6.8488459694541464E-3</v>
      </c>
      <c r="I344" s="216" t="str">
        <f t="shared" si="38"/>
        <v/>
      </c>
      <c r="J344" s="210">
        <v>1</v>
      </c>
      <c r="K344" s="211">
        <v>0</v>
      </c>
      <c r="L344" s="219" t="str">
        <f t="shared" si="39"/>
        <v/>
      </c>
      <c r="M344" s="216">
        <f t="shared" si="40"/>
        <v>6.8488459694541464E-3</v>
      </c>
      <c r="N344" s="217" t="str">
        <f t="shared" si="41"/>
        <v/>
      </c>
    </row>
    <row r="345" spans="1:14" collapsed="1">
      <c r="A345" s="208" t="s">
        <v>1179</v>
      </c>
      <c r="B345" s="207" t="s">
        <v>285</v>
      </c>
      <c r="C345" s="214">
        <f t="shared" si="35"/>
        <v>-100</v>
      </c>
      <c r="E345" s="210">
        <v>0</v>
      </c>
      <c r="F345" s="211">
        <v>11</v>
      </c>
      <c r="G345" s="219">
        <f t="shared" si="36"/>
        <v>-100</v>
      </c>
      <c r="H345" s="216" t="str">
        <f t="shared" si="37"/>
        <v/>
      </c>
      <c r="I345" s="216">
        <f t="shared" si="38"/>
        <v>5.5295832704971598E-2</v>
      </c>
      <c r="J345" s="210">
        <v>0</v>
      </c>
      <c r="K345" s="211">
        <v>11</v>
      </c>
      <c r="L345" s="219">
        <f t="shared" si="39"/>
        <v>-100</v>
      </c>
      <c r="M345" s="216" t="str">
        <f t="shared" si="40"/>
        <v/>
      </c>
      <c r="N345" s="217">
        <f t="shared" si="41"/>
        <v>5.5295832704971598E-2</v>
      </c>
    </row>
    <row r="346" spans="1:14" hidden="1" outlineLevel="1">
      <c r="A346" s="208"/>
      <c r="B346" s="218" t="s">
        <v>999</v>
      </c>
      <c r="C346" s="214">
        <f t="shared" si="35"/>
        <v>-100</v>
      </c>
      <c r="E346" s="210">
        <v>0</v>
      </c>
      <c r="F346" s="211">
        <v>6</v>
      </c>
      <c r="G346" s="219">
        <f t="shared" si="36"/>
        <v>-100</v>
      </c>
      <c r="H346" s="216" t="str">
        <f t="shared" si="37"/>
        <v/>
      </c>
      <c r="I346" s="216">
        <f t="shared" si="38"/>
        <v>3.0161363293620871E-2</v>
      </c>
      <c r="J346" s="210">
        <v>0</v>
      </c>
      <c r="K346" s="211">
        <v>6</v>
      </c>
      <c r="L346" s="219">
        <f t="shared" si="39"/>
        <v>-100</v>
      </c>
      <c r="M346" s="216" t="str">
        <f t="shared" si="40"/>
        <v/>
      </c>
      <c r="N346" s="217">
        <f t="shared" si="41"/>
        <v>3.0161363293620871E-2</v>
      </c>
    </row>
    <row r="347" spans="1:14" hidden="1" outlineLevel="1">
      <c r="A347" s="208"/>
      <c r="B347" s="218" t="s">
        <v>1000</v>
      </c>
      <c r="C347" s="214">
        <f t="shared" si="35"/>
        <v>-100</v>
      </c>
      <c r="E347" s="210">
        <v>0</v>
      </c>
      <c r="F347" s="211">
        <v>5</v>
      </c>
      <c r="G347" s="219">
        <f t="shared" si="36"/>
        <v>-100</v>
      </c>
      <c r="H347" s="216" t="str">
        <f t="shared" si="37"/>
        <v/>
      </c>
      <c r="I347" s="216">
        <f t="shared" si="38"/>
        <v>2.5134469411350724E-2</v>
      </c>
      <c r="J347" s="210">
        <v>0</v>
      </c>
      <c r="K347" s="211">
        <v>5</v>
      </c>
      <c r="L347" s="219">
        <f t="shared" si="39"/>
        <v>-100</v>
      </c>
      <c r="M347" s="216" t="str">
        <f t="shared" si="40"/>
        <v/>
      </c>
      <c r="N347" s="217">
        <f t="shared" si="41"/>
        <v>2.5134469411350724E-2</v>
      </c>
    </row>
    <row r="348" spans="1:14" collapsed="1">
      <c r="A348" s="208" t="s">
        <v>1180</v>
      </c>
      <c r="B348" s="207" t="s">
        <v>588</v>
      </c>
      <c r="C348" s="214">
        <f t="shared" si="35"/>
        <v>-100</v>
      </c>
      <c r="E348" s="210">
        <v>0</v>
      </c>
      <c r="F348" s="211">
        <v>1</v>
      </c>
      <c r="G348" s="219">
        <f t="shared" si="36"/>
        <v>-100</v>
      </c>
      <c r="H348" s="216" t="str">
        <f t="shared" si="37"/>
        <v/>
      </c>
      <c r="I348" s="216">
        <f t="shared" si="38"/>
        <v>5.0268938822701451E-3</v>
      </c>
      <c r="J348" s="210">
        <v>0</v>
      </c>
      <c r="K348" s="211">
        <v>1</v>
      </c>
      <c r="L348" s="219">
        <f t="shared" si="39"/>
        <v>-100</v>
      </c>
      <c r="M348" s="216" t="str">
        <f t="shared" si="40"/>
        <v/>
      </c>
      <c r="N348" s="217">
        <f t="shared" si="41"/>
        <v>5.0268938822701451E-3</v>
      </c>
    </row>
    <row r="349" spans="1:14" hidden="1" outlineLevel="1">
      <c r="A349" s="208"/>
      <c r="B349" s="218" t="s">
        <v>1013</v>
      </c>
      <c r="C349" s="214">
        <f t="shared" si="35"/>
        <v>-100</v>
      </c>
      <c r="E349" s="210">
        <v>0</v>
      </c>
      <c r="F349" s="211">
        <v>1</v>
      </c>
      <c r="G349" s="219">
        <f t="shared" si="36"/>
        <v>-100</v>
      </c>
      <c r="H349" s="216" t="str">
        <f t="shared" si="37"/>
        <v/>
      </c>
      <c r="I349" s="216">
        <f t="shared" si="38"/>
        <v>5.0268938822701451E-3</v>
      </c>
      <c r="J349" s="210">
        <v>0</v>
      </c>
      <c r="K349" s="211">
        <v>1</v>
      </c>
      <c r="L349" s="219">
        <f t="shared" si="39"/>
        <v>-100</v>
      </c>
      <c r="M349" s="216" t="str">
        <f t="shared" si="40"/>
        <v/>
      </c>
      <c r="N349" s="217">
        <f t="shared" si="41"/>
        <v>5.0268938822701451E-3</v>
      </c>
    </row>
    <row r="350" spans="1:14" collapsed="1">
      <c r="A350" s="208" t="s">
        <v>1181</v>
      </c>
      <c r="B350" s="207" t="s">
        <v>589</v>
      </c>
      <c r="C350" s="214">
        <f t="shared" si="35"/>
        <v>-100</v>
      </c>
      <c r="E350" s="210">
        <v>0</v>
      </c>
      <c r="F350" s="211">
        <v>1</v>
      </c>
      <c r="G350" s="219">
        <f t="shared" si="36"/>
        <v>-100</v>
      </c>
      <c r="H350" s="216" t="str">
        <f t="shared" si="37"/>
        <v/>
      </c>
      <c r="I350" s="216">
        <f t="shared" si="38"/>
        <v>5.0268938822701451E-3</v>
      </c>
      <c r="J350" s="210">
        <v>0</v>
      </c>
      <c r="K350" s="211">
        <v>1</v>
      </c>
      <c r="L350" s="219">
        <f t="shared" si="39"/>
        <v>-100</v>
      </c>
      <c r="M350" s="216" t="str">
        <f t="shared" si="40"/>
        <v/>
      </c>
      <c r="N350" s="217">
        <f t="shared" si="41"/>
        <v>5.0268938822701451E-3</v>
      </c>
    </row>
    <row r="351" spans="1:14" hidden="1" outlineLevel="1">
      <c r="A351" s="208"/>
      <c r="B351" s="218" t="s">
        <v>589</v>
      </c>
      <c r="C351" s="214">
        <f t="shared" si="35"/>
        <v>-100</v>
      </c>
      <c r="E351" s="210">
        <v>0</v>
      </c>
      <c r="F351" s="211">
        <v>1</v>
      </c>
      <c r="G351" s="219">
        <f t="shared" si="36"/>
        <v>-100</v>
      </c>
      <c r="H351" s="216" t="str">
        <f t="shared" si="37"/>
        <v/>
      </c>
      <c r="I351" s="216">
        <f t="shared" si="38"/>
        <v>5.0268938822701451E-3</v>
      </c>
      <c r="J351" s="210">
        <v>0</v>
      </c>
      <c r="K351" s="211">
        <v>1</v>
      </c>
      <c r="L351" s="219">
        <f t="shared" si="39"/>
        <v>-100</v>
      </c>
      <c r="M351" s="216" t="str">
        <f t="shared" si="40"/>
        <v/>
      </c>
      <c r="N351" s="217">
        <f t="shared" si="41"/>
        <v>5.0268938822701451E-3</v>
      </c>
    </row>
    <row r="352" spans="1:14" collapsed="1">
      <c r="A352" s="208" t="s">
        <v>1182</v>
      </c>
      <c r="B352" s="207" t="s">
        <v>295</v>
      </c>
      <c r="C352" s="214">
        <f t="shared" si="35"/>
        <v>-100</v>
      </c>
      <c r="E352" s="210">
        <v>0</v>
      </c>
      <c r="F352" s="211">
        <v>1</v>
      </c>
      <c r="G352" s="219">
        <f t="shared" si="36"/>
        <v>-100</v>
      </c>
      <c r="H352" s="216" t="str">
        <f t="shared" si="37"/>
        <v/>
      </c>
      <c r="I352" s="216">
        <f t="shared" si="38"/>
        <v>5.0268938822701451E-3</v>
      </c>
      <c r="J352" s="210">
        <v>0</v>
      </c>
      <c r="K352" s="211">
        <v>1</v>
      </c>
      <c r="L352" s="219">
        <f t="shared" si="39"/>
        <v>-100</v>
      </c>
      <c r="M352" s="216" t="str">
        <f t="shared" si="40"/>
        <v/>
      </c>
      <c r="N352" s="217">
        <f t="shared" si="41"/>
        <v>5.0268938822701451E-3</v>
      </c>
    </row>
    <row r="353" spans="1:14" hidden="1" outlineLevel="1">
      <c r="A353" s="208"/>
      <c r="B353" s="218" t="s">
        <v>295</v>
      </c>
      <c r="C353" s="214">
        <f t="shared" si="35"/>
        <v>-100</v>
      </c>
      <c r="E353" s="210">
        <v>0</v>
      </c>
      <c r="F353" s="211">
        <v>1</v>
      </c>
      <c r="G353" s="219">
        <f t="shared" si="36"/>
        <v>-100</v>
      </c>
      <c r="H353" s="216" t="str">
        <f t="shared" si="37"/>
        <v/>
      </c>
      <c r="I353" s="216">
        <f t="shared" si="38"/>
        <v>5.0268938822701451E-3</v>
      </c>
      <c r="J353" s="210">
        <v>0</v>
      </c>
      <c r="K353" s="211">
        <v>1</v>
      </c>
      <c r="L353" s="219">
        <f t="shared" si="39"/>
        <v>-100</v>
      </c>
      <c r="M353" s="216" t="str">
        <f t="shared" si="40"/>
        <v/>
      </c>
      <c r="N353" s="217">
        <f t="shared" si="41"/>
        <v>5.0268938822701451E-3</v>
      </c>
    </row>
    <row r="354" spans="1:14" collapsed="1">
      <c r="A354" s="208"/>
      <c r="B354" s="207" t="s">
        <v>309</v>
      </c>
      <c r="C354" s="214">
        <f t="shared" si="35"/>
        <v>-80</v>
      </c>
      <c r="E354" s="210">
        <v>6</v>
      </c>
      <c r="F354" s="211">
        <v>30</v>
      </c>
      <c r="G354" s="219">
        <f t="shared" si="36"/>
        <v>-80</v>
      </c>
      <c r="H354" s="216">
        <f t="shared" si="37"/>
        <v>4.1093075816724882E-2</v>
      </c>
      <c r="I354" s="216">
        <f t="shared" si="38"/>
        <v>0.15080681646810434</v>
      </c>
      <c r="J354" s="210">
        <v>6</v>
      </c>
      <c r="K354" s="211">
        <v>30</v>
      </c>
      <c r="L354" s="219">
        <f t="shared" si="39"/>
        <v>-80</v>
      </c>
      <c r="M354" s="216">
        <f t="shared" si="40"/>
        <v>4.1093075816724882E-2</v>
      </c>
      <c r="N354" s="217">
        <f t="shared" si="41"/>
        <v>0.15080681646810434</v>
      </c>
    </row>
    <row r="355" spans="1:14" hidden="1" outlineLevel="1">
      <c r="A355" s="208"/>
      <c r="B355" s="218" t="s">
        <v>494</v>
      </c>
      <c r="C355" s="214">
        <f t="shared" si="35"/>
        <v>-80</v>
      </c>
      <c r="E355" s="210">
        <v>6</v>
      </c>
      <c r="F355" s="211">
        <v>30</v>
      </c>
      <c r="G355" s="219">
        <f t="shared" si="36"/>
        <v>-80</v>
      </c>
      <c r="H355" s="216">
        <f t="shared" si="37"/>
        <v>4.1093075816724882E-2</v>
      </c>
      <c r="I355" s="216">
        <f t="shared" si="38"/>
        <v>0.15080681646810434</v>
      </c>
      <c r="J355" s="210">
        <v>6</v>
      </c>
      <c r="K355" s="211">
        <v>30</v>
      </c>
      <c r="L355" s="219">
        <f t="shared" si="39"/>
        <v>-80</v>
      </c>
      <c r="M355" s="216">
        <f t="shared" si="40"/>
        <v>4.1093075816724882E-2</v>
      </c>
      <c r="N355" s="217">
        <f t="shared" si="41"/>
        <v>0.15080681646810434</v>
      </c>
    </row>
    <row r="356" spans="1:14">
      <c r="A356" s="208"/>
      <c r="B356" s="220"/>
      <c r="C356" s="214"/>
      <c r="E356" s="210"/>
      <c r="F356" s="211"/>
      <c r="G356" s="219"/>
      <c r="H356" s="216"/>
      <c r="I356" s="216"/>
      <c r="J356" s="210"/>
      <c r="K356" s="211"/>
      <c r="L356" s="219"/>
      <c r="M356" s="216"/>
      <c r="N356" s="217"/>
    </row>
    <row r="357" spans="1:14" ht="15" customHeight="1">
      <c r="B357" s="221" t="s">
        <v>1015</v>
      </c>
      <c r="C357" s="222"/>
      <c r="D357" s="223"/>
      <c r="E357" s="224">
        <f>SUM(E10 + E18 + E29 + E46 + E66 + E86 + E107 + E133 + E142 + E154 + E158 + E168 + E178 + E185 + E195 + E201 + E206 + E214 + E222 + E236 + E243 + E248 + E250 + E260 + E264 + E273 + E276 + E282 + E285 + E290 + E295 + E299 + E305 + E310 + E314 + E316 + E318 + E321 + E323 + E326 + E330 + E333 + E335 + E337 + E339 + E341 + E343 + E345 + E348 + E350 + E352 + E354)</f>
        <v>14601</v>
      </c>
      <c r="F357" s="224">
        <f>SUM(F10 + F18 + F29 + F46 + F66 + F86 + F107 + F133 + F142 + F154 + F158 + F168 + F178 + F185 + F195 + F201 + F206 + F214 + F222 + F236 + F243 + F248 + F250 + F260 + F264 + F273 + F276 + F282 + F285 + F290 + F295 + F299 + F305 + F310 + F314 + F316 + F318 + F321 + F323 + F326 + F330 + F333 + F335 + F337 + F339 + F341 + F343 + F345 + F348 + F350 + F352 + F354)</f>
        <v>19893</v>
      </c>
      <c r="G357" s="224"/>
      <c r="H357" s="225"/>
      <c r="I357" s="225"/>
      <c r="J357" s="224">
        <f>SUM(J10 + J18 + J29 + J46 + J66 + J86 + J107 + J133 + J142 + J154 + J158 + J168 + J178 + J185 + J195 + J201 + J206 + J214 + J222 + J236 + J243 + J248 + J250 + J260 + J264 + J273 + J276 + J282 + J285 + J290 + J295 + J299 + J305 + J310 + J314 + J316 + J318 + J321 + J323 + J326 + J330 + J333 + J335 + J337 + J339 + J341 + J343 + J345 + J348 + J350 + J352 + J354)</f>
        <v>14601</v>
      </c>
      <c r="K357" s="224">
        <f>SUM(K10 + K18 + K29 + K46 + K66 + K86 + K107 + K133 + K142 + K154 + K158 + K168 + K178 + K185 + K195 + K201 + K206 + K214 + K222 + K236 + K243 + K248 + K250 + K260 + K264 + K273 + K276 + K282 + K285 + K290 + K295 + K299 + K305 + K310 + K314 + K316 + K318 + K321 + K323 + K326 + K330 + K333 + K335 + K337 + K339 + K341 + K343 + K345 + K348 + K350 + K352 + K354)</f>
        <v>19893</v>
      </c>
      <c r="L357" s="224"/>
      <c r="M357" s="225"/>
      <c r="N357" s="221"/>
    </row>
    <row r="358" spans="1:14">
      <c r="B358" s="226" t="s">
        <v>1016</v>
      </c>
      <c r="C358" s="227"/>
      <c r="D358" s="223"/>
      <c r="E358" s="228">
        <f>CntPeriod-CntPeriodPrevYear</f>
        <v>-5292</v>
      </c>
      <c r="F358" s="228"/>
      <c r="G358" s="229">
        <f>(CntPeriod/CntPeriodPrevYear)-100%</f>
        <v>-0.26602322424973612</v>
      </c>
      <c r="H358" s="230"/>
      <c r="I358" s="231"/>
      <c r="J358" s="232">
        <f>CntYearAck-CntPrevYearAck</f>
        <v>-5292</v>
      </c>
      <c r="K358" s="233"/>
      <c r="L358" s="234">
        <f>(CntYearAck/CntPrevYearAck)-100%</f>
        <v>-0.26602322424973612</v>
      </c>
      <c r="M358" s="235"/>
      <c r="N358" s="235"/>
    </row>
    <row r="361" spans="1:14">
      <c r="B361" s="65" t="s">
        <v>1017</v>
      </c>
    </row>
    <row r="362" spans="1:14">
      <c r="B362" s="65" t="s">
        <v>1018</v>
      </c>
      <c r="C362" s="236"/>
      <c r="D362" s="237"/>
      <c r="E362" s="65"/>
      <c r="F362" s="65"/>
      <c r="G362" s="65"/>
      <c r="H362" s="65"/>
      <c r="I362" s="65"/>
      <c r="J362" s="65"/>
      <c r="K362" s="65"/>
      <c r="L362" s="65"/>
      <c r="M362" s="65"/>
    </row>
    <row r="363" spans="1:14">
      <c r="C363" s="236"/>
      <c r="D363" s="237"/>
      <c r="E363" s="65"/>
      <c r="F363" s="65"/>
      <c r="G363" s="65"/>
      <c r="H363" s="65"/>
      <c r="I363" s="65"/>
      <c r="J363" s="65"/>
      <c r="K363" s="65"/>
      <c r="L363" s="65"/>
      <c r="M363" s="65"/>
    </row>
    <row r="364" spans="1:14">
      <c r="C364" s="236"/>
      <c r="D364" s="237"/>
      <c r="E364" s="65"/>
      <c r="F364" s="65"/>
      <c r="G364" s="65"/>
      <c r="H364" s="65"/>
      <c r="I364" s="65"/>
      <c r="J364" s="65"/>
      <c r="K364" s="65"/>
      <c r="L364" s="65"/>
      <c r="M364" s="65"/>
    </row>
    <row r="365" spans="1:14">
      <c r="B365" s="65" t="s">
        <v>716</v>
      </c>
      <c r="C365" s="236"/>
      <c r="D365" s="237"/>
      <c r="E365" s="65"/>
      <c r="F365" s="65"/>
      <c r="G365" s="65"/>
      <c r="H365" s="65"/>
      <c r="I365" s="65"/>
      <c r="J365" s="65"/>
      <c r="K365" s="65"/>
      <c r="L365" s="65"/>
      <c r="M365" s="65"/>
    </row>
    <row r="366" spans="1:14">
      <c r="C366" s="236"/>
      <c r="D366" s="237"/>
      <c r="E366" s="65"/>
      <c r="F366" s="65"/>
      <c r="G366" s="65"/>
      <c r="H366" s="65"/>
      <c r="I366" s="65"/>
      <c r="J366" s="65"/>
      <c r="K366" s="65"/>
      <c r="L366" s="65"/>
      <c r="M366" s="65"/>
    </row>
  </sheetData>
  <mergeCells count="10">
    <mergeCell ref="E1:N1"/>
    <mergeCell ref="E6:I6"/>
    <mergeCell ref="J6:N6"/>
    <mergeCell ref="A7:D7"/>
    <mergeCell ref="E7:I7"/>
    <mergeCell ref="J7:N7"/>
    <mergeCell ref="E8:F8"/>
    <mergeCell ref="H8:I8"/>
    <mergeCell ref="J8:K8"/>
    <mergeCell ref="M8:N8"/>
  </mergeCells>
  <conditionalFormatting sqref="E358:H358 J358:L358">
    <cfRule type="cellIs" dxfId="9" priority="3" stopIfTrue="1" operator="lessThan">
      <formula>0</formula>
    </cfRule>
  </conditionalFormatting>
  <conditionalFormatting sqref="G10:G356 L10:L356">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2" id="{8E744541-6AD3-4039-8873-E66D7E38E297}">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C367:C1048576 C1:C5 C8:C361</xm:sqref>
        </x14:conditionalFormatting>
        <x14:conditionalFormatting xmlns:xm="http://schemas.microsoft.com/office/excel/2006/main">
          <x14:cfRule type="iconSet" priority="1" id="{18058098-5F05-48E7-959A-D421D862C1DD}">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C362:C366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94"/>
  <sheetViews>
    <sheetView workbookViewId="0">
      <pane ySplit="7" topLeftCell="A8" activePane="bottomLeft" state="frozen"/>
      <selection activeCell="D49" sqref="D49"/>
      <selection pane="bottomLeft" activeCell="K91" sqref="K91"/>
    </sheetView>
  </sheetViews>
  <sheetFormatPr baseColWidth="10" defaultColWidth="8.83203125" defaultRowHeight="15"/>
  <cols>
    <col min="1" max="1" width="24.33203125" customWidth="1"/>
    <col min="2" max="5" width="13.6640625" style="5" customWidth="1"/>
    <col min="6" max="9" width="12.6640625" style="12" customWidth="1"/>
  </cols>
  <sheetData>
    <row r="1" spans="1:9">
      <c r="B1"/>
      <c r="C1"/>
      <c r="D1"/>
      <c r="E1"/>
      <c r="F1"/>
      <c r="G1"/>
      <c r="H1"/>
      <c r="I1"/>
    </row>
    <row r="2" spans="1:9" ht="19.25" customHeight="1" thickBot="1">
      <c r="B2" s="61" t="s">
        <v>487</v>
      </c>
      <c r="C2" s="61"/>
      <c r="D2" s="61"/>
      <c r="E2" s="61"/>
      <c r="F2" s="61"/>
      <c r="G2" s="61"/>
      <c r="H2"/>
      <c r="I2"/>
    </row>
    <row r="4" spans="1:9">
      <c r="A4" s="60" t="s">
        <v>488</v>
      </c>
      <c r="B4" s="24"/>
      <c r="C4" s="72"/>
      <c r="D4" s="72"/>
      <c r="E4" s="24"/>
      <c r="F4" s="257" t="s">
        <v>483</v>
      </c>
      <c r="G4" s="257"/>
      <c r="H4" s="257"/>
      <c r="I4" s="257"/>
    </row>
    <row r="5" spans="1:9">
      <c r="A5" s="119"/>
      <c r="B5" s="277" t="s">
        <v>571</v>
      </c>
      <c r="C5" s="278"/>
      <c r="D5" s="277" t="s">
        <v>571</v>
      </c>
      <c r="E5" s="278"/>
      <c r="F5" s="279" t="s">
        <v>572</v>
      </c>
      <c r="G5" s="280"/>
      <c r="H5" s="281" t="s">
        <v>573</v>
      </c>
      <c r="I5" s="282"/>
    </row>
    <row r="6" spans="1:9">
      <c r="A6" s="119" t="s">
        <v>598</v>
      </c>
      <c r="B6" s="120" t="str">
        <f>Innehåll!D79</f>
        <v xml:space="preserve"> 2023-01</v>
      </c>
      <c r="C6" s="120" t="str">
        <f>Innehåll!D80</f>
        <v xml:space="preserve"> 2022-01</v>
      </c>
      <c r="D6" s="120" t="str">
        <f>Innehåll!D81</f>
        <v>YTD  2023</v>
      </c>
      <c r="E6" s="120" t="str">
        <f>Innehåll!D82</f>
        <v>YTD  2022</v>
      </c>
      <c r="F6" s="121" t="str">
        <f>B6</f>
        <v xml:space="preserve"> 2023-01</v>
      </c>
      <c r="G6" s="122" t="str">
        <f>D6</f>
        <v>YTD  2023</v>
      </c>
      <c r="H6" s="123" t="str">
        <f>D6</f>
        <v>YTD  2023</v>
      </c>
      <c r="I6" s="123" t="str">
        <f>E6</f>
        <v>YTD  2022</v>
      </c>
    </row>
    <row r="7" spans="1:9" hidden="1">
      <c r="A7" s="193" t="s">
        <v>343</v>
      </c>
      <c r="B7" s="162" t="s">
        <v>322</v>
      </c>
      <c r="C7" s="162" t="s">
        <v>323</v>
      </c>
      <c r="D7" s="162" t="s">
        <v>324</v>
      </c>
      <c r="E7" s="162" t="s">
        <v>325</v>
      </c>
      <c r="F7" s="162" t="s">
        <v>338</v>
      </c>
      <c r="G7" s="162" t="s">
        <v>339</v>
      </c>
      <c r="H7" s="162" t="s">
        <v>326</v>
      </c>
      <c r="I7" s="162" t="s">
        <v>327</v>
      </c>
    </row>
    <row r="8" spans="1:9">
      <c r="A8" s="194" t="s">
        <v>1063</v>
      </c>
      <c r="B8" s="169">
        <v>40</v>
      </c>
      <c r="C8" s="169">
        <v>72</v>
      </c>
      <c r="D8" s="169">
        <v>40</v>
      </c>
      <c r="E8" s="169">
        <v>72</v>
      </c>
      <c r="F8" s="171">
        <v>-44.444444444444443</v>
      </c>
      <c r="G8" s="171">
        <v>-44.444444444444443</v>
      </c>
      <c r="H8" s="171">
        <v>0.28000000000000003</v>
      </c>
      <c r="I8" s="171">
        <v>0.37</v>
      </c>
    </row>
    <row r="9" spans="1:9">
      <c r="A9" s="195" t="s">
        <v>272</v>
      </c>
      <c r="B9" s="169">
        <v>4</v>
      </c>
      <c r="C9" s="169">
        <v>2</v>
      </c>
      <c r="D9" s="169">
        <v>4</v>
      </c>
      <c r="E9" s="169">
        <v>2</v>
      </c>
      <c r="F9" s="171">
        <v>100</v>
      </c>
      <c r="G9" s="171">
        <v>100</v>
      </c>
      <c r="H9" s="171">
        <v>0.03</v>
      </c>
      <c r="I9" s="171">
        <v>0.01</v>
      </c>
    </row>
    <row r="10" spans="1:9">
      <c r="A10" s="195" t="s">
        <v>279</v>
      </c>
      <c r="B10" s="169">
        <v>36</v>
      </c>
      <c r="C10" s="169">
        <v>59</v>
      </c>
      <c r="D10" s="169">
        <v>36</v>
      </c>
      <c r="E10" s="169">
        <v>59</v>
      </c>
      <c r="F10" s="171">
        <v>-38.983050847457626</v>
      </c>
      <c r="G10" s="171">
        <v>-38.983050847457626</v>
      </c>
      <c r="H10" s="171">
        <v>0.25</v>
      </c>
      <c r="I10" s="171">
        <v>0.3</v>
      </c>
    </row>
    <row r="11" spans="1:9">
      <c r="A11" s="195" t="s">
        <v>285</v>
      </c>
      <c r="B11" s="169">
        <v>0</v>
      </c>
      <c r="C11" s="169">
        <v>11</v>
      </c>
      <c r="D11" s="169">
        <v>0</v>
      </c>
      <c r="E11" s="169">
        <v>11</v>
      </c>
      <c r="F11" s="171">
        <v>-100</v>
      </c>
      <c r="G11" s="171">
        <v>-100</v>
      </c>
      <c r="H11" s="171">
        <v>0</v>
      </c>
      <c r="I11" s="171">
        <v>0.06</v>
      </c>
    </row>
    <row r="12" spans="1:9">
      <c r="A12" s="194" t="s">
        <v>328</v>
      </c>
      <c r="B12" s="169">
        <v>29</v>
      </c>
      <c r="C12" s="169">
        <v>37</v>
      </c>
      <c r="D12" s="169">
        <v>29</v>
      </c>
      <c r="E12" s="169">
        <v>37</v>
      </c>
      <c r="F12" s="171">
        <v>-21.621621621621621</v>
      </c>
      <c r="G12" s="171">
        <v>-21.621621621621621</v>
      </c>
      <c r="H12" s="171">
        <v>0.2</v>
      </c>
      <c r="I12" s="171">
        <v>0.19</v>
      </c>
    </row>
    <row r="13" spans="1:9">
      <c r="A13" s="195" t="s">
        <v>284</v>
      </c>
      <c r="B13" s="169">
        <v>4</v>
      </c>
      <c r="C13" s="169">
        <v>1</v>
      </c>
      <c r="D13" s="169">
        <v>4</v>
      </c>
      <c r="E13" s="169">
        <v>1</v>
      </c>
      <c r="F13" s="171">
        <v>300</v>
      </c>
      <c r="G13" s="171">
        <v>300</v>
      </c>
      <c r="H13" s="171">
        <v>0.03</v>
      </c>
      <c r="I13" s="171">
        <v>0.01</v>
      </c>
    </row>
    <row r="14" spans="1:9">
      <c r="A14" s="195" t="s">
        <v>288</v>
      </c>
      <c r="B14" s="169">
        <v>25</v>
      </c>
      <c r="C14" s="169">
        <v>36</v>
      </c>
      <c r="D14" s="169">
        <v>25</v>
      </c>
      <c r="E14" s="169">
        <v>36</v>
      </c>
      <c r="F14" s="171">
        <v>-30.555555555555557</v>
      </c>
      <c r="G14" s="171">
        <v>-30.555555555555557</v>
      </c>
      <c r="H14" s="171">
        <v>0.17</v>
      </c>
      <c r="I14" s="171">
        <v>0.18</v>
      </c>
    </row>
    <row r="15" spans="1:9">
      <c r="A15" s="194" t="s">
        <v>329</v>
      </c>
      <c r="B15" s="169">
        <v>1130</v>
      </c>
      <c r="C15" s="169">
        <v>1341</v>
      </c>
      <c r="D15" s="169">
        <v>1130</v>
      </c>
      <c r="E15" s="169">
        <v>1341</v>
      </c>
      <c r="F15" s="171">
        <v>-15.734526472781507</v>
      </c>
      <c r="G15" s="171">
        <v>-15.734526472781507</v>
      </c>
      <c r="H15" s="171">
        <v>7.74</v>
      </c>
      <c r="I15" s="171">
        <v>6.75</v>
      </c>
    </row>
    <row r="16" spans="1:9">
      <c r="A16" s="195" t="s">
        <v>275</v>
      </c>
      <c r="B16" s="169">
        <v>1024</v>
      </c>
      <c r="C16" s="169">
        <v>1147</v>
      </c>
      <c r="D16" s="169">
        <v>1024</v>
      </c>
      <c r="E16" s="169">
        <v>1147</v>
      </c>
      <c r="F16" s="171">
        <v>-10.723626852659111</v>
      </c>
      <c r="G16" s="171">
        <v>-10.723626852659111</v>
      </c>
      <c r="H16" s="171">
        <v>7.01</v>
      </c>
      <c r="I16" s="171">
        <v>5.77</v>
      </c>
    </row>
    <row r="17" spans="1:10">
      <c r="A17" s="195" t="s">
        <v>293</v>
      </c>
      <c r="B17" s="169">
        <v>106</v>
      </c>
      <c r="C17" s="169">
        <v>194</v>
      </c>
      <c r="D17" s="169">
        <v>106</v>
      </c>
      <c r="E17" s="169">
        <v>194</v>
      </c>
      <c r="F17" s="171">
        <v>-45.360824742268044</v>
      </c>
      <c r="G17" s="171">
        <v>-45.360824742268044</v>
      </c>
      <c r="H17" s="171">
        <v>0.73</v>
      </c>
      <c r="I17" s="171">
        <v>0.98</v>
      </c>
    </row>
    <row r="18" spans="1:10">
      <c r="A18" s="194" t="s">
        <v>1120</v>
      </c>
      <c r="B18" s="169">
        <v>2</v>
      </c>
      <c r="C18" s="169">
        <v>0</v>
      </c>
      <c r="D18" s="169">
        <v>2</v>
      </c>
      <c r="E18" s="169">
        <v>0</v>
      </c>
      <c r="F18" s="171">
        <v>0</v>
      </c>
      <c r="G18" s="171">
        <v>0</v>
      </c>
      <c r="H18" s="171">
        <v>0.01</v>
      </c>
      <c r="I18" s="171">
        <v>0</v>
      </c>
    </row>
    <row r="19" spans="1:10">
      <c r="A19" s="195" t="s">
        <v>709</v>
      </c>
      <c r="B19" s="169">
        <v>2</v>
      </c>
      <c r="C19" s="169">
        <v>0</v>
      </c>
      <c r="D19" s="169">
        <v>2</v>
      </c>
      <c r="E19" s="169">
        <v>0</v>
      </c>
      <c r="F19" s="171">
        <v>0</v>
      </c>
      <c r="G19" s="171">
        <v>0</v>
      </c>
      <c r="H19" s="171">
        <v>0.01</v>
      </c>
      <c r="I19" s="171">
        <v>0</v>
      </c>
    </row>
    <row r="20" spans="1:10">
      <c r="A20" s="194" t="s">
        <v>1108</v>
      </c>
      <c r="B20" s="169">
        <v>1119</v>
      </c>
      <c r="C20" s="169">
        <v>2121</v>
      </c>
      <c r="D20" s="169">
        <v>1119</v>
      </c>
      <c r="E20" s="169">
        <v>2121</v>
      </c>
      <c r="F20" s="171">
        <v>-47.241867043847243</v>
      </c>
      <c r="G20" s="171">
        <v>-47.241867043847243</v>
      </c>
      <c r="H20" s="171">
        <v>7.66</v>
      </c>
      <c r="I20" s="171">
        <v>10.669999999999998</v>
      </c>
      <c r="J20" s="6" t="s">
        <v>1187</v>
      </c>
    </row>
    <row r="21" spans="1:10">
      <c r="A21" s="195" t="s">
        <v>278</v>
      </c>
      <c r="B21" s="169">
        <v>388</v>
      </c>
      <c r="C21" s="169">
        <v>278</v>
      </c>
      <c r="D21" s="169">
        <v>388</v>
      </c>
      <c r="E21" s="169">
        <v>278</v>
      </c>
      <c r="F21" s="171">
        <v>39.568345323741006</v>
      </c>
      <c r="G21" s="171">
        <v>39.568345323741006</v>
      </c>
      <c r="H21" s="171">
        <v>2.66</v>
      </c>
      <c r="I21" s="171">
        <v>1.4</v>
      </c>
    </row>
    <row r="22" spans="1:10">
      <c r="A22" s="195" t="s">
        <v>280</v>
      </c>
      <c r="B22" s="169">
        <v>156</v>
      </c>
      <c r="C22" s="169">
        <v>1007</v>
      </c>
      <c r="D22" s="169">
        <v>156</v>
      </c>
      <c r="E22" s="169">
        <v>1007</v>
      </c>
      <c r="F22" s="171">
        <v>-84.508440913604773</v>
      </c>
      <c r="G22" s="171">
        <v>-84.508440913604773</v>
      </c>
      <c r="H22" s="171">
        <v>1.07</v>
      </c>
      <c r="I22" s="171">
        <v>5.0599999999999996</v>
      </c>
    </row>
    <row r="23" spans="1:10">
      <c r="A23" s="195" t="s">
        <v>300</v>
      </c>
      <c r="B23" s="169">
        <v>332</v>
      </c>
      <c r="C23" s="169">
        <v>447</v>
      </c>
      <c r="D23" s="169">
        <v>332</v>
      </c>
      <c r="E23" s="169">
        <v>447</v>
      </c>
      <c r="F23" s="171">
        <v>-25.727069351230426</v>
      </c>
      <c r="G23" s="171">
        <v>-25.727069351230426</v>
      </c>
      <c r="H23" s="171">
        <v>2.27</v>
      </c>
      <c r="I23" s="171">
        <v>2.25</v>
      </c>
    </row>
    <row r="24" spans="1:10">
      <c r="A24" s="195" t="s">
        <v>588</v>
      </c>
      <c r="B24" s="169">
        <v>0</v>
      </c>
      <c r="C24" s="169">
        <v>1</v>
      </c>
      <c r="D24" s="169">
        <v>0</v>
      </c>
      <c r="E24" s="169">
        <v>1</v>
      </c>
      <c r="F24" s="171">
        <v>-100</v>
      </c>
      <c r="G24" s="171">
        <v>-100</v>
      </c>
      <c r="H24" s="171">
        <v>0</v>
      </c>
      <c r="I24" s="171">
        <v>0.01</v>
      </c>
    </row>
    <row r="25" spans="1:10">
      <c r="A25" s="195" t="s">
        <v>627</v>
      </c>
      <c r="B25" s="169">
        <v>225</v>
      </c>
      <c r="C25" s="169">
        <v>388</v>
      </c>
      <c r="D25" s="169">
        <v>225</v>
      </c>
      <c r="E25" s="169">
        <v>388</v>
      </c>
      <c r="F25" s="171">
        <v>-42.010309278350519</v>
      </c>
      <c r="G25" s="171">
        <v>-42.010309278350519</v>
      </c>
      <c r="H25" s="171">
        <v>1.54</v>
      </c>
      <c r="I25" s="171">
        <v>1.95</v>
      </c>
    </row>
    <row r="26" spans="1:10">
      <c r="A26" s="195" t="s">
        <v>712</v>
      </c>
      <c r="B26" s="169">
        <v>18</v>
      </c>
      <c r="C26" s="169">
        <v>0</v>
      </c>
      <c r="D26" s="169">
        <v>18</v>
      </c>
      <c r="E26" s="169">
        <v>0</v>
      </c>
      <c r="F26" s="171">
        <v>0</v>
      </c>
      <c r="G26" s="171">
        <v>0</v>
      </c>
      <c r="H26" s="171">
        <v>0.12</v>
      </c>
      <c r="I26" s="171">
        <v>0</v>
      </c>
    </row>
    <row r="27" spans="1:10">
      <c r="A27" s="194" t="s">
        <v>330</v>
      </c>
      <c r="B27" s="169">
        <v>25</v>
      </c>
      <c r="C27" s="169">
        <v>67</v>
      </c>
      <c r="D27" s="169">
        <v>25</v>
      </c>
      <c r="E27" s="169">
        <v>67</v>
      </c>
      <c r="F27" s="171">
        <v>-62.68656716417911</v>
      </c>
      <c r="G27" s="171">
        <v>-62.68656716417911</v>
      </c>
      <c r="H27" s="171">
        <v>0.17</v>
      </c>
      <c r="I27" s="171">
        <v>0.34</v>
      </c>
    </row>
    <row r="28" spans="1:10">
      <c r="A28" s="195" t="s">
        <v>281</v>
      </c>
      <c r="B28" s="169">
        <v>25</v>
      </c>
      <c r="C28" s="169">
        <v>67</v>
      </c>
      <c r="D28" s="169">
        <v>25</v>
      </c>
      <c r="E28" s="169">
        <v>67</v>
      </c>
      <c r="F28" s="171">
        <v>-62.68656716417911</v>
      </c>
      <c r="G28" s="171">
        <v>-62.68656716417911</v>
      </c>
      <c r="H28" s="171">
        <v>0.17</v>
      </c>
      <c r="I28" s="171">
        <v>0.34</v>
      </c>
    </row>
    <row r="29" spans="1:10">
      <c r="A29" s="194" t="s">
        <v>491</v>
      </c>
      <c r="B29" s="169">
        <v>249</v>
      </c>
      <c r="C29" s="169">
        <v>473</v>
      </c>
      <c r="D29" s="169">
        <v>249</v>
      </c>
      <c r="E29" s="169">
        <v>473</v>
      </c>
      <c r="F29" s="171">
        <v>-47.357293868921772</v>
      </c>
      <c r="G29" s="171">
        <v>-47.357293868921772</v>
      </c>
      <c r="H29" s="171">
        <v>1.71</v>
      </c>
      <c r="I29" s="171">
        <v>2.38</v>
      </c>
    </row>
    <row r="30" spans="1:10">
      <c r="A30" s="195" t="s">
        <v>282</v>
      </c>
      <c r="B30" s="169">
        <v>249</v>
      </c>
      <c r="C30" s="169">
        <v>473</v>
      </c>
      <c r="D30" s="169">
        <v>249</v>
      </c>
      <c r="E30" s="169">
        <v>473</v>
      </c>
      <c r="F30" s="171">
        <v>-47.357293868921772</v>
      </c>
      <c r="G30" s="171">
        <v>-47.357293868921772</v>
      </c>
      <c r="H30" s="171">
        <v>1.71</v>
      </c>
      <c r="I30" s="171">
        <v>2.38</v>
      </c>
    </row>
    <row r="31" spans="1:10">
      <c r="A31" s="194" t="s">
        <v>1075</v>
      </c>
      <c r="B31" s="169">
        <v>143</v>
      </c>
      <c r="C31" s="169">
        <v>88</v>
      </c>
      <c r="D31" s="169">
        <v>143</v>
      </c>
      <c r="E31" s="169">
        <v>88</v>
      </c>
      <c r="F31" s="171">
        <v>62.5</v>
      </c>
      <c r="G31" s="171">
        <v>62.5</v>
      </c>
      <c r="H31" s="171">
        <v>0.98</v>
      </c>
      <c r="I31" s="171">
        <v>0.44</v>
      </c>
    </row>
    <row r="32" spans="1:10">
      <c r="A32" s="195" t="s">
        <v>303</v>
      </c>
      <c r="B32" s="169">
        <v>133</v>
      </c>
      <c r="C32" s="169">
        <v>88</v>
      </c>
      <c r="D32" s="169">
        <v>133</v>
      </c>
      <c r="E32" s="169">
        <v>88</v>
      </c>
      <c r="F32" s="171">
        <v>51.136363636363633</v>
      </c>
      <c r="G32" s="171">
        <v>51.136363636363633</v>
      </c>
      <c r="H32" s="171">
        <v>0.91</v>
      </c>
      <c r="I32" s="171">
        <v>0.44</v>
      </c>
    </row>
    <row r="33" spans="1:9">
      <c r="A33" s="195" t="s">
        <v>1089</v>
      </c>
      <c r="B33" s="169">
        <v>10</v>
      </c>
      <c r="C33" s="169">
        <v>0</v>
      </c>
      <c r="D33" s="169">
        <v>10</v>
      </c>
      <c r="E33" s="169">
        <v>0</v>
      </c>
      <c r="F33" s="171">
        <v>0</v>
      </c>
      <c r="G33" s="171">
        <v>0</v>
      </c>
      <c r="H33" s="171">
        <v>7.0000000000000007E-2</v>
      </c>
      <c r="I33" s="171">
        <v>0</v>
      </c>
    </row>
    <row r="34" spans="1:9">
      <c r="A34" s="194" t="s">
        <v>283</v>
      </c>
      <c r="B34" s="169">
        <v>1</v>
      </c>
      <c r="C34" s="169">
        <v>2</v>
      </c>
      <c r="D34" s="169">
        <v>1</v>
      </c>
      <c r="E34" s="169">
        <v>2</v>
      </c>
      <c r="F34" s="171">
        <v>-50</v>
      </c>
      <c r="G34" s="171">
        <v>-50</v>
      </c>
      <c r="H34" s="171">
        <v>0.01</v>
      </c>
      <c r="I34" s="171">
        <v>0.01</v>
      </c>
    </row>
    <row r="35" spans="1:9">
      <c r="A35" s="195" t="s">
        <v>283</v>
      </c>
      <c r="B35" s="169">
        <v>1</v>
      </c>
      <c r="C35" s="169">
        <v>2</v>
      </c>
      <c r="D35" s="169">
        <v>1</v>
      </c>
      <c r="E35" s="169">
        <v>2</v>
      </c>
      <c r="F35" s="171">
        <v>-50</v>
      </c>
      <c r="G35" s="171">
        <v>-50</v>
      </c>
      <c r="H35" s="171">
        <v>0.01</v>
      </c>
      <c r="I35" s="171">
        <v>0.01</v>
      </c>
    </row>
    <row r="36" spans="1:9">
      <c r="A36" s="194" t="s">
        <v>590</v>
      </c>
      <c r="B36" s="169">
        <v>1479</v>
      </c>
      <c r="C36" s="169">
        <v>2827</v>
      </c>
      <c r="D36" s="169">
        <v>1479</v>
      </c>
      <c r="E36" s="169">
        <v>2827</v>
      </c>
      <c r="F36" s="171">
        <v>-47.683056243367531</v>
      </c>
      <c r="G36" s="171">
        <v>-47.683056243367531</v>
      </c>
      <c r="H36" s="171">
        <v>10.130000000000001</v>
      </c>
      <c r="I36" s="171">
        <v>14.21</v>
      </c>
    </row>
    <row r="37" spans="1:9">
      <c r="A37" s="195" t="s">
        <v>286</v>
      </c>
      <c r="B37" s="169">
        <v>1479</v>
      </c>
      <c r="C37" s="169">
        <v>2827</v>
      </c>
      <c r="D37" s="169">
        <v>1479</v>
      </c>
      <c r="E37" s="169">
        <v>2827</v>
      </c>
      <c r="F37" s="171">
        <v>-47.683056243367531</v>
      </c>
      <c r="G37" s="171">
        <v>-47.683056243367531</v>
      </c>
      <c r="H37" s="171">
        <v>10.130000000000001</v>
      </c>
      <c r="I37" s="171">
        <v>14.21</v>
      </c>
    </row>
    <row r="38" spans="1:9">
      <c r="A38" s="194" t="s">
        <v>490</v>
      </c>
      <c r="B38" s="169">
        <v>683</v>
      </c>
      <c r="C38" s="169">
        <v>1049</v>
      </c>
      <c r="D38" s="169">
        <v>683</v>
      </c>
      <c r="E38" s="169">
        <v>1049</v>
      </c>
      <c r="F38" s="171">
        <v>-34.890371782650142</v>
      </c>
      <c r="G38" s="171">
        <v>-34.890371782650142</v>
      </c>
      <c r="H38" s="171">
        <v>4.68</v>
      </c>
      <c r="I38" s="171">
        <v>5.27</v>
      </c>
    </row>
    <row r="39" spans="1:9">
      <c r="A39" s="195" t="s">
        <v>277</v>
      </c>
      <c r="B39" s="169">
        <v>122</v>
      </c>
      <c r="C39" s="169">
        <v>213</v>
      </c>
      <c r="D39" s="169">
        <v>122</v>
      </c>
      <c r="E39" s="169">
        <v>213</v>
      </c>
      <c r="F39" s="171">
        <v>-42.72300469483568</v>
      </c>
      <c r="G39" s="171">
        <v>-42.72300469483568</v>
      </c>
      <c r="H39" s="171">
        <v>0.84</v>
      </c>
      <c r="I39" s="171">
        <v>1.07</v>
      </c>
    </row>
    <row r="40" spans="1:9">
      <c r="A40" s="195" t="s">
        <v>310</v>
      </c>
      <c r="B40" s="169">
        <v>26</v>
      </c>
      <c r="C40" s="169">
        <v>38</v>
      </c>
      <c r="D40" s="169">
        <v>26</v>
      </c>
      <c r="E40" s="169">
        <v>38</v>
      </c>
      <c r="F40" s="171">
        <v>-31.578947368421051</v>
      </c>
      <c r="G40" s="171">
        <v>-31.578947368421051</v>
      </c>
      <c r="H40" s="171">
        <v>0.18</v>
      </c>
      <c r="I40" s="171">
        <v>0.19</v>
      </c>
    </row>
    <row r="41" spans="1:9">
      <c r="A41" s="195" t="s">
        <v>297</v>
      </c>
      <c r="B41" s="169">
        <v>101</v>
      </c>
      <c r="C41" s="169">
        <v>293</v>
      </c>
      <c r="D41" s="169">
        <v>101</v>
      </c>
      <c r="E41" s="169">
        <v>293</v>
      </c>
      <c r="F41" s="171">
        <v>-65.529010238907844</v>
      </c>
      <c r="G41" s="171">
        <v>-65.529010238907844</v>
      </c>
      <c r="H41" s="171">
        <v>0.69</v>
      </c>
      <c r="I41" s="171">
        <v>1.47</v>
      </c>
    </row>
    <row r="42" spans="1:9">
      <c r="A42" s="195" t="s">
        <v>298</v>
      </c>
      <c r="B42" s="169">
        <v>434</v>
      </c>
      <c r="C42" s="169">
        <v>505</v>
      </c>
      <c r="D42" s="169">
        <v>434</v>
      </c>
      <c r="E42" s="169">
        <v>505</v>
      </c>
      <c r="F42" s="171">
        <v>-14.059405940594061</v>
      </c>
      <c r="G42" s="171">
        <v>-14.059405940594061</v>
      </c>
      <c r="H42" s="171">
        <v>2.97</v>
      </c>
      <c r="I42" s="171">
        <v>2.54</v>
      </c>
    </row>
    <row r="43" spans="1:9">
      <c r="A43" s="194" t="s">
        <v>668</v>
      </c>
      <c r="B43" s="169">
        <v>43</v>
      </c>
      <c r="C43" s="169">
        <v>92</v>
      </c>
      <c r="D43" s="169">
        <v>43</v>
      </c>
      <c r="E43" s="169">
        <v>92</v>
      </c>
      <c r="F43" s="171">
        <v>-53.260869565217398</v>
      </c>
      <c r="G43" s="171">
        <v>-53.260869565217398</v>
      </c>
      <c r="H43" s="171">
        <v>0.28999999999999998</v>
      </c>
      <c r="I43" s="171">
        <v>0.46</v>
      </c>
    </row>
    <row r="44" spans="1:9">
      <c r="A44" s="195" t="s">
        <v>294</v>
      </c>
      <c r="B44" s="169">
        <v>43</v>
      </c>
      <c r="C44" s="169">
        <v>92</v>
      </c>
      <c r="D44" s="169">
        <v>43</v>
      </c>
      <c r="E44" s="169">
        <v>92</v>
      </c>
      <c r="F44" s="171">
        <v>-53.260869565217398</v>
      </c>
      <c r="G44" s="171">
        <v>-53.260869565217398</v>
      </c>
      <c r="H44" s="171">
        <v>0.28999999999999998</v>
      </c>
      <c r="I44" s="171">
        <v>0.46</v>
      </c>
    </row>
    <row r="45" spans="1:9">
      <c r="A45" s="194" t="s">
        <v>331</v>
      </c>
      <c r="B45" s="169">
        <v>70</v>
      </c>
      <c r="C45" s="169">
        <v>128</v>
      </c>
      <c r="D45" s="169">
        <v>70</v>
      </c>
      <c r="E45" s="169">
        <v>128</v>
      </c>
      <c r="F45" s="171">
        <v>-45.3125</v>
      </c>
      <c r="G45" s="171">
        <v>-45.3125</v>
      </c>
      <c r="H45" s="171">
        <v>0.48</v>
      </c>
      <c r="I45" s="171">
        <v>0.64</v>
      </c>
    </row>
    <row r="46" spans="1:9">
      <c r="A46" s="195" t="s">
        <v>304</v>
      </c>
      <c r="B46" s="169">
        <v>70</v>
      </c>
      <c r="C46" s="169">
        <v>128</v>
      </c>
      <c r="D46" s="169">
        <v>70</v>
      </c>
      <c r="E46" s="169">
        <v>128</v>
      </c>
      <c r="F46" s="171">
        <v>-45.3125</v>
      </c>
      <c r="G46" s="171">
        <v>-45.3125</v>
      </c>
      <c r="H46" s="171">
        <v>0.48</v>
      </c>
      <c r="I46" s="171">
        <v>0.64</v>
      </c>
    </row>
    <row r="47" spans="1:9">
      <c r="A47" s="194" t="s">
        <v>610</v>
      </c>
      <c r="B47" s="169">
        <v>126</v>
      </c>
      <c r="C47" s="169">
        <v>155</v>
      </c>
      <c r="D47" s="169">
        <v>126</v>
      </c>
      <c r="E47" s="169">
        <v>155</v>
      </c>
      <c r="F47" s="171">
        <v>-18.70967741935484</v>
      </c>
      <c r="G47" s="171">
        <v>-18.70967741935484</v>
      </c>
      <c r="H47" s="171">
        <v>0.86</v>
      </c>
      <c r="I47" s="171">
        <v>0.78</v>
      </c>
    </row>
    <row r="48" spans="1:9">
      <c r="A48" s="195" t="s">
        <v>610</v>
      </c>
      <c r="B48" s="169">
        <v>126</v>
      </c>
      <c r="C48" s="169">
        <v>155</v>
      </c>
      <c r="D48" s="169">
        <v>126</v>
      </c>
      <c r="E48" s="169">
        <v>155</v>
      </c>
      <c r="F48" s="171">
        <v>-18.70967741935484</v>
      </c>
      <c r="G48" s="171">
        <v>-18.70967741935484</v>
      </c>
      <c r="H48" s="171">
        <v>0.86</v>
      </c>
      <c r="I48" s="171">
        <v>0.78</v>
      </c>
    </row>
    <row r="49" spans="1:9">
      <c r="A49" s="194" t="s">
        <v>332</v>
      </c>
      <c r="B49" s="169">
        <v>343</v>
      </c>
      <c r="C49" s="169">
        <v>62</v>
      </c>
      <c r="D49" s="169">
        <v>343</v>
      </c>
      <c r="E49" s="169">
        <v>62</v>
      </c>
      <c r="F49" s="171">
        <v>453.22580645161293</v>
      </c>
      <c r="G49" s="171">
        <v>453.22580645161293</v>
      </c>
      <c r="H49" s="171">
        <v>2.35</v>
      </c>
      <c r="I49" s="171">
        <v>0.31</v>
      </c>
    </row>
    <row r="50" spans="1:9">
      <c r="A50" s="195" t="s">
        <v>291</v>
      </c>
      <c r="B50" s="169">
        <v>343</v>
      </c>
      <c r="C50" s="169">
        <v>62</v>
      </c>
      <c r="D50" s="169">
        <v>343</v>
      </c>
      <c r="E50" s="169">
        <v>62</v>
      </c>
      <c r="F50" s="171">
        <v>453.22580645161293</v>
      </c>
      <c r="G50" s="171">
        <v>453.22580645161293</v>
      </c>
      <c r="H50" s="171">
        <v>2.35</v>
      </c>
      <c r="I50" s="171">
        <v>0.31</v>
      </c>
    </row>
    <row r="51" spans="1:9">
      <c r="A51" s="194" t="s">
        <v>374</v>
      </c>
      <c r="B51" s="169">
        <v>622</v>
      </c>
      <c r="C51" s="169">
        <v>792</v>
      </c>
      <c r="D51" s="169">
        <v>622</v>
      </c>
      <c r="E51" s="169">
        <v>792</v>
      </c>
      <c r="F51" s="171">
        <v>-21.464646464646464</v>
      </c>
      <c r="G51" s="171">
        <v>-21.464646464646464</v>
      </c>
      <c r="H51" s="171">
        <v>4.2600000000000007</v>
      </c>
      <c r="I51" s="171">
        <v>3.98</v>
      </c>
    </row>
    <row r="52" spans="1:9">
      <c r="A52" s="195" t="s">
        <v>404</v>
      </c>
      <c r="B52" s="169">
        <v>617</v>
      </c>
      <c r="C52" s="169">
        <v>792</v>
      </c>
      <c r="D52" s="169">
        <v>617</v>
      </c>
      <c r="E52" s="169">
        <v>792</v>
      </c>
      <c r="F52" s="171">
        <v>-22.095959595959595</v>
      </c>
      <c r="G52" s="171">
        <v>-22.095959595959595</v>
      </c>
      <c r="H52" s="171">
        <v>4.2300000000000004</v>
      </c>
      <c r="I52" s="171">
        <v>3.98</v>
      </c>
    </row>
    <row r="53" spans="1:9">
      <c r="A53" s="195" t="s">
        <v>292</v>
      </c>
      <c r="B53" s="169">
        <v>5</v>
      </c>
      <c r="C53" s="169">
        <v>0</v>
      </c>
      <c r="D53" s="169">
        <v>5</v>
      </c>
      <c r="E53" s="169">
        <v>0</v>
      </c>
      <c r="F53" s="171">
        <v>0</v>
      </c>
      <c r="G53" s="171">
        <v>0</v>
      </c>
      <c r="H53" s="171">
        <v>0.03</v>
      </c>
      <c r="I53" s="171">
        <v>0</v>
      </c>
    </row>
    <row r="54" spans="1:9">
      <c r="A54" s="194" t="s">
        <v>1121</v>
      </c>
      <c r="B54" s="169">
        <v>1</v>
      </c>
      <c r="C54" s="169">
        <v>0</v>
      </c>
      <c r="D54" s="169">
        <v>1</v>
      </c>
      <c r="E54" s="169">
        <v>0</v>
      </c>
      <c r="F54" s="171">
        <v>0</v>
      </c>
      <c r="G54" s="171">
        <v>0</v>
      </c>
      <c r="H54" s="171">
        <v>0.01</v>
      </c>
      <c r="I54" s="171">
        <v>0</v>
      </c>
    </row>
    <row r="55" spans="1:9">
      <c r="A55" s="195" t="s">
        <v>1118</v>
      </c>
      <c r="B55" s="169">
        <v>1</v>
      </c>
      <c r="C55" s="169">
        <v>0</v>
      </c>
      <c r="D55" s="169">
        <v>1</v>
      </c>
      <c r="E55" s="169">
        <v>0</v>
      </c>
      <c r="F55" s="171">
        <v>0</v>
      </c>
      <c r="G55" s="171">
        <v>0</v>
      </c>
      <c r="H55" s="171">
        <v>0.01</v>
      </c>
      <c r="I55" s="171">
        <v>0</v>
      </c>
    </row>
    <row r="56" spans="1:9">
      <c r="A56" s="194" t="s">
        <v>333</v>
      </c>
      <c r="B56" s="169">
        <v>196</v>
      </c>
      <c r="C56" s="169">
        <v>367</v>
      </c>
      <c r="D56" s="169">
        <v>196</v>
      </c>
      <c r="E56" s="169">
        <v>367</v>
      </c>
      <c r="F56" s="171">
        <v>-46.594005449591279</v>
      </c>
      <c r="G56" s="171">
        <v>-46.594005449591279</v>
      </c>
      <c r="H56" s="171">
        <v>1.34</v>
      </c>
      <c r="I56" s="171">
        <v>1.84</v>
      </c>
    </row>
    <row r="57" spans="1:9">
      <c r="A57" s="195" t="s">
        <v>296</v>
      </c>
      <c r="B57" s="169">
        <v>196</v>
      </c>
      <c r="C57" s="169">
        <v>367</v>
      </c>
      <c r="D57" s="169">
        <v>196</v>
      </c>
      <c r="E57" s="169">
        <v>367</v>
      </c>
      <c r="F57" s="171">
        <v>-46.594005449591279</v>
      </c>
      <c r="G57" s="171">
        <v>-46.594005449591279</v>
      </c>
      <c r="H57" s="171">
        <v>1.34</v>
      </c>
      <c r="I57" s="171">
        <v>1.84</v>
      </c>
    </row>
    <row r="58" spans="1:9">
      <c r="A58" s="194" t="s">
        <v>436</v>
      </c>
      <c r="B58" s="169">
        <v>97</v>
      </c>
      <c r="C58" s="169">
        <v>247</v>
      </c>
      <c r="D58" s="169">
        <v>97</v>
      </c>
      <c r="E58" s="169">
        <v>247</v>
      </c>
      <c r="F58" s="171">
        <v>-60.728744939271252</v>
      </c>
      <c r="G58" s="171">
        <v>-60.728744939271252</v>
      </c>
      <c r="H58" s="171">
        <v>0.66</v>
      </c>
      <c r="I58" s="171">
        <v>1.24</v>
      </c>
    </row>
    <row r="59" spans="1:9">
      <c r="A59" s="195" t="s">
        <v>337</v>
      </c>
      <c r="B59" s="169">
        <v>97</v>
      </c>
      <c r="C59" s="169">
        <v>247</v>
      </c>
      <c r="D59" s="169">
        <v>97</v>
      </c>
      <c r="E59" s="169">
        <v>247</v>
      </c>
      <c r="F59" s="171">
        <v>-60.728744939271252</v>
      </c>
      <c r="G59" s="171">
        <v>-60.728744939271252</v>
      </c>
      <c r="H59" s="171">
        <v>0.66</v>
      </c>
      <c r="I59" s="171">
        <v>1.24</v>
      </c>
    </row>
    <row r="60" spans="1:9">
      <c r="A60" s="194" t="s">
        <v>470</v>
      </c>
      <c r="B60" s="169">
        <v>6</v>
      </c>
      <c r="C60" s="169">
        <v>4</v>
      </c>
      <c r="D60" s="169">
        <v>6</v>
      </c>
      <c r="E60" s="169">
        <v>4</v>
      </c>
      <c r="F60" s="171">
        <v>50</v>
      </c>
      <c r="G60" s="171">
        <v>50</v>
      </c>
      <c r="H60" s="171">
        <v>0.04</v>
      </c>
      <c r="I60" s="171">
        <v>0.02</v>
      </c>
    </row>
    <row r="61" spans="1:9">
      <c r="A61" s="195" t="s">
        <v>444</v>
      </c>
      <c r="B61" s="169">
        <v>6</v>
      </c>
      <c r="C61" s="169">
        <v>4</v>
      </c>
      <c r="D61" s="169">
        <v>6</v>
      </c>
      <c r="E61" s="169">
        <v>4</v>
      </c>
      <c r="F61" s="171">
        <v>50</v>
      </c>
      <c r="G61" s="171">
        <v>50</v>
      </c>
      <c r="H61" s="171">
        <v>0.04</v>
      </c>
      <c r="I61" s="171">
        <v>0.02</v>
      </c>
    </row>
    <row r="62" spans="1:9">
      <c r="A62" s="194" t="s">
        <v>613</v>
      </c>
      <c r="B62" s="169">
        <v>225</v>
      </c>
      <c r="C62" s="169">
        <v>11</v>
      </c>
      <c r="D62" s="169">
        <v>225</v>
      </c>
      <c r="E62" s="169">
        <v>11</v>
      </c>
      <c r="F62" s="171">
        <v>1945.4545454545453</v>
      </c>
      <c r="G62" s="171">
        <v>1945.4545454545453</v>
      </c>
      <c r="H62" s="171">
        <v>1.54</v>
      </c>
      <c r="I62" s="171">
        <v>0.06</v>
      </c>
    </row>
    <row r="63" spans="1:9">
      <c r="A63" s="195" t="s">
        <v>305</v>
      </c>
      <c r="B63" s="169">
        <v>225</v>
      </c>
      <c r="C63" s="169">
        <v>11</v>
      </c>
      <c r="D63" s="169">
        <v>225</v>
      </c>
      <c r="E63" s="169">
        <v>11</v>
      </c>
      <c r="F63" s="171">
        <v>1945.4545454545453</v>
      </c>
      <c r="G63" s="171">
        <v>1945.4545454545453</v>
      </c>
      <c r="H63" s="171">
        <v>1.54</v>
      </c>
      <c r="I63" s="171">
        <v>0.06</v>
      </c>
    </row>
    <row r="64" spans="1:9">
      <c r="A64" s="194" t="s">
        <v>334</v>
      </c>
      <c r="B64" s="169">
        <v>1582</v>
      </c>
      <c r="C64" s="169">
        <v>1706</v>
      </c>
      <c r="D64" s="169">
        <v>1582</v>
      </c>
      <c r="E64" s="169">
        <v>1706</v>
      </c>
      <c r="F64" s="171">
        <v>-7.2684642438452514</v>
      </c>
      <c r="G64" s="171">
        <v>-7.2684642438452514</v>
      </c>
      <c r="H64" s="171">
        <v>10.84</v>
      </c>
      <c r="I64" s="171">
        <v>8.57</v>
      </c>
    </row>
    <row r="65" spans="1:9">
      <c r="A65" s="195" t="s">
        <v>289</v>
      </c>
      <c r="B65" s="169">
        <v>143</v>
      </c>
      <c r="C65" s="169">
        <v>72</v>
      </c>
      <c r="D65" s="169">
        <v>143</v>
      </c>
      <c r="E65" s="169">
        <v>72</v>
      </c>
      <c r="F65" s="171">
        <v>98.611111111111114</v>
      </c>
      <c r="G65" s="171">
        <v>98.611111111111114</v>
      </c>
      <c r="H65" s="171">
        <v>0.98</v>
      </c>
      <c r="I65" s="171">
        <v>0.36</v>
      </c>
    </row>
    <row r="66" spans="1:9">
      <c r="A66" s="195" t="s">
        <v>306</v>
      </c>
      <c r="B66" s="169">
        <v>1439</v>
      </c>
      <c r="C66" s="169">
        <v>1634</v>
      </c>
      <c r="D66" s="169">
        <v>1439</v>
      </c>
      <c r="E66" s="169">
        <v>1634</v>
      </c>
      <c r="F66" s="171">
        <v>-11.933904528763769</v>
      </c>
      <c r="G66" s="171">
        <v>-11.933904528763769</v>
      </c>
      <c r="H66" s="171">
        <v>9.86</v>
      </c>
      <c r="I66" s="171">
        <v>8.2100000000000009</v>
      </c>
    </row>
    <row r="67" spans="1:9">
      <c r="A67" s="194" t="s">
        <v>335</v>
      </c>
      <c r="B67" s="169">
        <v>3345</v>
      </c>
      <c r="C67" s="169">
        <v>4489</v>
      </c>
      <c r="D67" s="169">
        <v>3345</v>
      </c>
      <c r="E67" s="169">
        <v>4489</v>
      </c>
      <c r="F67" s="171">
        <v>-25.484517709957679</v>
      </c>
      <c r="G67" s="171">
        <v>-25.484517709957679</v>
      </c>
      <c r="H67" s="171">
        <v>22.9</v>
      </c>
      <c r="I67" s="171">
        <v>22.57</v>
      </c>
    </row>
    <row r="68" spans="1:9">
      <c r="A68" s="195" t="s">
        <v>273</v>
      </c>
      <c r="B68" s="169">
        <v>900</v>
      </c>
      <c r="C68" s="169">
        <v>841</v>
      </c>
      <c r="D68" s="169">
        <v>900</v>
      </c>
      <c r="E68" s="169">
        <v>841</v>
      </c>
      <c r="F68" s="171">
        <v>7.0154577883472058</v>
      </c>
      <c r="G68" s="171">
        <v>7.0154577883472058</v>
      </c>
      <c r="H68" s="171">
        <v>6.16</v>
      </c>
      <c r="I68" s="171">
        <v>4.2300000000000004</v>
      </c>
    </row>
    <row r="69" spans="1:9">
      <c r="A69" s="195" t="s">
        <v>299</v>
      </c>
      <c r="B69" s="169">
        <v>260</v>
      </c>
      <c r="C69" s="169">
        <v>169</v>
      </c>
      <c r="D69" s="169">
        <v>260</v>
      </c>
      <c r="E69" s="169">
        <v>169</v>
      </c>
      <c r="F69" s="171">
        <v>53.846153846153847</v>
      </c>
      <c r="G69" s="171">
        <v>53.846153846153847</v>
      </c>
      <c r="H69" s="171">
        <v>1.78</v>
      </c>
      <c r="I69" s="171">
        <v>0.85</v>
      </c>
    </row>
    <row r="70" spans="1:9">
      <c r="A70" s="195" t="s">
        <v>301</v>
      </c>
      <c r="B70" s="169">
        <v>190</v>
      </c>
      <c r="C70" s="169">
        <v>316</v>
      </c>
      <c r="D70" s="169">
        <v>190</v>
      </c>
      <c r="E70" s="169">
        <v>316</v>
      </c>
      <c r="F70" s="171">
        <v>-39.87341772151899</v>
      </c>
      <c r="G70" s="171">
        <v>-39.87341772151899</v>
      </c>
      <c r="H70" s="171">
        <v>1.3</v>
      </c>
      <c r="I70" s="171">
        <v>1.59</v>
      </c>
    </row>
    <row r="71" spans="1:9">
      <c r="A71" s="195" t="s">
        <v>302</v>
      </c>
      <c r="B71" s="169">
        <v>565</v>
      </c>
      <c r="C71" s="169">
        <v>830</v>
      </c>
      <c r="D71" s="169">
        <v>565</v>
      </c>
      <c r="E71" s="169">
        <v>830</v>
      </c>
      <c r="F71" s="171">
        <v>-31.92771084337349</v>
      </c>
      <c r="G71" s="171">
        <v>-31.92771084337349</v>
      </c>
      <c r="H71" s="171">
        <v>3.87</v>
      </c>
      <c r="I71" s="171">
        <v>4.17</v>
      </c>
    </row>
    <row r="72" spans="1:9">
      <c r="A72" s="195" t="s">
        <v>307</v>
      </c>
      <c r="B72" s="169">
        <v>1389</v>
      </c>
      <c r="C72" s="169">
        <v>2333</v>
      </c>
      <c r="D72" s="169">
        <v>1389</v>
      </c>
      <c r="E72" s="169">
        <v>2333</v>
      </c>
      <c r="F72" s="171">
        <v>-40.462923274753535</v>
      </c>
      <c r="G72" s="171">
        <v>-40.462923274753535</v>
      </c>
      <c r="H72" s="171">
        <v>9.51</v>
      </c>
      <c r="I72" s="171">
        <v>11.73</v>
      </c>
    </row>
    <row r="73" spans="1:9">
      <c r="A73" s="195" t="s">
        <v>1117</v>
      </c>
      <c r="B73" s="169">
        <v>41</v>
      </c>
      <c r="C73" s="169">
        <v>0</v>
      </c>
      <c r="D73" s="169">
        <v>41</v>
      </c>
      <c r="E73" s="169">
        <v>0</v>
      </c>
      <c r="F73" s="171">
        <v>0</v>
      </c>
      <c r="G73" s="171">
        <v>0</v>
      </c>
      <c r="H73" s="171">
        <v>0.28000000000000003</v>
      </c>
      <c r="I73" s="171">
        <v>0</v>
      </c>
    </row>
    <row r="74" spans="1:9">
      <c r="A74" s="194" t="s">
        <v>336</v>
      </c>
      <c r="B74" s="169">
        <v>3026</v>
      </c>
      <c r="C74" s="169">
        <v>3722</v>
      </c>
      <c r="D74" s="169">
        <v>3026</v>
      </c>
      <c r="E74" s="169">
        <v>3722</v>
      </c>
      <c r="F74" s="171">
        <v>-18.699623858140786</v>
      </c>
      <c r="G74" s="171">
        <v>-18.699623858140786</v>
      </c>
      <c r="H74" s="171">
        <v>20.72</v>
      </c>
      <c r="I74" s="171">
        <v>18.720000000000002</v>
      </c>
    </row>
    <row r="75" spans="1:9">
      <c r="A75" s="195" t="s">
        <v>337</v>
      </c>
      <c r="B75" s="169">
        <v>0</v>
      </c>
      <c r="C75" s="169">
        <v>1</v>
      </c>
      <c r="D75" s="169">
        <v>0</v>
      </c>
      <c r="E75" s="169">
        <v>1</v>
      </c>
      <c r="F75" s="171">
        <v>-100</v>
      </c>
      <c r="G75" s="171">
        <v>-100</v>
      </c>
      <c r="H75" s="171">
        <v>0</v>
      </c>
      <c r="I75" s="171">
        <v>0.01</v>
      </c>
    </row>
    <row r="76" spans="1:9">
      <c r="A76" s="195" t="s">
        <v>308</v>
      </c>
      <c r="B76" s="169">
        <v>3026</v>
      </c>
      <c r="C76" s="169">
        <v>3721</v>
      </c>
      <c r="D76" s="169">
        <v>3026</v>
      </c>
      <c r="E76" s="169">
        <v>3721</v>
      </c>
      <c r="F76" s="171">
        <v>-18.677774791722655</v>
      </c>
      <c r="G76" s="171">
        <v>-18.677774791722655</v>
      </c>
      <c r="H76" s="171">
        <v>20.72</v>
      </c>
      <c r="I76" s="171">
        <v>18.71</v>
      </c>
    </row>
    <row r="77" spans="1:9">
      <c r="A77" s="194" t="s">
        <v>219</v>
      </c>
      <c r="B77" s="169">
        <v>19</v>
      </c>
      <c r="C77" s="169">
        <v>41</v>
      </c>
      <c r="D77" s="169">
        <v>19</v>
      </c>
      <c r="E77" s="169">
        <v>41</v>
      </c>
      <c r="F77" s="171">
        <v>-53.658536585365859</v>
      </c>
      <c r="G77" s="171">
        <v>-53.658536585365859</v>
      </c>
      <c r="H77" s="171">
        <v>0.13</v>
      </c>
      <c r="I77" s="171">
        <v>0.21</v>
      </c>
    </row>
    <row r="78" spans="1:9">
      <c r="A78" s="195" t="s">
        <v>309</v>
      </c>
      <c r="B78" s="169">
        <v>19</v>
      </c>
      <c r="C78" s="169">
        <v>41</v>
      </c>
      <c r="D78" s="169">
        <v>19</v>
      </c>
      <c r="E78" s="169">
        <v>41</v>
      </c>
      <c r="F78" s="171">
        <v>-53.658536585365859</v>
      </c>
      <c r="G78" s="171">
        <v>-53.658536585365859</v>
      </c>
      <c r="H78" s="171">
        <v>0.13</v>
      </c>
      <c r="I78" s="171">
        <v>0.21</v>
      </c>
    </row>
    <row r="79" spans="1:9">
      <c r="A79" s="194" t="s">
        <v>485</v>
      </c>
      <c r="B79" s="169">
        <v>14601</v>
      </c>
      <c r="C79" s="169">
        <v>19893</v>
      </c>
      <c r="D79" s="169">
        <v>14601</v>
      </c>
      <c r="E79" s="169">
        <v>19893</v>
      </c>
      <c r="F79" s="171">
        <v>-26.602322424973607</v>
      </c>
      <c r="G79" s="171">
        <v>-26.602322424973607</v>
      </c>
      <c r="H79" s="171">
        <v>99.99</v>
      </c>
      <c r="I79" s="171">
        <v>100.03000000000002</v>
      </c>
    </row>
    <row r="80" spans="1:9">
      <c r="B80"/>
      <c r="C80"/>
      <c r="D80"/>
      <c r="E80"/>
      <c r="F80"/>
      <c r="G80"/>
      <c r="H80"/>
      <c r="I80"/>
    </row>
    <row r="81" spans="1:9">
      <c r="A81" s="60"/>
      <c r="B81" s="60"/>
      <c r="C81"/>
      <c r="D81"/>
      <c r="E81"/>
      <c r="F81"/>
      <c r="G81"/>
      <c r="H81"/>
      <c r="I81"/>
    </row>
    <row r="82" spans="1:9">
      <c r="A82" s="22" t="s">
        <v>1101</v>
      </c>
      <c r="B82" s="60"/>
      <c r="C82"/>
      <c r="D82"/>
      <c r="E82"/>
      <c r="F82"/>
      <c r="G82"/>
      <c r="H82"/>
      <c r="I82"/>
    </row>
    <row r="83" spans="1:9">
      <c r="A83" s="60" t="s">
        <v>1091</v>
      </c>
      <c r="B83" s="60" t="s">
        <v>712</v>
      </c>
      <c r="C83"/>
      <c r="D83"/>
      <c r="E83"/>
      <c r="F83"/>
      <c r="G83"/>
      <c r="H83"/>
      <c r="I83"/>
    </row>
    <row r="84" spans="1:9">
      <c r="A84" s="60" t="s">
        <v>639</v>
      </c>
      <c r="B84" s="60" t="s">
        <v>627</v>
      </c>
      <c r="C84" s="60"/>
      <c r="D84"/>
      <c r="E84"/>
      <c r="F84"/>
      <c r="G84"/>
      <c r="H84"/>
      <c r="I84"/>
    </row>
    <row r="85" spans="1:9">
      <c r="A85" s="60" t="s">
        <v>489</v>
      </c>
      <c r="B85" s="60" t="s">
        <v>1102</v>
      </c>
      <c r="C85" s="60"/>
      <c r="D85"/>
      <c r="E85"/>
      <c r="F85"/>
      <c r="G85"/>
      <c r="H85"/>
      <c r="I85"/>
    </row>
    <row r="86" spans="1:9">
      <c r="A86" s="60" t="s">
        <v>738</v>
      </c>
      <c r="B86" s="60" t="s">
        <v>1103</v>
      </c>
      <c r="C86" s="60"/>
      <c r="D86"/>
      <c r="E86"/>
      <c r="F86"/>
      <c r="G86"/>
      <c r="H86"/>
      <c r="I86"/>
    </row>
    <row r="87" spans="1:9">
      <c r="A87" s="60" t="s">
        <v>1104</v>
      </c>
      <c r="B87" s="60" t="s">
        <v>1105</v>
      </c>
      <c r="C87" s="60"/>
      <c r="D87"/>
      <c r="E87"/>
      <c r="F87"/>
      <c r="G87"/>
      <c r="H87"/>
      <c r="I87"/>
    </row>
    <row r="88" spans="1:9">
      <c r="A88" s="60" t="s">
        <v>1106</v>
      </c>
      <c r="B88" s="60" t="s">
        <v>1107</v>
      </c>
      <c r="C88" s="60"/>
      <c r="D88"/>
      <c r="E88"/>
      <c r="F88"/>
      <c r="G88"/>
      <c r="H88"/>
      <c r="I88"/>
    </row>
    <row r="89" spans="1:9">
      <c r="C89" s="60"/>
      <c r="D89"/>
      <c r="E89"/>
      <c r="F89"/>
      <c r="G89"/>
      <c r="H89"/>
      <c r="I89"/>
    </row>
    <row r="90" spans="1:9">
      <c r="C90" s="60"/>
      <c r="D90"/>
      <c r="E90"/>
      <c r="F90"/>
      <c r="G90"/>
      <c r="H90"/>
      <c r="I90"/>
    </row>
    <row r="91" spans="1:9">
      <c r="A91" s="27" t="s">
        <v>716</v>
      </c>
      <c r="C91" s="60"/>
    </row>
    <row r="92" spans="1:9">
      <c r="C92" s="60"/>
    </row>
    <row r="93" spans="1:9">
      <c r="C93" s="60"/>
    </row>
    <row r="94" spans="1:9">
      <c r="C94" s="60"/>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17" sqref="L17"/>
    </sheetView>
  </sheetViews>
  <sheetFormatPr baseColWidth="10" defaultColWidth="8.83203125" defaultRowHeight="15"/>
  <cols>
    <col min="1" max="1" width="17.1640625" customWidth="1"/>
    <col min="2" max="7" width="13.6640625" customWidth="1"/>
    <col min="8" max="8" width="13.6640625" style="12" customWidth="1"/>
    <col min="9" max="9" width="13.6640625" customWidth="1"/>
    <col min="10" max="10" width="13.6640625" style="9" customWidth="1"/>
    <col min="11" max="11" width="10.5" customWidth="1"/>
    <col min="12" max="12" width="15.33203125" customWidth="1"/>
    <col min="18" max="18" width="11.33203125" customWidth="1"/>
  </cols>
  <sheetData>
    <row r="2" spans="1:13" ht="19.25" customHeight="1" thickBot="1">
      <c r="C2" s="61" t="s">
        <v>346</v>
      </c>
      <c r="D2" s="61"/>
      <c r="E2" s="61"/>
      <c r="F2" s="61"/>
    </row>
    <row r="3" spans="1:13" ht="14" customHeight="1"/>
    <row r="4" spans="1:13">
      <c r="F4" s="286" t="s">
        <v>483</v>
      </c>
      <c r="G4" s="286"/>
      <c r="H4" s="286"/>
      <c r="I4" s="286"/>
    </row>
    <row r="5" spans="1:13">
      <c r="A5" s="112"/>
      <c r="B5" s="283" t="s">
        <v>571</v>
      </c>
      <c r="C5" s="284"/>
      <c r="D5" s="285" t="s">
        <v>573</v>
      </c>
      <c r="E5" s="284"/>
      <c r="F5" s="283" t="s">
        <v>571</v>
      </c>
      <c r="G5" s="284"/>
      <c r="H5" s="285" t="s">
        <v>573</v>
      </c>
      <c r="I5" s="284"/>
      <c r="J5" s="127" t="s">
        <v>572</v>
      </c>
    </row>
    <row r="6" spans="1:13">
      <c r="A6" s="124" t="s">
        <v>504</v>
      </c>
      <c r="B6" s="125" t="str">
        <f>Innehåll!D79</f>
        <v xml:space="preserve"> 2023-01</v>
      </c>
      <c r="C6" s="125" t="str">
        <f>Innehåll!D80</f>
        <v xml:space="preserve"> 2022-01</v>
      </c>
      <c r="D6" s="125" t="str">
        <f>B6</f>
        <v xml:space="preserve"> 2023-01</v>
      </c>
      <c r="E6" s="126" t="str">
        <f>C6</f>
        <v xml:space="preserve"> 2022-01</v>
      </c>
      <c r="F6" s="125" t="str">
        <f>Innehåll!D81</f>
        <v>YTD  2023</v>
      </c>
      <c r="G6" s="125" t="str">
        <f>Innehåll!D82</f>
        <v>YTD  2022</v>
      </c>
      <c r="H6" s="127" t="str">
        <f>F6</f>
        <v>YTD  2023</v>
      </c>
      <c r="I6" s="128" t="str">
        <f>G6</f>
        <v>YTD  2022</v>
      </c>
      <c r="J6" s="127" t="str">
        <f>Innehåll!D81</f>
        <v>YTD  2023</v>
      </c>
    </row>
    <row r="7" spans="1:13" ht="15" hidden="1" customHeight="1">
      <c r="A7" s="75" t="s">
        <v>347</v>
      </c>
      <c r="B7" s="76" t="s">
        <v>35</v>
      </c>
      <c r="C7" s="77" t="s">
        <v>313</v>
      </c>
      <c r="D7" s="27" t="s">
        <v>348</v>
      </c>
      <c r="E7" s="27" t="s">
        <v>349</v>
      </c>
      <c r="F7" s="27" t="s">
        <v>314</v>
      </c>
      <c r="G7" s="27" t="s">
        <v>315</v>
      </c>
      <c r="H7" s="27" t="s">
        <v>350</v>
      </c>
      <c r="I7" s="27" t="s">
        <v>351</v>
      </c>
      <c r="J7" s="64" t="s">
        <v>352</v>
      </c>
    </row>
    <row r="8" spans="1:13">
      <c r="A8" s="46" t="s">
        <v>24</v>
      </c>
      <c r="B8" s="67">
        <v>4203</v>
      </c>
      <c r="C8" s="67">
        <v>5159</v>
      </c>
      <c r="D8" s="64">
        <f>IF(getAggPBFuelTypes[[#This Row],[antalPerioden]]&gt;0,((B8/getAggPBFuelTypes[[#Totals],[antalPerioden]]) * 100),0)</f>
        <v>28.785699609615779</v>
      </c>
      <c r="E8" s="64">
        <f>((C8/getAggPBFuelTypes[[#Totals],[antalPeriodenFG]]) * 100)</f>
        <v>25.93374553863168</v>
      </c>
      <c r="F8" s="67">
        <v>4203</v>
      </c>
      <c r="G8" s="67">
        <v>5159</v>
      </c>
      <c r="H8" s="64">
        <f>((F8/getAggPBFuelTypes[[#Totals],[antalAret]]) * 100)</f>
        <v>28.785699609615779</v>
      </c>
      <c r="I8" s="64">
        <f>((G8/getAggPBFuelTypes[[#Totals],[antalAretFG]]) * 100)</f>
        <v>25.93374553863168</v>
      </c>
      <c r="J8" s="47">
        <f t="shared" ref="J8:J15" si="0">IF(F8 = 0, "",(F8-G8)/G8)</f>
        <v>-0.18530723008334948</v>
      </c>
    </row>
    <row r="9" spans="1:13">
      <c r="A9" s="46" t="s">
        <v>23</v>
      </c>
      <c r="B9" s="67">
        <v>3401</v>
      </c>
      <c r="C9" s="67">
        <v>5363</v>
      </c>
      <c r="D9" s="64">
        <f>IF(getAggPBFuelTypes[[#This Row],[antalPerioden]]&gt;0,((B9/getAggPBFuelTypes[[#Totals],[antalPerioden]]) * 100),0)</f>
        <v>23.292925142113553</v>
      </c>
      <c r="E9" s="64">
        <f>((C9/getAggPBFuelTypes[[#Totals],[antalPeriodenFG]]) * 100)</f>
        <v>26.959231890614788</v>
      </c>
      <c r="F9" s="67">
        <v>3401</v>
      </c>
      <c r="G9" s="67">
        <v>5363</v>
      </c>
      <c r="H9" s="64">
        <f>((F9/getAggPBFuelTypes[[#Totals],[antalAret]]) * 100)</f>
        <v>23.292925142113553</v>
      </c>
      <c r="I9" s="64">
        <f>((G9/getAggPBFuelTypes[[#Totals],[antalAretFG]]) * 100)</f>
        <v>26.959231890614788</v>
      </c>
      <c r="J9" s="47">
        <f t="shared" si="0"/>
        <v>-0.36584001491702406</v>
      </c>
    </row>
    <row r="10" spans="1:13">
      <c r="A10" s="46" t="s">
        <v>20</v>
      </c>
      <c r="B10" s="67">
        <v>3153</v>
      </c>
      <c r="C10" s="67">
        <v>4900</v>
      </c>
      <c r="D10" s="64">
        <f>IF(getAggPBFuelTypes[[#This Row],[antalPerioden]]&gt;0,((B10/getAggPBFuelTypes[[#Totals],[antalPerioden]]) * 100),0)</f>
        <v>21.594411341688925</v>
      </c>
      <c r="E10" s="64">
        <f>((C10/getAggPBFuelTypes[[#Totals],[antalPeriodenFG]]) * 100)</f>
        <v>24.63178002312371</v>
      </c>
      <c r="F10" s="67">
        <v>3153</v>
      </c>
      <c r="G10" s="67">
        <v>4900</v>
      </c>
      <c r="H10" s="64">
        <f>((F10/getAggPBFuelTypes[[#Totals],[antalAret]]) * 100)</f>
        <v>21.594411341688925</v>
      </c>
      <c r="I10" s="64">
        <f>((G10/getAggPBFuelTypes[[#Totals],[antalAretFG]]) * 100)</f>
        <v>24.63178002312371</v>
      </c>
      <c r="J10" s="47">
        <f t="shared" si="0"/>
        <v>-0.35653061224489796</v>
      </c>
    </row>
    <row r="11" spans="1:13">
      <c r="A11" s="46" t="s">
        <v>22</v>
      </c>
      <c r="B11" s="67">
        <v>1630</v>
      </c>
      <c r="C11" s="67">
        <v>1685</v>
      </c>
      <c r="D11" s="64">
        <f>IF(getAggPBFuelTypes[[#This Row],[antalPerioden]]&gt;0,((B11/getAggPBFuelTypes[[#Totals],[antalPerioden]]) * 100),0)</f>
        <v>11.163618930210259</v>
      </c>
      <c r="E11" s="64">
        <f>((C11/getAggPBFuelTypes[[#Totals],[antalPeriodenFG]]) * 100)</f>
        <v>8.4703161916251943</v>
      </c>
      <c r="F11" s="67">
        <v>1630</v>
      </c>
      <c r="G11" s="67">
        <v>1685</v>
      </c>
      <c r="H11" s="64">
        <f>((F11/getAggPBFuelTypes[[#Totals],[antalAret]]) * 100)</f>
        <v>11.163618930210259</v>
      </c>
      <c r="I11" s="64">
        <f>((G11/getAggPBFuelTypes[[#Totals],[antalAretFG]]) * 100)</f>
        <v>8.4703161916251943</v>
      </c>
      <c r="J11" s="47">
        <f t="shared" si="0"/>
        <v>-3.2640949554896145E-2</v>
      </c>
    </row>
    <row r="12" spans="1:13">
      <c r="A12" s="46" t="s">
        <v>21</v>
      </c>
      <c r="B12" s="67">
        <v>1606</v>
      </c>
      <c r="C12" s="67">
        <v>2565</v>
      </c>
      <c r="D12" s="64">
        <f>IF(getAggPBFuelTypes[[#This Row],[antalPerioden]]&gt;0,((B12/getAggPBFuelTypes[[#Totals],[antalPerioden]]) * 100),0)</f>
        <v>10.999246626943361</v>
      </c>
      <c r="E12" s="64">
        <f>((C12/getAggPBFuelTypes[[#Totals],[antalPeriodenFG]]) * 100)</f>
        <v>12.893982808022923</v>
      </c>
      <c r="F12" s="67">
        <v>1606</v>
      </c>
      <c r="G12" s="67">
        <v>2565</v>
      </c>
      <c r="H12" s="64">
        <f>((F12/getAggPBFuelTypes[[#Totals],[antalAret]]) * 100)</f>
        <v>10.999246626943361</v>
      </c>
      <c r="I12" s="64">
        <f>((G12/getAggPBFuelTypes[[#Totals],[antalAretFG]]) * 100)</f>
        <v>12.893982808022923</v>
      </c>
      <c r="J12" s="47">
        <f t="shared" si="0"/>
        <v>-0.37387914230019492</v>
      </c>
    </row>
    <row r="13" spans="1:13">
      <c r="A13" s="46" t="s">
        <v>1056</v>
      </c>
      <c r="B13" s="67">
        <v>381</v>
      </c>
      <c r="C13" s="67">
        <v>0</v>
      </c>
      <c r="D13" s="64">
        <f>IF(getAggPBFuelTypes[[#This Row],[antalPerioden]]&gt;0,((B13/getAggPBFuelTypes[[#Totals],[antalPerioden]]) * 100),0)</f>
        <v>2.6094103143620302</v>
      </c>
      <c r="E13" s="64">
        <f>((C13/getAggPBFuelTypes[[#Totals],[antalPeriodenFG]]) * 100)</f>
        <v>0</v>
      </c>
      <c r="F13" s="67">
        <v>381</v>
      </c>
      <c r="G13" s="67">
        <v>0</v>
      </c>
      <c r="H13" s="64">
        <f>((F13/getAggPBFuelTypes[[#Totals],[antalAret]]) * 100)</f>
        <v>2.6094103143620302</v>
      </c>
      <c r="I13" s="64">
        <f>((G13/getAggPBFuelTypes[[#Totals],[antalAretFG]]) * 100)</f>
        <v>0</v>
      </c>
      <c r="J13" s="47" t="e">
        <f t="shared" si="0"/>
        <v>#DIV/0!</v>
      </c>
    </row>
    <row r="14" spans="1:13">
      <c r="A14" s="78" t="s">
        <v>25</v>
      </c>
      <c r="B14" s="79">
        <v>122</v>
      </c>
      <c r="C14" s="80">
        <v>134</v>
      </c>
      <c r="D14" s="64">
        <f>IF(getAggPBFuelTypes[[#This Row],[antalPerioden]]&gt;0,((B14/getAggPBFuelTypes[[#Totals],[antalPerioden]]) * 100),0)</f>
        <v>0.83555920827340591</v>
      </c>
      <c r="E14" s="64">
        <f>((C14/getAggPBFuelTypes[[#Totals],[antalPeriodenFG]]) * 100)</f>
        <v>0.67360378022419942</v>
      </c>
      <c r="F14" s="67">
        <v>122</v>
      </c>
      <c r="G14" s="67">
        <v>134</v>
      </c>
      <c r="H14" s="64">
        <f>((F14/getAggPBFuelTypes[[#Totals],[antalAret]]) * 100)</f>
        <v>0.83555920827340591</v>
      </c>
      <c r="I14" s="64">
        <f>((G14/getAggPBFuelTypes[[#Totals],[antalAretFG]]) * 100)</f>
        <v>0.67360378022419942</v>
      </c>
      <c r="J14" s="47">
        <f t="shared" si="0"/>
        <v>-8.9552238805970144E-2</v>
      </c>
    </row>
    <row r="15" spans="1:13">
      <c r="A15" s="247" t="s">
        <v>26</v>
      </c>
      <c r="B15" s="248">
        <v>105</v>
      </c>
      <c r="C15" s="249">
        <v>87</v>
      </c>
      <c r="D15" s="175">
        <f>IF(getAggPBFuelTypes[[#This Row],[antalPerioden]]&gt;0,((B15/getAggPBFuelTypes[[#Totals],[antalPerioden]]) * 100),0)</f>
        <v>0.71912882679268542</v>
      </c>
      <c r="E15" s="175">
        <f>((C15/getAggPBFuelTypes[[#Totals],[antalPeriodenFG]]) * 100)</f>
        <v>0.43733976775750266</v>
      </c>
      <c r="F15" s="174">
        <v>105</v>
      </c>
      <c r="G15" s="174">
        <v>87</v>
      </c>
      <c r="H15" s="175">
        <f>((F15/getAggPBFuelTypes[[#Totals],[antalAret]]) * 100)</f>
        <v>0.71912882679268542</v>
      </c>
      <c r="I15" s="175">
        <f>((G15/getAggPBFuelTypes[[#Totals],[antalAretFG]]) * 100)</f>
        <v>0.43733976775750266</v>
      </c>
      <c r="J15" s="47">
        <f t="shared" si="0"/>
        <v>0.20689655172413793</v>
      </c>
      <c r="M15" s="9"/>
    </row>
    <row r="16" spans="1:13">
      <c r="A16" s="166" t="s">
        <v>485</v>
      </c>
      <c r="B16" s="167">
        <f>SUBTOTAL(109,getAggPBFuelTypes[antalPerioden])</f>
        <v>14601</v>
      </c>
      <c r="C16" s="167">
        <f>SUBTOTAL(109,getAggPBFuelTypes[antalPeriodenFG])</f>
        <v>19893</v>
      </c>
      <c r="D16" s="168">
        <f>SUBTOTAL(109,getAggPBFuelTypes[Column1])</f>
        <v>100.00000000000001</v>
      </c>
      <c r="E16" s="168">
        <f>SUBTOTAL(109,getAggPBFuelTypes[Column1])</f>
        <v>100.00000000000001</v>
      </c>
      <c r="F16" s="167">
        <f>SUBTOTAL(109,getAggPBFuelTypes[antalAret])</f>
        <v>14601</v>
      </c>
      <c r="G16" s="167">
        <f>SUBTOTAL(109,getAggPBFuelTypes[antalAretFG])</f>
        <v>19893</v>
      </c>
      <c r="H16" s="168">
        <f>SUBTOTAL(109,getAggPBFuelTypes[Column1])</f>
        <v>100.00000000000001</v>
      </c>
      <c r="I16" s="168">
        <f>SUBTOTAL(109,getAggPBFuelTypes[Column1])</f>
        <v>100.00000000000001</v>
      </c>
      <c r="J16" s="252"/>
      <c r="K16" s="239"/>
      <c r="L16" s="245"/>
    </row>
    <row r="17" spans="1:16">
      <c r="A17" s="27"/>
      <c r="B17" s="27"/>
      <c r="C17" s="27"/>
      <c r="D17" s="64"/>
      <c r="E17" s="64"/>
      <c r="F17" s="27"/>
      <c r="G17" s="27"/>
      <c r="H17" s="64"/>
      <c r="I17" s="64"/>
    </row>
    <row r="18" spans="1:16">
      <c r="A18" s="60" t="s">
        <v>718</v>
      </c>
      <c r="B18" s="27"/>
      <c r="C18" s="27"/>
      <c r="D18" s="27"/>
      <c r="E18" s="27"/>
      <c r="F18" s="27"/>
      <c r="G18" s="27"/>
      <c r="H18" s="66"/>
      <c r="I18" s="27"/>
    </row>
    <row r="19" spans="1:16">
      <c r="A19" s="8" t="s">
        <v>719</v>
      </c>
      <c r="B19" s="27"/>
      <c r="C19" s="27"/>
      <c r="D19" s="27"/>
      <c r="E19" s="27"/>
      <c r="F19" s="27"/>
      <c r="G19" s="27"/>
      <c r="H19" s="66"/>
      <c r="I19" s="27"/>
    </row>
    <row r="20" spans="1:16">
      <c r="A20" s="60" t="s">
        <v>720</v>
      </c>
      <c r="B20" s="27"/>
      <c r="C20" s="27"/>
      <c r="D20" s="27"/>
      <c r="E20" s="27"/>
      <c r="F20" s="27"/>
      <c r="G20" s="27"/>
      <c r="H20" s="66"/>
      <c r="I20" s="27"/>
    </row>
    <row r="21" spans="1:16">
      <c r="A21" s="60" t="s">
        <v>721</v>
      </c>
      <c r="B21" s="27"/>
      <c r="C21" s="27"/>
      <c r="D21" s="27"/>
      <c r="E21" s="27"/>
      <c r="F21" s="27"/>
      <c r="G21" s="27"/>
      <c r="H21" s="66"/>
      <c r="I21" s="27"/>
    </row>
    <row r="22" spans="1:16">
      <c r="A22" s="60" t="s">
        <v>722</v>
      </c>
      <c r="B22" s="27"/>
      <c r="C22" s="27"/>
      <c r="D22" s="27"/>
      <c r="E22" s="27"/>
      <c r="F22" s="27"/>
      <c r="G22" s="27"/>
      <c r="H22" s="66"/>
      <c r="I22" s="27"/>
    </row>
    <row r="23" spans="1:16">
      <c r="A23" s="60" t="s">
        <v>471</v>
      </c>
      <c r="B23" s="27"/>
      <c r="C23" s="27"/>
      <c r="D23" s="27"/>
      <c r="E23" s="27"/>
      <c r="F23" s="27"/>
      <c r="G23" s="27"/>
      <c r="H23" s="66"/>
      <c r="I23" s="27"/>
    </row>
    <row r="28" spans="1:16" ht="20" thickBot="1">
      <c r="L28" s="74" t="s">
        <v>235</v>
      </c>
      <c r="M28" s="74"/>
      <c r="N28" s="74"/>
      <c r="O28" s="74"/>
      <c r="P28" s="129"/>
    </row>
    <row r="29" spans="1:16">
      <c r="L29" s="27"/>
      <c r="M29" s="27"/>
      <c r="N29" s="27"/>
      <c r="O29" s="27"/>
      <c r="P29" s="27"/>
    </row>
    <row r="30" spans="1:16" ht="16" thickBot="1">
      <c r="L30" s="82" t="str">
        <f>Innehåll!D85</f>
        <v>Jan - jan 2023</v>
      </c>
      <c r="M30" s="83" t="s">
        <v>574</v>
      </c>
      <c r="N30" s="27"/>
      <c r="O30" s="27"/>
      <c r="P30" s="27"/>
    </row>
    <row r="31" spans="1:16">
      <c r="L31" s="27"/>
      <c r="M31" s="27"/>
      <c r="N31" s="27"/>
      <c r="O31" s="27"/>
      <c r="P31" s="27"/>
    </row>
    <row r="32" spans="1:16">
      <c r="L32" s="64" t="str">
        <f>A8</f>
        <v>El</v>
      </c>
      <c r="M32" s="64">
        <f t="shared" ref="M32:M38" si="1">INDEX($H$8:$H$15,MATCH(L32,$A$8:$A$15,0))</f>
        <v>28.785699609615779</v>
      </c>
      <c r="N32" s="27"/>
      <c r="P32" s="27"/>
    </row>
    <row r="33" spans="12:16">
      <c r="L33" s="64" t="str">
        <f t="shared" ref="L33:L38" si="2">A9</f>
        <v>Laddhybrid</v>
      </c>
      <c r="M33" s="64">
        <f t="shared" si="1"/>
        <v>23.292925142113553</v>
      </c>
      <c r="N33" s="27"/>
      <c r="P33" s="27"/>
    </row>
    <row r="34" spans="12:16">
      <c r="L34" s="64" t="str">
        <f t="shared" si="2"/>
        <v>Bensin</v>
      </c>
      <c r="M34" s="64">
        <f t="shared" si="1"/>
        <v>21.594411341688925</v>
      </c>
      <c r="N34" s="27"/>
      <c r="P34" s="27"/>
    </row>
    <row r="35" spans="12:16">
      <c r="L35" s="64" t="str">
        <f t="shared" si="2"/>
        <v>Elhybrid</v>
      </c>
      <c r="M35" s="64">
        <f t="shared" si="1"/>
        <v>11.163618930210259</v>
      </c>
      <c r="N35" s="27"/>
      <c r="P35" s="27"/>
    </row>
    <row r="36" spans="12:16">
      <c r="L36" s="64" t="str">
        <f t="shared" si="2"/>
        <v>Diesel</v>
      </c>
      <c r="M36" s="64">
        <f t="shared" si="1"/>
        <v>10.999246626943361</v>
      </c>
      <c r="N36" s="27"/>
      <c r="P36" s="27"/>
    </row>
    <row r="37" spans="12:16">
      <c r="L37" s="64" t="str">
        <f t="shared" si="2"/>
        <v>Ospec.</v>
      </c>
      <c r="M37" s="64">
        <f t="shared" si="1"/>
        <v>2.6094103143620302</v>
      </c>
      <c r="N37" s="27"/>
      <c r="P37" s="27"/>
    </row>
    <row r="38" spans="12:16">
      <c r="L38" s="64" t="str">
        <f t="shared" si="2"/>
        <v>Gas</v>
      </c>
      <c r="M38" s="64">
        <f t="shared" si="1"/>
        <v>0.83555920827340591</v>
      </c>
      <c r="N38" s="27"/>
      <c r="P38" s="27"/>
    </row>
    <row r="39" spans="12:16">
      <c r="L39" s="27"/>
      <c r="M39" s="64"/>
      <c r="N39" s="27"/>
      <c r="O39" s="27"/>
      <c r="P39" s="27"/>
    </row>
    <row r="40" spans="12:16">
      <c r="M40" s="9"/>
    </row>
    <row r="43" spans="12:16" ht="15" hidden="1" customHeight="1"/>
    <row r="60" spans="1:1">
      <c r="A60" s="27" t="s">
        <v>716</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2"/>
  <sheetViews>
    <sheetView showZeros="0" workbookViewId="0">
      <selection activeCell="R28" sqref="R28"/>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10"/>
      <c r="O2" s="74" t="s">
        <v>511</v>
      </c>
      <c r="P2" s="74"/>
      <c r="Q2" s="74"/>
      <c r="R2" s="74"/>
      <c r="S2" s="74"/>
      <c r="T2" s="74"/>
      <c r="U2" s="129"/>
    </row>
    <row r="3" spans="1:21" ht="15" customHeight="1">
      <c r="A3" s="10"/>
      <c r="O3" s="27" t="s">
        <v>510</v>
      </c>
      <c r="P3" s="27"/>
      <c r="Q3" s="27"/>
      <c r="R3" s="27"/>
      <c r="S3" s="27"/>
      <c r="T3" s="27"/>
      <c r="U3" s="27"/>
    </row>
    <row r="4" spans="1:21" ht="15" customHeight="1">
      <c r="A4" s="10"/>
      <c r="O4" s="7"/>
      <c r="P4" s="7"/>
      <c r="Q4" s="17"/>
      <c r="R4" s="17"/>
      <c r="S4" s="17"/>
      <c r="T4" s="17"/>
      <c r="U4" s="27"/>
    </row>
    <row r="5" spans="1:21" ht="15" customHeight="1" thickBot="1">
      <c r="A5" s="10"/>
      <c r="O5" s="20" t="s">
        <v>486</v>
      </c>
      <c r="P5" s="20">
        <v>2021</v>
      </c>
      <c r="Q5" s="20">
        <v>2022</v>
      </c>
      <c r="R5" s="20">
        <v>2023</v>
      </c>
      <c r="S5" s="27"/>
      <c r="T5" s="27"/>
      <c r="U5" s="27"/>
    </row>
    <row r="6" spans="1:21" ht="15" customHeight="1">
      <c r="A6" s="10"/>
      <c r="O6" s="17" t="s">
        <v>2</v>
      </c>
      <c r="P6" s="84">
        <v>33.5</v>
      </c>
      <c r="Q6" s="84">
        <v>52.9</v>
      </c>
      <c r="R6" s="84">
        <v>52.2</v>
      </c>
      <c r="S6" s="27"/>
      <c r="T6" s="27"/>
      <c r="U6" s="27"/>
    </row>
    <row r="7" spans="1:21" ht="15" customHeight="1">
      <c r="A7" s="10"/>
      <c r="O7" s="17" t="s">
        <v>3</v>
      </c>
      <c r="P7" s="84">
        <v>34.200000000000003</v>
      </c>
      <c r="Q7" s="84">
        <v>51.6</v>
      </c>
      <c r="R7" s="84"/>
      <c r="S7" s="27"/>
      <c r="T7" s="27"/>
      <c r="U7" s="27"/>
    </row>
    <row r="8" spans="1:21" ht="15" customHeight="1">
      <c r="A8" s="10"/>
      <c r="O8" s="17" t="s">
        <v>4</v>
      </c>
      <c r="P8" s="84">
        <v>37</v>
      </c>
      <c r="Q8" s="84">
        <v>55.6</v>
      </c>
      <c r="R8" s="84"/>
      <c r="S8" s="27"/>
      <c r="T8" s="27"/>
      <c r="U8" s="27"/>
    </row>
    <row r="9" spans="1:21" ht="15" customHeight="1">
      <c r="A9" s="10"/>
      <c r="O9" s="17" t="s">
        <v>5</v>
      </c>
      <c r="P9" s="84">
        <v>43.2</v>
      </c>
      <c r="Q9" s="84">
        <v>48.2</v>
      </c>
      <c r="R9" s="84"/>
      <c r="S9" s="27"/>
      <c r="T9" s="27"/>
      <c r="U9" s="27"/>
    </row>
    <row r="10" spans="1:21" ht="15" customHeight="1">
      <c r="A10" s="10"/>
      <c r="O10" s="17" t="s">
        <v>6</v>
      </c>
      <c r="P10" s="84">
        <v>39</v>
      </c>
      <c r="Q10" s="84">
        <v>47.4</v>
      </c>
      <c r="R10" s="84"/>
      <c r="S10" s="27"/>
      <c r="T10" s="27"/>
      <c r="U10" s="27"/>
    </row>
    <row r="11" spans="1:21" ht="15" customHeight="1">
      <c r="A11" s="10"/>
      <c r="O11" s="17" t="s">
        <v>7</v>
      </c>
      <c r="P11" s="84">
        <v>49.4</v>
      </c>
      <c r="Q11" s="84">
        <v>55</v>
      </c>
      <c r="R11" s="84"/>
      <c r="S11" s="27"/>
      <c r="T11" s="27"/>
      <c r="U11" s="27"/>
    </row>
    <row r="12" spans="1:21" ht="15" customHeight="1">
      <c r="A12" s="10"/>
      <c r="O12" s="17" t="s">
        <v>8</v>
      </c>
      <c r="P12" s="84">
        <v>37.6</v>
      </c>
      <c r="Q12" s="84">
        <v>49.9</v>
      </c>
      <c r="R12" s="84"/>
      <c r="S12" s="27"/>
      <c r="T12" s="27"/>
      <c r="U12" s="27"/>
    </row>
    <row r="13" spans="1:21" ht="15" customHeight="1">
      <c r="A13" s="10"/>
      <c r="O13" s="17" t="s">
        <v>9</v>
      </c>
      <c r="P13" s="84">
        <v>47.1</v>
      </c>
      <c r="Q13" s="84">
        <v>45.9</v>
      </c>
      <c r="R13" s="84"/>
      <c r="S13" s="27"/>
      <c r="T13" s="27"/>
      <c r="U13" s="27"/>
    </row>
    <row r="14" spans="1:21" ht="15" customHeight="1">
      <c r="A14" s="10"/>
      <c r="O14" s="17" t="s">
        <v>10</v>
      </c>
      <c r="P14" s="84">
        <v>53.9</v>
      </c>
      <c r="Q14" s="84">
        <v>55.1</v>
      </c>
      <c r="R14" s="84"/>
      <c r="S14" s="27"/>
      <c r="T14" s="27"/>
      <c r="U14" s="27"/>
    </row>
    <row r="15" spans="1:21" ht="15" customHeight="1">
      <c r="A15" s="10"/>
      <c r="O15" s="17" t="s">
        <v>11</v>
      </c>
      <c r="P15" s="84">
        <v>50.9</v>
      </c>
      <c r="Q15" s="84">
        <v>59.4</v>
      </c>
      <c r="R15" s="84"/>
      <c r="S15" s="27"/>
      <c r="T15" s="27"/>
      <c r="U15" s="27"/>
    </row>
    <row r="16" spans="1:21" ht="15" customHeight="1">
      <c r="A16" s="10"/>
      <c r="O16" s="17" t="s">
        <v>12</v>
      </c>
      <c r="P16" s="84">
        <v>54.3</v>
      </c>
      <c r="Q16" s="84">
        <v>64.599999999999994</v>
      </c>
      <c r="R16" s="84"/>
      <c r="S16" s="27"/>
      <c r="T16" s="27"/>
      <c r="U16" s="27"/>
    </row>
    <row r="17" spans="1:21" ht="15" customHeight="1">
      <c r="A17" s="10"/>
      <c r="O17" s="28" t="s">
        <v>13</v>
      </c>
      <c r="P17" s="85">
        <v>60.7</v>
      </c>
      <c r="Q17" s="85">
        <v>74.599999999999994</v>
      </c>
      <c r="R17" s="85"/>
      <c r="S17" s="27"/>
      <c r="T17" s="27"/>
      <c r="U17" s="27"/>
    </row>
    <row r="18" spans="1:21" ht="15" customHeight="1">
      <c r="A18" s="10"/>
      <c r="O18" s="7" t="s">
        <v>570</v>
      </c>
      <c r="P18" s="25">
        <v>45</v>
      </c>
      <c r="Q18" s="25">
        <v>56.1</v>
      </c>
      <c r="R18" s="25">
        <f>IF(getAggModelsPB[[#Totals],[antalÅret]] &gt; 0,getAggRechargeModels[[#Totals],[antalÅret]]  / getAggModelsPB[[#Totals],[antalÅret]] * 100,0)</f>
        <v>52.242997054996231</v>
      </c>
      <c r="S18" s="27"/>
      <c r="T18" s="27"/>
      <c r="U18" s="27"/>
    </row>
    <row r="19" spans="1:21" ht="15" customHeight="1">
      <c r="A19" s="10"/>
      <c r="O19" s="7" t="s">
        <v>569</v>
      </c>
      <c r="P19" s="25">
        <v>45</v>
      </c>
      <c r="Q19" s="25">
        <v>56.1</v>
      </c>
      <c r="R19" s="27"/>
      <c r="S19" s="27"/>
      <c r="T19" s="27"/>
      <c r="U19" s="27"/>
    </row>
    <row r="20" spans="1:21" ht="15" customHeight="1">
      <c r="A20" s="10"/>
    </row>
    <row r="21" spans="1:21" ht="15" customHeight="1">
      <c r="A21" s="10"/>
    </row>
    <row r="22" spans="1:21" ht="15" customHeight="1">
      <c r="A22" s="10"/>
    </row>
    <row r="23" spans="1:21" ht="15" customHeight="1">
      <c r="A23" s="10"/>
    </row>
    <row r="24" spans="1:21" ht="15" customHeight="1">
      <c r="A24" s="10"/>
    </row>
    <row r="25" spans="1:21" ht="15" customHeight="1">
      <c r="A25" s="10"/>
    </row>
    <row r="26" spans="1:21" ht="15" customHeight="1">
      <c r="A26" s="10"/>
    </row>
    <row r="27" spans="1:21" ht="15" customHeight="1">
      <c r="A27" s="10"/>
    </row>
    <row r="28" spans="1:21" ht="15" customHeight="1">
      <c r="A28" s="10"/>
    </row>
    <row r="29" spans="1:21" ht="15" customHeight="1">
      <c r="A29" s="10"/>
    </row>
    <row r="30" spans="1:21" ht="15" customHeight="1">
      <c r="A30" s="10"/>
    </row>
    <row r="31" spans="1:21" ht="15" customHeight="1">
      <c r="A31" s="10"/>
    </row>
    <row r="32" spans="1:21" ht="15" customHeight="1">
      <c r="A32" s="10"/>
    </row>
    <row r="33" spans="1:14" ht="15" customHeight="1">
      <c r="A33" s="10"/>
    </row>
    <row r="34" spans="1:14" ht="15" customHeight="1">
      <c r="A34" s="10"/>
    </row>
    <row r="35" spans="1:14" ht="15" customHeight="1">
      <c r="A35" s="10"/>
    </row>
    <row r="36" spans="1:14" ht="19.25" customHeight="1" thickBot="1">
      <c r="A36" s="74" t="s">
        <v>492</v>
      </c>
      <c r="B36" s="74"/>
      <c r="C36" s="74"/>
    </row>
    <row r="37" spans="1:14" ht="15" customHeight="1">
      <c r="A37" s="10"/>
    </row>
    <row r="38" spans="1:14">
      <c r="A38" s="8" t="s">
        <v>482</v>
      </c>
      <c r="B38" s="60"/>
      <c r="C38" s="60"/>
      <c r="D38" s="60"/>
      <c r="E38" s="60"/>
      <c r="F38" s="60"/>
      <c r="G38" s="60"/>
      <c r="H38" s="287" t="s">
        <v>483</v>
      </c>
      <c r="I38" s="287"/>
      <c r="J38" s="287"/>
      <c r="K38" s="287"/>
      <c r="L38" s="287"/>
      <c r="M38" s="287"/>
      <c r="N38" s="60"/>
    </row>
    <row r="39" spans="1:14">
      <c r="A39" s="119"/>
      <c r="B39" s="130"/>
      <c r="C39" s="130"/>
      <c r="D39" s="288" t="s">
        <v>571</v>
      </c>
      <c r="E39" s="289"/>
      <c r="F39" s="290" t="s">
        <v>571</v>
      </c>
      <c r="G39" s="291"/>
      <c r="H39" s="290" t="s">
        <v>572</v>
      </c>
      <c r="I39" s="291"/>
      <c r="J39" s="290" t="s">
        <v>573</v>
      </c>
      <c r="K39" s="291"/>
      <c r="L39" s="290" t="s">
        <v>573</v>
      </c>
      <c r="M39" s="291"/>
      <c r="N39" s="60"/>
    </row>
    <row r="40" spans="1:14">
      <c r="A40" s="119"/>
      <c r="B40" s="131" t="s">
        <v>484</v>
      </c>
      <c r="C40" s="132" t="s">
        <v>575</v>
      </c>
      <c r="D40" s="133" t="str">
        <f>Innehåll!D79</f>
        <v xml:space="preserve"> 2023-01</v>
      </c>
      <c r="E40" s="133" t="str">
        <f>Innehåll!D80</f>
        <v xml:space="preserve"> 2022-01</v>
      </c>
      <c r="F40" s="133" t="str">
        <f>Innehåll!D81</f>
        <v>YTD  2023</v>
      </c>
      <c r="G40" s="133" t="str">
        <f>Innehåll!D82</f>
        <v>YTD  2022</v>
      </c>
      <c r="H40" s="133" t="str">
        <f>D40</f>
        <v xml:space="preserve"> 2023-01</v>
      </c>
      <c r="I40" s="134" t="str">
        <f>F40</f>
        <v>YTD  2023</v>
      </c>
      <c r="J40" s="133" t="str">
        <f>D40</f>
        <v xml:space="preserve"> 2023-01</v>
      </c>
      <c r="K40" s="135" t="str">
        <f>F40</f>
        <v>YTD  2023</v>
      </c>
      <c r="L40" s="136" t="str">
        <f>E40</f>
        <v xml:space="preserve"> 2022-01</v>
      </c>
      <c r="M40" s="136" t="str">
        <f>G40</f>
        <v>YTD  2022</v>
      </c>
      <c r="N40" s="60"/>
    </row>
    <row r="41" spans="1:14" ht="15" hidden="1" customHeight="1">
      <c r="A41" s="60" t="s">
        <v>33</v>
      </c>
      <c r="B41" s="60" t="s">
        <v>237</v>
      </c>
      <c r="C41" s="60" t="s">
        <v>238</v>
      </c>
      <c r="D41" s="60" t="s">
        <v>35</v>
      </c>
      <c r="E41" s="60" t="s">
        <v>36</v>
      </c>
      <c r="F41" s="60" t="s">
        <v>37</v>
      </c>
      <c r="G41" s="60" t="s">
        <v>38</v>
      </c>
      <c r="H41" s="60" t="s">
        <v>39</v>
      </c>
      <c r="I41" s="60" t="s">
        <v>40</v>
      </c>
      <c r="J41" s="60" t="s">
        <v>41</v>
      </c>
      <c r="K41" s="60" t="s">
        <v>42</v>
      </c>
      <c r="L41" s="60" t="s">
        <v>43</v>
      </c>
      <c r="M41" s="60" t="s">
        <v>44</v>
      </c>
      <c r="N41" s="60"/>
    </row>
    <row r="42" spans="1:14">
      <c r="A42" s="60">
        <v>1</v>
      </c>
      <c r="B42" s="60" t="s">
        <v>452</v>
      </c>
      <c r="C42" s="60" t="s">
        <v>24</v>
      </c>
      <c r="D42" s="24">
        <v>698</v>
      </c>
      <c r="E42" s="24">
        <v>467</v>
      </c>
      <c r="F42" s="24">
        <v>698</v>
      </c>
      <c r="G42" s="24">
        <v>467</v>
      </c>
      <c r="H42" s="60">
        <v>49.46</v>
      </c>
      <c r="I42" s="60">
        <v>49.46</v>
      </c>
      <c r="J42" s="60">
        <v>9.15</v>
      </c>
      <c r="K42" s="60">
        <v>9.15</v>
      </c>
      <c r="L42" s="60">
        <v>4.4400000000000004</v>
      </c>
      <c r="M42" s="60">
        <v>4.4400000000000004</v>
      </c>
      <c r="N42" s="60"/>
    </row>
    <row r="43" spans="1:14">
      <c r="A43" s="60">
        <v>2</v>
      </c>
      <c r="B43" s="60" t="s">
        <v>421</v>
      </c>
      <c r="C43" s="60" t="s">
        <v>23</v>
      </c>
      <c r="D43" s="24">
        <v>610</v>
      </c>
      <c r="E43" s="24">
        <v>588</v>
      </c>
      <c r="F43" s="24">
        <v>610</v>
      </c>
      <c r="G43" s="24">
        <v>588</v>
      </c>
      <c r="H43" s="60">
        <v>3.74</v>
      </c>
      <c r="I43" s="60">
        <v>3.74</v>
      </c>
      <c r="J43" s="60">
        <v>8</v>
      </c>
      <c r="K43" s="60">
        <v>8</v>
      </c>
      <c r="L43" s="60">
        <v>5.59</v>
      </c>
      <c r="M43" s="60">
        <v>5.59</v>
      </c>
      <c r="N43" s="60"/>
    </row>
    <row r="44" spans="1:14">
      <c r="A44" s="60">
        <v>3</v>
      </c>
      <c r="B44" s="60" t="s">
        <v>666</v>
      </c>
      <c r="C44" s="60" t="s">
        <v>24</v>
      </c>
      <c r="D44" s="24">
        <v>425</v>
      </c>
      <c r="E44" s="24">
        <v>293</v>
      </c>
      <c r="F44" s="24">
        <v>425</v>
      </c>
      <c r="G44" s="24">
        <v>293</v>
      </c>
      <c r="H44" s="60">
        <v>45.05</v>
      </c>
      <c r="I44" s="60">
        <v>45.05</v>
      </c>
      <c r="J44" s="60">
        <v>5.57</v>
      </c>
      <c r="K44" s="60">
        <v>5.57</v>
      </c>
      <c r="L44" s="60">
        <v>2.78</v>
      </c>
      <c r="M44" s="60">
        <v>2.78</v>
      </c>
      <c r="N44" s="60"/>
    </row>
    <row r="45" spans="1:14">
      <c r="A45" s="60">
        <v>4</v>
      </c>
      <c r="B45" s="60" t="s">
        <v>438</v>
      </c>
      <c r="C45" s="60" t="s">
        <v>23</v>
      </c>
      <c r="D45" s="24">
        <v>400</v>
      </c>
      <c r="E45" s="24">
        <v>256</v>
      </c>
      <c r="F45" s="24">
        <v>400</v>
      </c>
      <c r="G45" s="24">
        <v>256</v>
      </c>
      <c r="H45" s="60">
        <v>56.25</v>
      </c>
      <c r="I45" s="60">
        <v>56.25</v>
      </c>
      <c r="J45" s="60">
        <v>5.24</v>
      </c>
      <c r="K45" s="60">
        <v>5.24</v>
      </c>
      <c r="L45" s="60">
        <v>2.4300000000000002</v>
      </c>
      <c r="M45" s="60">
        <v>2.4300000000000002</v>
      </c>
      <c r="N45" s="60"/>
    </row>
    <row r="46" spans="1:14">
      <c r="A46" s="60">
        <v>5</v>
      </c>
      <c r="B46" s="60" t="s">
        <v>674</v>
      </c>
      <c r="C46" s="60" t="s">
        <v>24</v>
      </c>
      <c r="D46" s="24">
        <v>372</v>
      </c>
      <c r="E46" s="24">
        <v>67</v>
      </c>
      <c r="F46" s="24">
        <v>372</v>
      </c>
      <c r="G46" s="24">
        <v>67</v>
      </c>
      <c r="H46" s="60">
        <v>455.22</v>
      </c>
      <c r="I46" s="60">
        <v>455.22</v>
      </c>
      <c r="J46" s="60">
        <v>4.88</v>
      </c>
      <c r="K46" s="60">
        <v>4.88</v>
      </c>
      <c r="L46" s="60">
        <v>0.64</v>
      </c>
      <c r="M46" s="60">
        <v>0.64</v>
      </c>
      <c r="N46" s="60"/>
    </row>
    <row r="47" spans="1:14">
      <c r="A47" s="60">
        <v>6</v>
      </c>
      <c r="B47" s="60" t="s">
        <v>513</v>
      </c>
      <c r="C47" s="60" t="s">
        <v>24</v>
      </c>
      <c r="D47" s="24">
        <v>276</v>
      </c>
      <c r="E47" s="24">
        <v>683</v>
      </c>
      <c r="F47" s="24">
        <v>276</v>
      </c>
      <c r="G47" s="24">
        <v>683</v>
      </c>
      <c r="H47" s="60">
        <v>-59.59</v>
      </c>
      <c r="I47" s="60">
        <v>-59.59</v>
      </c>
      <c r="J47" s="60">
        <v>3.62</v>
      </c>
      <c r="K47" s="60">
        <v>3.62</v>
      </c>
      <c r="L47" s="60">
        <v>6.49</v>
      </c>
      <c r="M47" s="60">
        <v>6.49</v>
      </c>
      <c r="N47" s="60"/>
    </row>
    <row r="48" spans="1:14">
      <c r="A48" s="60">
        <v>7</v>
      </c>
      <c r="B48" s="60" t="s">
        <v>726</v>
      </c>
      <c r="C48" s="60" t="s">
        <v>23</v>
      </c>
      <c r="D48" s="24">
        <v>247</v>
      </c>
      <c r="E48" s="24">
        <v>0</v>
      </c>
      <c r="F48" s="24">
        <v>247</v>
      </c>
      <c r="G48" s="24">
        <v>0</v>
      </c>
      <c r="H48" s="60">
        <v>0</v>
      </c>
      <c r="I48" s="60">
        <v>0</v>
      </c>
      <c r="J48" s="60">
        <v>3.24</v>
      </c>
      <c r="K48" s="60">
        <v>3.24</v>
      </c>
      <c r="L48" s="60">
        <v>0</v>
      </c>
      <c r="M48" s="60">
        <v>0</v>
      </c>
      <c r="N48" s="60"/>
    </row>
    <row r="49" spans="1:14">
      <c r="A49" s="60">
        <v>8</v>
      </c>
      <c r="B49" s="60" t="s">
        <v>241</v>
      </c>
      <c r="C49" s="60" t="s">
        <v>24</v>
      </c>
      <c r="D49" s="24">
        <v>204</v>
      </c>
      <c r="E49" s="24">
        <v>996</v>
      </c>
      <c r="F49" s="24">
        <v>204</v>
      </c>
      <c r="G49" s="24">
        <v>996</v>
      </c>
      <c r="H49" s="60">
        <v>-79.52</v>
      </c>
      <c r="I49" s="60">
        <v>-79.52</v>
      </c>
      <c r="J49" s="60">
        <v>2.67</v>
      </c>
      <c r="K49" s="60">
        <v>2.67</v>
      </c>
      <c r="L49" s="60">
        <v>9.4600000000000009</v>
      </c>
      <c r="M49" s="60">
        <v>9.4600000000000009</v>
      </c>
      <c r="N49" s="60"/>
    </row>
    <row r="50" spans="1:14">
      <c r="A50" s="60">
        <v>9</v>
      </c>
      <c r="B50" s="60" t="s">
        <v>516</v>
      </c>
      <c r="C50" s="60" t="s">
        <v>24</v>
      </c>
      <c r="D50" s="24">
        <v>178</v>
      </c>
      <c r="E50" s="24">
        <v>8</v>
      </c>
      <c r="F50" s="24">
        <v>178</v>
      </c>
      <c r="G50" s="24">
        <v>8</v>
      </c>
      <c r="H50" s="60">
        <v>2125</v>
      </c>
      <c r="I50" s="60">
        <v>2125</v>
      </c>
      <c r="J50" s="60">
        <v>2.33</v>
      </c>
      <c r="K50" s="60">
        <v>2.33</v>
      </c>
      <c r="L50" s="60">
        <v>0.08</v>
      </c>
      <c r="M50" s="60">
        <v>0.08</v>
      </c>
      <c r="N50" s="60"/>
    </row>
    <row r="51" spans="1:14">
      <c r="A51" s="60">
        <v>10</v>
      </c>
      <c r="B51" s="60" t="s">
        <v>397</v>
      </c>
      <c r="C51" s="60" t="s">
        <v>23</v>
      </c>
      <c r="D51" s="24">
        <v>171</v>
      </c>
      <c r="E51" s="24">
        <v>529</v>
      </c>
      <c r="F51" s="24">
        <v>171</v>
      </c>
      <c r="G51" s="24">
        <v>529</v>
      </c>
      <c r="H51" s="60">
        <v>-67.67</v>
      </c>
      <c r="I51" s="60">
        <v>-67.67</v>
      </c>
      <c r="J51" s="60">
        <v>2.2400000000000002</v>
      </c>
      <c r="K51" s="60">
        <v>2.2400000000000002</v>
      </c>
      <c r="L51" s="60">
        <v>5.03</v>
      </c>
      <c r="M51" s="60">
        <v>5.03</v>
      </c>
      <c r="N51" s="60"/>
    </row>
    <row r="52" spans="1:14">
      <c r="A52" s="60">
        <v>11</v>
      </c>
      <c r="B52" s="60" t="s">
        <v>603</v>
      </c>
      <c r="C52" s="60" t="s">
        <v>24</v>
      </c>
      <c r="D52" s="24">
        <v>153</v>
      </c>
      <c r="E52" s="24">
        <v>200</v>
      </c>
      <c r="F52" s="24">
        <v>153</v>
      </c>
      <c r="G52" s="24">
        <v>200</v>
      </c>
      <c r="H52" s="60">
        <v>-23.5</v>
      </c>
      <c r="I52" s="60">
        <v>-23.5</v>
      </c>
      <c r="J52" s="60">
        <v>2.0099999999999998</v>
      </c>
      <c r="K52" s="60">
        <v>2.0099999999999998</v>
      </c>
      <c r="L52" s="60">
        <v>1.9</v>
      </c>
      <c r="M52" s="60">
        <v>1.9</v>
      </c>
      <c r="N52" s="60"/>
    </row>
    <row r="53" spans="1:14">
      <c r="A53" s="60">
        <v>12</v>
      </c>
      <c r="B53" s="60" t="s">
        <v>423</v>
      </c>
      <c r="C53" s="60" t="s">
        <v>23</v>
      </c>
      <c r="D53" s="24">
        <v>138</v>
      </c>
      <c r="E53" s="24">
        <v>348</v>
      </c>
      <c r="F53" s="24">
        <v>138</v>
      </c>
      <c r="G53" s="24">
        <v>348</v>
      </c>
      <c r="H53" s="60">
        <v>-60.34</v>
      </c>
      <c r="I53" s="60">
        <v>-60.34</v>
      </c>
      <c r="J53" s="60">
        <v>1.81</v>
      </c>
      <c r="K53" s="60">
        <v>1.81</v>
      </c>
      <c r="L53" s="60">
        <v>3.31</v>
      </c>
      <c r="M53" s="60">
        <v>3.31</v>
      </c>
      <c r="N53" s="60"/>
    </row>
    <row r="54" spans="1:14">
      <c r="A54" s="60">
        <v>13</v>
      </c>
      <c r="B54" s="60" t="s">
        <v>608</v>
      </c>
      <c r="C54" s="60" t="s">
        <v>23</v>
      </c>
      <c r="D54" s="24">
        <v>126</v>
      </c>
      <c r="E54" s="24">
        <v>107</v>
      </c>
      <c r="F54" s="24">
        <v>126</v>
      </c>
      <c r="G54" s="24">
        <v>107</v>
      </c>
      <c r="H54" s="60">
        <v>17.760000000000002</v>
      </c>
      <c r="I54" s="60">
        <v>17.760000000000002</v>
      </c>
      <c r="J54" s="60">
        <v>1.65</v>
      </c>
      <c r="K54" s="60">
        <v>1.65</v>
      </c>
      <c r="L54" s="60">
        <v>1.02</v>
      </c>
      <c r="M54" s="60">
        <v>1.02</v>
      </c>
      <c r="N54" s="60"/>
    </row>
    <row r="55" spans="1:14">
      <c r="A55" s="60">
        <v>14</v>
      </c>
      <c r="B55" s="60" t="s">
        <v>441</v>
      </c>
      <c r="C55" s="60" t="s">
        <v>23</v>
      </c>
      <c r="D55" s="24">
        <v>123</v>
      </c>
      <c r="E55" s="24">
        <v>126</v>
      </c>
      <c r="F55" s="24">
        <v>123</v>
      </c>
      <c r="G55" s="24">
        <v>126</v>
      </c>
      <c r="H55" s="60">
        <v>-2.38</v>
      </c>
      <c r="I55" s="60">
        <v>-2.38</v>
      </c>
      <c r="J55" s="60">
        <v>1.61</v>
      </c>
      <c r="K55" s="60">
        <v>1.61</v>
      </c>
      <c r="L55" s="60">
        <v>1.2</v>
      </c>
      <c r="M55" s="60">
        <v>1.2</v>
      </c>
      <c r="N55" s="60"/>
    </row>
    <row r="56" spans="1:14">
      <c r="A56" s="60">
        <v>15</v>
      </c>
      <c r="B56" s="60" t="s">
        <v>1072</v>
      </c>
      <c r="C56" s="60" t="s">
        <v>24</v>
      </c>
      <c r="D56" s="24">
        <v>110</v>
      </c>
      <c r="E56" s="24">
        <v>0</v>
      </c>
      <c r="F56" s="24">
        <v>110</v>
      </c>
      <c r="G56" s="24">
        <v>0</v>
      </c>
      <c r="H56" s="60">
        <v>0</v>
      </c>
      <c r="I56" s="60">
        <v>0</v>
      </c>
      <c r="J56" s="60">
        <v>1.44</v>
      </c>
      <c r="K56" s="60">
        <v>1.44</v>
      </c>
      <c r="L56" s="60">
        <v>0</v>
      </c>
      <c r="M56" s="60">
        <v>0</v>
      </c>
      <c r="N56" s="60"/>
    </row>
    <row r="57" spans="1:14">
      <c r="A57" s="60">
        <v>16</v>
      </c>
      <c r="B57" s="60" t="s">
        <v>408</v>
      </c>
      <c r="C57" s="60" t="s">
        <v>23</v>
      </c>
      <c r="D57" s="24">
        <v>105</v>
      </c>
      <c r="E57" s="24">
        <v>60</v>
      </c>
      <c r="F57" s="24">
        <v>105</v>
      </c>
      <c r="G57" s="24">
        <v>60</v>
      </c>
      <c r="H57" s="60">
        <v>75</v>
      </c>
      <c r="I57" s="60">
        <v>75</v>
      </c>
      <c r="J57" s="60">
        <v>1.38</v>
      </c>
      <c r="K57" s="60">
        <v>1.38</v>
      </c>
      <c r="L57" s="60">
        <v>0.56999999999999995</v>
      </c>
      <c r="M57" s="60">
        <v>0.56999999999999995</v>
      </c>
      <c r="N57" s="60"/>
    </row>
    <row r="58" spans="1:14">
      <c r="A58" s="60">
        <v>17</v>
      </c>
      <c r="B58" s="60" t="s">
        <v>630</v>
      </c>
      <c r="C58" s="60" t="s">
        <v>24</v>
      </c>
      <c r="D58" s="24">
        <v>102</v>
      </c>
      <c r="E58" s="24">
        <v>156</v>
      </c>
      <c r="F58" s="24">
        <v>102</v>
      </c>
      <c r="G58" s="24">
        <v>156</v>
      </c>
      <c r="H58" s="60">
        <v>-34.619999999999997</v>
      </c>
      <c r="I58" s="60">
        <v>-34.619999999999997</v>
      </c>
      <c r="J58" s="60">
        <v>1.34</v>
      </c>
      <c r="K58" s="60">
        <v>1.34</v>
      </c>
      <c r="L58" s="60">
        <v>1.48</v>
      </c>
      <c r="M58" s="60">
        <v>1.48</v>
      </c>
      <c r="N58" s="60"/>
    </row>
    <row r="59" spans="1:14">
      <c r="A59" s="60">
        <v>18</v>
      </c>
      <c r="B59" s="60" t="s">
        <v>243</v>
      </c>
      <c r="C59" s="60" t="s">
        <v>23</v>
      </c>
      <c r="D59" s="24">
        <v>102</v>
      </c>
      <c r="E59" s="24">
        <v>130</v>
      </c>
      <c r="F59" s="24">
        <v>102</v>
      </c>
      <c r="G59" s="24">
        <v>130</v>
      </c>
      <c r="H59" s="60">
        <v>-21.54</v>
      </c>
      <c r="I59" s="60">
        <v>-21.54</v>
      </c>
      <c r="J59" s="60">
        <v>1.34</v>
      </c>
      <c r="K59" s="60">
        <v>1.34</v>
      </c>
      <c r="L59" s="60">
        <v>1.24</v>
      </c>
      <c r="M59" s="60">
        <v>1.24</v>
      </c>
      <c r="N59" s="60"/>
    </row>
    <row r="60" spans="1:14">
      <c r="A60" s="60">
        <v>19</v>
      </c>
      <c r="B60" s="60" t="s">
        <v>387</v>
      </c>
      <c r="C60" s="60" t="s">
        <v>24</v>
      </c>
      <c r="D60" s="24">
        <v>102</v>
      </c>
      <c r="E60" s="24">
        <v>96</v>
      </c>
      <c r="F60" s="24">
        <v>102</v>
      </c>
      <c r="G60" s="24">
        <v>96</v>
      </c>
      <c r="H60" s="60">
        <v>6.25</v>
      </c>
      <c r="I60" s="60">
        <v>6.25</v>
      </c>
      <c r="J60" s="60">
        <v>1.34</v>
      </c>
      <c r="K60" s="60">
        <v>1.34</v>
      </c>
      <c r="L60" s="60">
        <v>0.91</v>
      </c>
      <c r="M60" s="60">
        <v>0.91</v>
      </c>
      <c r="N60" s="60"/>
    </row>
    <row r="61" spans="1:14">
      <c r="A61" s="60">
        <v>20</v>
      </c>
      <c r="B61" s="60" t="s">
        <v>638</v>
      </c>
      <c r="C61" s="60" t="s">
        <v>24</v>
      </c>
      <c r="D61" s="24">
        <v>102</v>
      </c>
      <c r="E61" s="24">
        <v>8</v>
      </c>
      <c r="F61" s="24">
        <v>102</v>
      </c>
      <c r="G61" s="24">
        <v>8</v>
      </c>
      <c r="H61" s="60">
        <v>1175</v>
      </c>
      <c r="I61" s="60">
        <v>1175</v>
      </c>
      <c r="J61" s="60">
        <v>1.34</v>
      </c>
      <c r="K61" s="60">
        <v>1.34</v>
      </c>
      <c r="L61" s="60">
        <v>0.08</v>
      </c>
      <c r="M61" s="60">
        <v>0.08</v>
      </c>
      <c r="N61" s="60"/>
    </row>
    <row r="62" spans="1:14">
      <c r="A62" s="60">
        <v>21</v>
      </c>
      <c r="B62" s="60" t="s">
        <v>428</v>
      </c>
      <c r="C62" s="60" t="s">
        <v>23</v>
      </c>
      <c r="D62" s="24">
        <v>101</v>
      </c>
      <c r="E62" s="24">
        <v>96</v>
      </c>
      <c r="F62" s="24">
        <v>101</v>
      </c>
      <c r="G62" s="24">
        <v>96</v>
      </c>
      <c r="H62" s="60">
        <v>5.21</v>
      </c>
      <c r="I62" s="60">
        <v>5.21</v>
      </c>
      <c r="J62" s="60">
        <v>1.32</v>
      </c>
      <c r="K62" s="60">
        <v>1.32</v>
      </c>
      <c r="L62" s="60">
        <v>0.91</v>
      </c>
      <c r="M62" s="60">
        <v>0.91</v>
      </c>
      <c r="N62" s="60"/>
    </row>
    <row r="63" spans="1:14">
      <c r="A63" s="60">
        <v>22</v>
      </c>
      <c r="B63" s="60" t="s">
        <v>432</v>
      </c>
      <c r="C63" s="60" t="s">
        <v>24</v>
      </c>
      <c r="D63" s="24">
        <v>97</v>
      </c>
      <c r="E63" s="24">
        <v>247</v>
      </c>
      <c r="F63" s="24">
        <v>97</v>
      </c>
      <c r="G63" s="24">
        <v>247</v>
      </c>
      <c r="H63" s="60">
        <v>-60.73</v>
      </c>
      <c r="I63" s="60">
        <v>-60.73</v>
      </c>
      <c r="J63" s="60">
        <v>1.27</v>
      </c>
      <c r="K63" s="60">
        <v>1.27</v>
      </c>
      <c r="L63" s="60">
        <v>2.35</v>
      </c>
      <c r="M63" s="60">
        <v>2.35</v>
      </c>
      <c r="N63" s="60"/>
    </row>
    <row r="64" spans="1:14">
      <c r="A64" s="60">
        <v>23</v>
      </c>
      <c r="B64" s="60" t="s">
        <v>64</v>
      </c>
      <c r="C64" s="60" t="s">
        <v>24</v>
      </c>
      <c r="D64" s="24">
        <v>96</v>
      </c>
      <c r="E64" s="24">
        <v>3</v>
      </c>
      <c r="F64" s="24">
        <v>96</v>
      </c>
      <c r="G64" s="24">
        <v>3</v>
      </c>
      <c r="H64" s="60">
        <v>3100</v>
      </c>
      <c r="I64" s="60">
        <v>3100</v>
      </c>
      <c r="J64" s="60">
        <v>1.26</v>
      </c>
      <c r="K64" s="60">
        <v>1.26</v>
      </c>
      <c r="L64" s="60">
        <v>0.03</v>
      </c>
      <c r="M64" s="60">
        <v>0.03</v>
      </c>
      <c r="N64" s="60"/>
    </row>
    <row r="65" spans="1:14">
      <c r="A65" s="60">
        <v>24</v>
      </c>
      <c r="B65" s="60" t="s">
        <v>1023</v>
      </c>
      <c r="C65" s="60" t="s">
        <v>23</v>
      </c>
      <c r="D65" s="24">
        <v>85</v>
      </c>
      <c r="E65" s="24">
        <v>0</v>
      </c>
      <c r="F65" s="24">
        <v>85</v>
      </c>
      <c r="G65" s="24">
        <v>0</v>
      </c>
      <c r="H65" s="60">
        <v>0</v>
      </c>
      <c r="I65" s="60">
        <v>0</v>
      </c>
      <c r="J65" s="60">
        <v>1.1100000000000001</v>
      </c>
      <c r="K65" s="60">
        <v>1.1100000000000001</v>
      </c>
      <c r="L65" s="60">
        <v>0</v>
      </c>
      <c r="M65" s="60">
        <v>0</v>
      </c>
      <c r="N65" s="60"/>
    </row>
    <row r="66" spans="1:14">
      <c r="A66" s="60">
        <v>25</v>
      </c>
      <c r="B66" s="60" t="s">
        <v>460</v>
      </c>
      <c r="C66" s="60" t="s">
        <v>23</v>
      </c>
      <c r="D66" s="24">
        <v>84</v>
      </c>
      <c r="E66" s="24">
        <v>64</v>
      </c>
      <c r="F66" s="24">
        <v>84</v>
      </c>
      <c r="G66" s="24">
        <v>64</v>
      </c>
      <c r="H66" s="60">
        <v>31.25</v>
      </c>
      <c r="I66" s="60">
        <v>31.25</v>
      </c>
      <c r="J66" s="60">
        <v>1.1000000000000001</v>
      </c>
      <c r="K66" s="60">
        <v>1.1000000000000001</v>
      </c>
      <c r="L66" s="60">
        <v>0.61</v>
      </c>
      <c r="M66" s="60">
        <v>0.61</v>
      </c>
      <c r="N66" s="60"/>
    </row>
    <row r="67" spans="1:14">
      <c r="A67" s="60">
        <v>26</v>
      </c>
      <c r="B67" s="60" t="s">
        <v>683</v>
      </c>
      <c r="C67" s="60" t="s">
        <v>24</v>
      </c>
      <c r="D67" s="24">
        <v>84</v>
      </c>
      <c r="E67" s="24">
        <v>2</v>
      </c>
      <c r="F67" s="24">
        <v>84</v>
      </c>
      <c r="G67" s="24">
        <v>2</v>
      </c>
      <c r="H67" s="60">
        <v>4100</v>
      </c>
      <c r="I67" s="60">
        <v>4100</v>
      </c>
      <c r="J67" s="60">
        <v>1.1000000000000001</v>
      </c>
      <c r="K67" s="60">
        <v>1.1000000000000001</v>
      </c>
      <c r="L67" s="60">
        <v>0.02</v>
      </c>
      <c r="M67" s="60">
        <v>0.02</v>
      </c>
      <c r="N67" s="60"/>
    </row>
    <row r="68" spans="1:14">
      <c r="A68" s="60">
        <v>27</v>
      </c>
      <c r="B68" s="60" t="s">
        <v>422</v>
      </c>
      <c r="C68" s="60" t="s">
        <v>23</v>
      </c>
      <c r="D68" s="24">
        <v>82</v>
      </c>
      <c r="E68" s="24">
        <v>106</v>
      </c>
      <c r="F68" s="24">
        <v>82</v>
      </c>
      <c r="G68" s="24">
        <v>106</v>
      </c>
      <c r="H68" s="60">
        <v>-22.64</v>
      </c>
      <c r="I68" s="60">
        <v>-22.64</v>
      </c>
      <c r="J68" s="60">
        <v>1.07</v>
      </c>
      <c r="K68" s="60">
        <v>1.07</v>
      </c>
      <c r="L68" s="60">
        <v>1.01</v>
      </c>
      <c r="M68" s="60">
        <v>1.01</v>
      </c>
      <c r="N68" s="60"/>
    </row>
    <row r="69" spans="1:14">
      <c r="A69" s="60">
        <v>28</v>
      </c>
      <c r="B69" s="60" t="s">
        <v>522</v>
      </c>
      <c r="C69" s="60" t="s">
        <v>23</v>
      </c>
      <c r="D69" s="24">
        <v>81</v>
      </c>
      <c r="E69" s="24">
        <v>21</v>
      </c>
      <c r="F69" s="24">
        <v>81</v>
      </c>
      <c r="G69" s="24">
        <v>21</v>
      </c>
      <c r="H69" s="60">
        <v>285.70999999999998</v>
      </c>
      <c r="I69" s="60">
        <v>285.70999999999998</v>
      </c>
      <c r="J69" s="60">
        <v>1.06</v>
      </c>
      <c r="K69" s="60">
        <v>1.06</v>
      </c>
      <c r="L69" s="60">
        <v>0.2</v>
      </c>
      <c r="M69" s="60">
        <v>0.2</v>
      </c>
      <c r="N69" s="60"/>
    </row>
    <row r="70" spans="1:14">
      <c r="A70" s="60">
        <v>29</v>
      </c>
      <c r="B70" s="60" t="s">
        <v>731</v>
      </c>
      <c r="C70" s="60" t="s">
        <v>24</v>
      </c>
      <c r="D70" s="24">
        <v>81</v>
      </c>
      <c r="E70" s="24">
        <v>0</v>
      </c>
      <c r="F70" s="24">
        <v>81</v>
      </c>
      <c r="G70" s="24">
        <v>0</v>
      </c>
      <c r="H70" s="60">
        <v>0</v>
      </c>
      <c r="I70" s="60">
        <v>0</v>
      </c>
      <c r="J70" s="60">
        <v>1.06</v>
      </c>
      <c r="K70" s="60">
        <v>1.06</v>
      </c>
      <c r="L70" s="60">
        <v>0</v>
      </c>
      <c r="M70" s="60">
        <v>0</v>
      </c>
      <c r="N70" s="60"/>
    </row>
    <row r="71" spans="1:14">
      <c r="A71" s="60">
        <v>30</v>
      </c>
      <c r="B71" s="60" t="s">
        <v>440</v>
      </c>
      <c r="C71" s="60" t="s">
        <v>24</v>
      </c>
      <c r="D71" s="24">
        <v>79</v>
      </c>
      <c r="E71" s="24">
        <v>136</v>
      </c>
      <c r="F71" s="24">
        <v>79</v>
      </c>
      <c r="G71" s="24">
        <v>136</v>
      </c>
      <c r="H71" s="60">
        <v>-41.91</v>
      </c>
      <c r="I71" s="60">
        <v>-41.91</v>
      </c>
      <c r="J71" s="60">
        <v>1.04</v>
      </c>
      <c r="K71" s="60">
        <v>1.04</v>
      </c>
      <c r="L71" s="60">
        <v>1.29</v>
      </c>
      <c r="M71" s="60">
        <v>1.29</v>
      </c>
      <c r="N71" s="60"/>
    </row>
    <row r="72" spans="1:14">
      <c r="A72" s="60">
        <v>31</v>
      </c>
      <c r="B72" s="60" t="s">
        <v>103</v>
      </c>
      <c r="C72" s="60" t="s">
        <v>24</v>
      </c>
      <c r="D72" s="24">
        <v>72</v>
      </c>
      <c r="E72" s="24">
        <v>255</v>
      </c>
      <c r="F72" s="24">
        <v>72</v>
      </c>
      <c r="G72" s="24">
        <v>255</v>
      </c>
      <c r="H72" s="60">
        <v>-71.760000000000005</v>
      </c>
      <c r="I72" s="60">
        <v>-71.760000000000005</v>
      </c>
      <c r="J72" s="60">
        <v>0.94</v>
      </c>
      <c r="K72" s="60">
        <v>0.94</v>
      </c>
      <c r="L72" s="60">
        <v>2.42</v>
      </c>
      <c r="M72" s="60">
        <v>2.42</v>
      </c>
      <c r="N72" s="60"/>
    </row>
    <row r="73" spans="1:14">
      <c r="A73" s="60">
        <v>32</v>
      </c>
      <c r="B73" s="60" t="s">
        <v>382</v>
      </c>
      <c r="C73" s="60" t="s">
        <v>23</v>
      </c>
      <c r="D73" s="24">
        <v>68</v>
      </c>
      <c r="E73" s="24">
        <v>4</v>
      </c>
      <c r="F73" s="24">
        <v>68</v>
      </c>
      <c r="G73" s="24">
        <v>4</v>
      </c>
      <c r="H73" s="60">
        <v>1600</v>
      </c>
      <c r="I73" s="60">
        <v>1600</v>
      </c>
      <c r="J73" s="60">
        <v>0.89</v>
      </c>
      <c r="K73" s="60">
        <v>0.89</v>
      </c>
      <c r="L73" s="60">
        <v>0.04</v>
      </c>
      <c r="M73" s="60">
        <v>0.04</v>
      </c>
      <c r="N73" s="60"/>
    </row>
    <row r="74" spans="1:14">
      <c r="A74" s="60">
        <v>33</v>
      </c>
      <c r="B74" s="60" t="s">
        <v>246</v>
      </c>
      <c r="C74" s="60" t="s">
        <v>23</v>
      </c>
      <c r="D74" s="24">
        <v>62</v>
      </c>
      <c r="E74" s="24">
        <v>0</v>
      </c>
      <c r="F74" s="24">
        <v>62</v>
      </c>
      <c r="G74" s="24">
        <v>0</v>
      </c>
      <c r="H74" s="60">
        <v>0</v>
      </c>
      <c r="I74" s="60">
        <v>0</v>
      </c>
      <c r="J74" s="60">
        <v>0.81</v>
      </c>
      <c r="K74" s="60">
        <v>0.81</v>
      </c>
      <c r="L74" s="60">
        <v>0</v>
      </c>
      <c r="M74" s="60">
        <v>0</v>
      </c>
      <c r="N74" s="60"/>
    </row>
    <row r="75" spans="1:14">
      <c r="A75" s="60">
        <v>34</v>
      </c>
      <c r="B75" s="60" t="s">
        <v>446</v>
      </c>
      <c r="C75" s="60" t="s">
        <v>24</v>
      </c>
      <c r="D75" s="24">
        <v>59</v>
      </c>
      <c r="E75" s="24">
        <v>117</v>
      </c>
      <c r="F75" s="24">
        <v>59</v>
      </c>
      <c r="G75" s="24">
        <v>117</v>
      </c>
      <c r="H75" s="60">
        <v>-49.57</v>
      </c>
      <c r="I75" s="60">
        <v>-49.57</v>
      </c>
      <c r="J75" s="60">
        <v>0.77</v>
      </c>
      <c r="K75" s="60">
        <v>0.77</v>
      </c>
      <c r="L75" s="60">
        <v>1.1100000000000001</v>
      </c>
      <c r="M75" s="60">
        <v>1.1100000000000001</v>
      </c>
      <c r="N75" s="60"/>
    </row>
    <row r="76" spans="1:14">
      <c r="A76" s="60">
        <v>35</v>
      </c>
      <c r="B76" s="60" t="s">
        <v>681</v>
      </c>
      <c r="C76" s="60" t="s">
        <v>23</v>
      </c>
      <c r="D76" s="24">
        <v>58</v>
      </c>
      <c r="E76" s="24">
        <v>5</v>
      </c>
      <c r="F76" s="24">
        <v>58</v>
      </c>
      <c r="G76" s="24">
        <v>5</v>
      </c>
      <c r="H76" s="60">
        <v>1060</v>
      </c>
      <c r="I76" s="60">
        <v>1060</v>
      </c>
      <c r="J76" s="60">
        <v>0.76</v>
      </c>
      <c r="K76" s="60">
        <v>0.76</v>
      </c>
      <c r="L76" s="60">
        <v>0.05</v>
      </c>
      <c r="M76" s="60">
        <v>0.05</v>
      </c>
      <c r="N76" s="60"/>
    </row>
    <row r="77" spans="1:14">
      <c r="A77" s="60">
        <v>36</v>
      </c>
      <c r="B77" s="60" t="s">
        <v>108</v>
      </c>
      <c r="C77" s="60" t="s">
        <v>24</v>
      </c>
      <c r="D77" s="24">
        <v>57</v>
      </c>
      <c r="E77" s="24">
        <v>68</v>
      </c>
      <c r="F77" s="24">
        <v>57</v>
      </c>
      <c r="G77" s="24">
        <v>68</v>
      </c>
      <c r="H77" s="60">
        <v>-16.18</v>
      </c>
      <c r="I77" s="60">
        <v>-16.18</v>
      </c>
      <c r="J77" s="60">
        <v>0.75</v>
      </c>
      <c r="K77" s="60">
        <v>0.75</v>
      </c>
      <c r="L77" s="60">
        <v>0.65</v>
      </c>
      <c r="M77" s="60">
        <v>0.65</v>
      </c>
      <c r="N77" s="60"/>
    </row>
    <row r="78" spans="1:14">
      <c r="A78" s="60">
        <v>37</v>
      </c>
      <c r="B78" s="60" t="s">
        <v>400</v>
      </c>
      <c r="C78" s="60" t="s">
        <v>23</v>
      </c>
      <c r="D78" s="24">
        <v>57</v>
      </c>
      <c r="E78" s="24">
        <v>66</v>
      </c>
      <c r="F78" s="24">
        <v>57</v>
      </c>
      <c r="G78" s="24">
        <v>66</v>
      </c>
      <c r="H78" s="60">
        <v>-13.64</v>
      </c>
      <c r="I78" s="60">
        <v>-13.64</v>
      </c>
      <c r="J78" s="60">
        <v>0.75</v>
      </c>
      <c r="K78" s="60">
        <v>0.75</v>
      </c>
      <c r="L78" s="60">
        <v>0.63</v>
      </c>
      <c r="M78" s="60">
        <v>0.63</v>
      </c>
      <c r="N78" s="60"/>
    </row>
    <row r="79" spans="1:14">
      <c r="A79" s="60">
        <v>38</v>
      </c>
      <c r="B79" s="60" t="s">
        <v>127</v>
      </c>
      <c r="C79" s="60" t="s">
        <v>23</v>
      </c>
      <c r="D79" s="24">
        <v>57</v>
      </c>
      <c r="E79" s="24">
        <v>62</v>
      </c>
      <c r="F79" s="24">
        <v>57</v>
      </c>
      <c r="G79" s="24">
        <v>62</v>
      </c>
      <c r="H79" s="60">
        <v>-8.06</v>
      </c>
      <c r="I79" s="60">
        <v>-8.06</v>
      </c>
      <c r="J79" s="60">
        <v>0.75</v>
      </c>
      <c r="K79" s="60">
        <v>0.75</v>
      </c>
      <c r="L79" s="60">
        <v>0.59</v>
      </c>
      <c r="M79" s="60">
        <v>0.59</v>
      </c>
      <c r="N79" s="60"/>
    </row>
    <row r="80" spans="1:14">
      <c r="A80" s="60">
        <v>39</v>
      </c>
      <c r="B80" s="60" t="s">
        <v>728</v>
      </c>
      <c r="C80" s="60" t="s">
        <v>24</v>
      </c>
      <c r="D80" s="24">
        <v>57</v>
      </c>
      <c r="E80" s="24">
        <v>0</v>
      </c>
      <c r="F80" s="24">
        <v>57</v>
      </c>
      <c r="G80" s="24">
        <v>0</v>
      </c>
      <c r="H80" s="60">
        <v>0</v>
      </c>
      <c r="I80" s="60">
        <v>0</v>
      </c>
      <c r="J80" s="60">
        <v>0.75</v>
      </c>
      <c r="K80" s="60">
        <v>0.75</v>
      </c>
      <c r="L80" s="60">
        <v>0</v>
      </c>
      <c r="M80" s="60">
        <v>0</v>
      </c>
      <c r="N80" s="60"/>
    </row>
    <row r="81" spans="1:14">
      <c r="A81" s="60">
        <v>40</v>
      </c>
      <c r="B81" s="60" t="s">
        <v>398</v>
      </c>
      <c r="C81" s="60" t="s">
        <v>23</v>
      </c>
      <c r="D81" s="24">
        <v>55</v>
      </c>
      <c r="E81" s="24">
        <v>107</v>
      </c>
      <c r="F81" s="24">
        <v>55</v>
      </c>
      <c r="G81" s="24">
        <v>107</v>
      </c>
      <c r="H81" s="60">
        <v>-48.6</v>
      </c>
      <c r="I81" s="60">
        <v>-48.6</v>
      </c>
      <c r="J81" s="60">
        <v>0.72</v>
      </c>
      <c r="K81" s="60">
        <v>0.72</v>
      </c>
      <c r="L81" s="60">
        <v>1.02</v>
      </c>
      <c r="M81" s="60">
        <v>1.02</v>
      </c>
      <c r="N81" s="60"/>
    </row>
    <row r="82" spans="1:14">
      <c r="A82" s="60">
        <v>41</v>
      </c>
      <c r="B82" s="60" t="s">
        <v>675</v>
      </c>
      <c r="C82" s="60" t="s">
        <v>24</v>
      </c>
      <c r="D82" s="24">
        <v>55</v>
      </c>
      <c r="E82" s="24">
        <v>19</v>
      </c>
      <c r="F82" s="24">
        <v>55</v>
      </c>
      <c r="G82" s="24">
        <v>19</v>
      </c>
      <c r="H82" s="60">
        <v>189.47</v>
      </c>
      <c r="I82" s="60">
        <v>189.47</v>
      </c>
      <c r="J82" s="60">
        <v>0.72</v>
      </c>
      <c r="K82" s="60">
        <v>0.72</v>
      </c>
      <c r="L82" s="60">
        <v>0.18</v>
      </c>
      <c r="M82" s="60">
        <v>0.18</v>
      </c>
      <c r="N82" s="60"/>
    </row>
    <row r="83" spans="1:14">
      <c r="A83" s="60">
        <v>42</v>
      </c>
      <c r="B83" s="60" t="s">
        <v>622</v>
      </c>
      <c r="C83" s="60" t="s">
        <v>24</v>
      </c>
      <c r="D83" s="24">
        <v>49</v>
      </c>
      <c r="E83" s="24">
        <v>48</v>
      </c>
      <c r="F83" s="24">
        <v>49</v>
      </c>
      <c r="G83" s="24">
        <v>48</v>
      </c>
      <c r="H83" s="60">
        <v>2.08</v>
      </c>
      <c r="I83" s="60">
        <v>2.08</v>
      </c>
      <c r="J83" s="60">
        <v>0.64</v>
      </c>
      <c r="K83" s="60">
        <v>0.64</v>
      </c>
      <c r="L83" s="60">
        <v>0.46</v>
      </c>
      <c r="M83" s="60">
        <v>0.46</v>
      </c>
      <c r="N83" s="60"/>
    </row>
    <row r="84" spans="1:14">
      <c r="A84" s="60">
        <v>43</v>
      </c>
      <c r="B84" s="60" t="s">
        <v>434</v>
      </c>
      <c r="C84" s="60" t="s">
        <v>24</v>
      </c>
      <c r="D84" s="24">
        <v>48</v>
      </c>
      <c r="E84" s="24">
        <v>57</v>
      </c>
      <c r="F84" s="24">
        <v>48</v>
      </c>
      <c r="G84" s="24">
        <v>57</v>
      </c>
      <c r="H84" s="60">
        <v>-15.79</v>
      </c>
      <c r="I84" s="60">
        <v>-15.79</v>
      </c>
      <c r="J84" s="60">
        <v>0.63</v>
      </c>
      <c r="K84" s="60">
        <v>0.63</v>
      </c>
      <c r="L84" s="60">
        <v>0.54</v>
      </c>
      <c r="M84" s="60">
        <v>0.54</v>
      </c>
      <c r="N84" s="60"/>
    </row>
    <row r="85" spans="1:14">
      <c r="A85" s="60">
        <v>44</v>
      </c>
      <c r="B85" s="60" t="s">
        <v>736</v>
      </c>
      <c r="C85" s="60" t="s">
        <v>24</v>
      </c>
      <c r="D85" s="24">
        <v>45</v>
      </c>
      <c r="E85" s="24">
        <v>0</v>
      </c>
      <c r="F85" s="24">
        <v>45</v>
      </c>
      <c r="G85" s="24">
        <v>0</v>
      </c>
      <c r="H85" s="60">
        <v>0</v>
      </c>
      <c r="I85" s="60">
        <v>0</v>
      </c>
      <c r="J85" s="60">
        <v>0.59</v>
      </c>
      <c r="K85" s="60">
        <v>0.59</v>
      </c>
      <c r="L85" s="60">
        <v>0</v>
      </c>
      <c r="M85" s="60">
        <v>0</v>
      </c>
      <c r="N85" s="60"/>
    </row>
    <row r="86" spans="1:14">
      <c r="A86" s="60">
        <v>45</v>
      </c>
      <c r="B86" s="60" t="s">
        <v>239</v>
      </c>
      <c r="C86" s="60" t="s">
        <v>23</v>
      </c>
      <c r="D86" s="24">
        <v>44</v>
      </c>
      <c r="E86" s="24">
        <v>258</v>
      </c>
      <c r="F86" s="24">
        <v>44</v>
      </c>
      <c r="G86" s="24">
        <v>258</v>
      </c>
      <c r="H86" s="60">
        <v>-82.95</v>
      </c>
      <c r="I86" s="60">
        <v>-82.95</v>
      </c>
      <c r="J86" s="60">
        <v>0.57999999999999996</v>
      </c>
      <c r="K86" s="60">
        <v>0.57999999999999996</v>
      </c>
      <c r="L86" s="60">
        <v>2.4500000000000002</v>
      </c>
      <c r="M86" s="60">
        <v>2.4500000000000002</v>
      </c>
      <c r="N86" s="60"/>
    </row>
    <row r="87" spans="1:14">
      <c r="A87" s="60">
        <v>46</v>
      </c>
      <c r="B87" s="60" t="s">
        <v>528</v>
      </c>
      <c r="C87" s="60" t="s">
        <v>24</v>
      </c>
      <c r="D87" s="24">
        <v>42</v>
      </c>
      <c r="E87" s="24">
        <v>31</v>
      </c>
      <c r="F87" s="24">
        <v>42</v>
      </c>
      <c r="G87" s="24">
        <v>31</v>
      </c>
      <c r="H87" s="60">
        <v>35.479999999999997</v>
      </c>
      <c r="I87" s="60">
        <v>35.479999999999997</v>
      </c>
      <c r="J87" s="60">
        <v>0.55000000000000004</v>
      </c>
      <c r="K87" s="60">
        <v>0.55000000000000004</v>
      </c>
      <c r="L87" s="60">
        <v>0.28999999999999998</v>
      </c>
      <c r="M87" s="60">
        <v>0.28999999999999998</v>
      </c>
      <c r="N87" s="60"/>
    </row>
    <row r="88" spans="1:14">
      <c r="A88" s="60">
        <v>47</v>
      </c>
      <c r="B88" s="60" t="s">
        <v>401</v>
      </c>
      <c r="C88" s="60" t="s">
        <v>23</v>
      </c>
      <c r="D88" s="24">
        <v>39</v>
      </c>
      <c r="E88" s="24">
        <v>484</v>
      </c>
      <c r="F88" s="24">
        <v>39</v>
      </c>
      <c r="G88" s="24">
        <v>484</v>
      </c>
      <c r="H88" s="60">
        <v>-91.94</v>
      </c>
      <c r="I88" s="60">
        <v>-91.94</v>
      </c>
      <c r="J88" s="60">
        <v>0.51</v>
      </c>
      <c r="K88" s="60">
        <v>0.51</v>
      </c>
      <c r="L88" s="60">
        <v>4.5999999999999996</v>
      </c>
      <c r="M88" s="60">
        <v>4.5999999999999996</v>
      </c>
      <c r="N88" s="60"/>
    </row>
    <row r="89" spans="1:14">
      <c r="A89" s="60">
        <v>48</v>
      </c>
      <c r="B89" s="60" t="s">
        <v>677</v>
      </c>
      <c r="C89" s="60" t="s">
        <v>24</v>
      </c>
      <c r="D89" s="24">
        <v>39</v>
      </c>
      <c r="E89" s="24">
        <v>2</v>
      </c>
      <c r="F89" s="24">
        <v>39</v>
      </c>
      <c r="G89" s="24">
        <v>2</v>
      </c>
      <c r="H89" s="60">
        <v>1850</v>
      </c>
      <c r="I89" s="60">
        <v>1850</v>
      </c>
      <c r="J89" s="60">
        <v>0.51</v>
      </c>
      <c r="K89" s="60">
        <v>0.51</v>
      </c>
      <c r="L89" s="60">
        <v>0.02</v>
      </c>
      <c r="M89" s="60">
        <v>0.02</v>
      </c>
      <c r="N89" s="60"/>
    </row>
    <row r="90" spans="1:14">
      <c r="A90" s="60">
        <v>49</v>
      </c>
      <c r="B90" s="60" t="s">
        <v>733</v>
      </c>
      <c r="C90" s="60" t="s">
        <v>24</v>
      </c>
      <c r="D90" s="24">
        <v>38</v>
      </c>
      <c r="E90" s="24">
        <v>0</v>
      </c>
      <c r="F90" s="24">
        <v>38</v>
      </c>
      <c r="G90" s="24">
        <v>0</v>
      </c>
      <c r="H90" s="60">
        <v>0</v>
      </c>
      <c r="I90" s="60">
        <v>0</v>
      </c>
      <c r="J90" s="60">
        <v>0.5</v>
      </c>
      <c r="K90" s="60">
        <v>0.5</v>
      </c>
      <c r="L90" s="60">
        <v>0</v>
      </c>
      <c r="M90" s="60">
        <v>0</v>
      </c>
      <c r="N90" s="60"/>
    </row>
    <row r="91" spans="1:14">
      <c r="A91" s="60">
        <v>50</v>
      </c>
      <c r="B91" s="60" t="s">
        <v>148</v>
      </c>
      <c r="C91" s="60" t="s">
        <v>24</v>
      </c>
      <c r="D91" s="24">
        <v>35</v>
      </c>
      <c r="E91" s="24">
        <v>78</v>
      </c>
      <c r="F91" s="24">
        <v>35</v>
      </c>
      <c r="G91" s="24">
        <v>78</v>
      </c>
      <c r="H91" s="60">
        <v>-55.13</v>
      </c>
      <c r="I91" s="60">
        <v>-55.13</v>
      </c>
      <c r="J91" s="60">
        <v>0.46</v>
      </c>
      <c r="K91" s="60">
        <v>0.46</v>
      </c>
      <c r="L91" s="60">
        <v>0.74</v>
      </c>
      <c r="M91" s="60">
        <v>0.74</v>
      </c>
      <c r="N91" s="60"/>
    </row>
    <row r="92" spans="1:14">
      <c r="A92" s="60">
        <v>51</v>
      </c>
      <c r="B92" s="60" t="s">
        <v>1052</v>
      </c>
      <c r="C92" s="60" t="s">
        <v>24</v>
      </c>
      <c r="D92" s="24">
        <v>33</v>
      </c>
      <c r="E92" s="24">
        <v>0</v>
      </c>
      <c r="F92" s="24">
        <v>33</v>
      </c>
      <c r="G92" s="24">
        <v>0</v>
      </c>
      <c r="H92" s="60">
        <v>0</v>
      </c>
      <c r="I92" s="60">
        <v>0</v>
      </c>
      <c r="J92" s="60">
        <v>0.43</v>
      </c>
      <c r="K92" s="60">
        <v>0.43</v>
      </c>
      <c r="L92" s="60">
        <v>0</v>
      </c>
      <c r="M92" s="60">
        <v>0</v>
      </c>
      <c r="N92" s="60"/>
    </row>
    <row r="93" spans="1:14">
      <c r="A93" s="60">
        <v>52</v>
      </c>
      <c r="B93" s="60" t="s">
        <v>443</v>
      </c>
      <c r="C93" s="60" t="s">
        <v>23</v>
      </c>
      <c r="D93" s="24">
        <v>30</v>
      </c>
      <c r="E93" s="24">
        <v>47</v>
      </c>
      <c r="F93" s="24">
        <v>30</v>
      </c>
      <c r="G93" s="24">
        <v>47</v>
      </c>
      <c r="H93" s="60">
        <v>-36.17</v>
      </c>
      <c r="I93" s="60">
        <v>-36.17</v>
      </c>
      <c r="J93" s="60">
        <v>0.39</v>
      </c>
      <c r="K93" s="60">
        <v>0.39</v>
      </c>
      <c r="L93" s="60">
        <v>0.45</v>
      </c>
      <c r="M93" s="60">
        <v>0.45</v>
      </c>
      <c r="N93" s="60"/>
    </row>
    <row r="94" spans="1:14">
      <c r="A94" s="60">
        <v>53</v>
      </c>
      <c r="B94" s="60" t="s">
        <v>399</v>
      </c>
      <c r="C94" s="60" t="s">
        <v>23</v>
      </c>
      <c r="D94" s="24">
        <v>30</v>
      </c>
      <c r="E94" s="24">
        <v>10</v>
      </c>
      <c r="F94" s="24">
        <v>30</v>
      </c>
      <c r="G94" s="24">
        <v>10</v>
      </c>
      <c r="H94" s="68">
        <v>200</v>
      </c>
      <c r="I94" s="68">
        <v>200</v>
      </c>
      <c r="J94" s="60">
        <v>0.39</v>
      </c>
      <c r="K94" s="60">
        <v>0.39</v>
      </c>
      <c r="L94" s="60">
        <v>0.1</v>
      </c>
      <c r="M94" s="60">
        <v>0.1</v>
      </c>
      <c r="N94" s="60"/>
    </row>
    <row r="95" spans="1:14">
      <c r="A95" s="60">
        <v>54</v>
      </c>
      <c r="B95" s="60" t="s">
        <v>425</v>
      </c>
      <c r="C95" s="60" t="s">
        <v>23</v>
      </c>
      <c r="D95" s="24">
        <v>29</v>
      </c>
      <c r="E95" s="24">
        <v>10</v>
      </c>
      <c r="F95" s="24">
        <v>29</v>
      </c>
      <c r="G95" s="24">
        <v>10</v>
      </c>
      <c r="H95" s="87">
        <v>190</v>
      </c>
      <c r="I95" s="87">
        <v>190</v>
      </c>
      <c r="J95" s="60">
        <v>0.38</v>
      </c>
      <c r="K95" s="60">
        <v>0.38</v>
      </c>
      <c r="L95" s="60">
        <v>0.1</v>
      </c>
      <c r="M95" s="60">
        <v>0.1</v>
      </c>
      <c r="N95" s="60"/>
    </row>
    <row r="96" spans="1:14">
      <c r="A96" s="60">
        <v>55</v>
      </c>
      <c r="B96" s="60" t="s">
        <v>594</v>
      </c>
      <c r="C96" s="60" t="s">
        <v>24</v>
      </c>
      <c r="D96" s="24">
        <v>28</v>
      </c>
      <c r="E96" s="24">
        <v>55</v>
      </c>
      <c r="F96" s="24">
        <v>28</v>
      </c>
      <c r="G96" s="24">
        <v>55</v>
      </c>
      <c r="H96" s="60">
        <v>-49.09</v>
      </c>
      <c r="I96" s="60">
        <v>-49.09</v>
      </c>
      <c r="J96" s="60">
        <v>0.37</v>
      </c>
      <c r="K96" s="60">
        <v>0.37</v>
      </c>
      <c r="L96" s="60">
        <v>0.52</v>
      </c>
      <c r="M96" s="60">
        <v>0.52</v>
      </c>
      <c r="N96" s="60"/>
    </row>
    <row r="97" spans="1:14">
      <c r="A97" s="60">
        <v>56</v>
      </c>
      <c r="B97" s="60" t="s">
        <v>429</v>
      </c>
      <c r="C97" s="60" t="s">
        <v>24</v>
      </c>
      <c r="D97" s="24">
        <v>27</v>
      </c>
      <c r="E97" s="24">
        <v>82</v>
      </c>
      <c r="F97" s="24">
        <v>27</v>
      </c>
      <c r="G97" s="24">
        <v>82</v>
      </c>
      <c r="H97" s="60">
        <v>-67.069999999999993</v>
      </c>
      <c r="I97" s="60">
        <v>-67.069999999999993</v>
      </c>
      <c r="J97" s="60">
        <v>0.35</v>
      </c>
      <c r="K97" s="60">
        <v>0.35</v>
      </c>
      <c r="L97" s="60">
        <v>0.78</v>
      </c>
      <c r="M97" s="60">
        <v>0.78</v>
      </c>
      <c r="N97" s="60"/>
    </row>
    <row r="98" spans="1:14">
      <c r="A98" s="60">
        <v>57</v>
      </c>
      <c r="B98" s="60" t="s">
        <v>690</v>
      </c>
      <c r="C98" s="60" t="s">
        <v>23</v>
      </c>
      <c r="D98" s="24">
        <v>26</v>
      </c>
      <c r="E98" s="24">
        <v>13</v>
      </c>
      <c r="F98" s="24">
        <v>26</v>
      </c>
      <c r="G98" s="24">
        <v>13</v>
      </c>
      <c r="H98" s="60">
        <v>100</v>
      </c>
      <c r="I98" s="60">
        <v>100</v>
      </c>
      <c r="J98" s="60">
        <v>0.34</v>
      </c>
      <c r="K98" s="60">
        <v>0.34</v>
      </c>
      <c r="L98" s="60">
        <v>0.12</v>
      </c>
      <c r="M98" s="60">
        <v>0.12</v>
      </c>
      <c r="N98" s="60"/>
    </row>
    <row r="99" spans="1:14">
      <c r="A99" s="60">
        <v>58</v>
      </c>
      <c r="B99" s="60" t="s">
        <v>1051</v>
      </c>
      <c r="C99" s="60" t="s">
        <v>24</v>
      </c>
      <c r="D99" s="24">
        <v>26</v>
      </c>
      <c r="E99" s="24">
        <v>0</v>
      </c>
      <c r="F99" s="24">
        <v>26</v>
      </c>
      <c r="G99" s="24">
        <v>0</v>
      </c>
      <c r="H99" s="60">
        <v>0</v>
      </c>
      <c r="I99" s="60">
        <v>0</v>
      </c>
      <c r="J99" s="60">
        <v>0.34</v>
      </c>
      <c r="K99" s="60">
        <v>0.34</v>
      </c>
      <c r="L99" s="60">
        <v>0</v>
      </c>
      <c r="M99" s="60">
        <v>0</v>
      </c>
      <c r="N99" s="60"/>
    </row>
    <row r="100" spans="1:14">
      <c r="A100" s="60">
        <v>59</v>
      </c>
      <c r="B100" s="60" t="s">
        <v>418</v>
      </c>
      <c r="C100" s="60" t="s">
        <v>23</v>
      </c>
      <c r="D100" s="24">
        <v>25</v>
      </c>
      <c r="E100" s="24">
        <v>123</v>
      </c>
      <c r="F100" s="24">
        <v>25</v>
      </c>
      <c r="G100" s="24">
        <v>123</v>
      </c>
      <c r="H100" s="60">
        <v>-79.67</v>
      </c>
      <c r="I100" s="60">
        <v>-79.67</v>
      </c>
      <c r="J100" s="60">
        <v>0.33</v>
      </c>
      <c r="K100" s="60">
        <v>0.33</v>
      </c>
      <c r="L100" s="60">
        <v>1.17</v>
      </c>
      <c r="M100" s="60">
        <v>1.17</v>
      </c>
      <c r="N100" s="60"/>
    </row>
    <row r="101" spans="1:14">
      <c r="A101" s="60">
        <v>60</v>
      </c>
      <c r="B101" s="60" t="s">
        <v>523</v>
      </c>
      <c r="C101" s="60" t="s">
        <v>23</v>
      </c>
      <c r="D101" s="24">
        <v>24</v>
      </c>
      <c r="E101" s="24">
        <v>209</v>
      </c>
      <c r="F101" s="24">
        <v>24</v>
      </c>
      <c r="G101" s="24">
        <v>209</v>
      </c>
      <c r="H101" s="60">
        <v>-88.52</v>
      </c>
      <c r="I101" s="60">
        <v>-88.52</v>
      </c>
      <c r="J101" s="60">
        <v>0.31</v>
      </c>
      <c r="K101" s="60">
        <v>0.31</v>
      </c>
      <c r="L101" s="60">
        <v>1.99</v>
      </c>
      <c r="M101" s="60">
        <v>1.99</v>
      </c>
      <c r="N101" s="60"/>
    </row>
    <row r="102" spans="1:14">
      <c r="A102" s="60">
        <v>61</v>
      </c>
      <c r="B102" s="60" t="s">
        <v>88</v>
      </c>
      <c r="C102" s="60" t="s">
        <v>24</v>
      </c>
      <c r="D102" s="24">
        <v>24</v>
      </c>
      <c r="E102" s="24">
        <v>48</v>
      </c>
      <c r="F102" s="24">
        <v>24</v>
      </c>
      <c r="G102" s="24">
        <v>48</v>
      </c>
      <c r="H102" s="60">
        <v>-50</v>
      </c>
      <c r="I102" s="60">
        <v>-50</v>
      </c>
      <c r="J102" s="60">
        <v>0.31</v>
      </c>
      <c r="K102" s="60">
        <v>0.31</v>
      </c>
      <c r="L102" s="60">
        <v>0.46</v>
      </c>
      <c r="M102" s="60">
        <v>0.46</v>
      </c>
      <c r="N102" s="60"/>
    </row>
    <row r="103" spans="1:14">
      <c r="A103" s="60">
        <v>62</v>
      </c>
      <c r="B103" s="60" t="s">
        <v>697</v>
      </c>
      <c r="C103" s="60" t="s">
        <v>24</v>
      </c>
      <c r="D103" s="24">
        <v>23</v>
      </c>
      <c r="E103" s="24">
        <v>53</v>
      </c>
      <c r="F103" s="24">
        <v>23</v>
      </c>
      <c r="G103" s="24">
        <v>53</v>
      </c>
      <c r="H103" s="60">
        <v>-56.6</v>
      </c>
      <c r="I103" s="60">
        <v>-56.6</v>
      </c>
      <c r="J103" s="60">
        <v>0.3</v>
      </c>
      <c r="K103" s="60">
        <v>0.3</v>
      </c>
      <c r="L103" s="60">
        <v>0.5</v>
      </c>
      <c r="M103" s="60">
        <v>0.5</v>
      </c>
      <c r="N103" s="60"/>
    </row>
    <row r="104" spans="1:14">
      <c r="A104" s="60">
        <v>63</v>
      </c>
      <c r="B104" s="60" t="s">
        <v>433</v>
      </c>
      <c r="C104" s="60" t="s">
        <v>23</v>
      </c>
      <c r="D104" s="24">
        <v>23</v>
      </c>
      <c r="E104" s="24">
        <v>13</v>
      </c>
      <c r="F104" s="24">
        <v>23</v>
      </c>
      <c r="G104" s="24">
        <v>13</v>
      </c>
      <c r="H104" s="60">
        <v>76.92</v>
      </c>
      <c r="I104" s="60">
        <v>76.92</v>
      </c>
      <c r="J104" s="60">
        <v>0.3</v>
      </c>
      <c r="K104" s="60">
        <v>0.3</v>
      </c>
      <c r="L104" s="60">
        <v>0.12</v>
      </c>
      <c r="M104" s="60">
        <v>0.12</v>
      </c>
      <c r="N104" s="60"/>
    </row>
    <row r="105" spans="1:14">
      <c r="A105" s="60">
        <v>64</v>
      </c>
      <c r="B105" s="60" t="s">
        <v>240</v>
      </c>
      <c r="C105" s="60" t="s">
        <v>23</v>
      </c>
      <c r="D105" s="24">
        <v>21</v>
      </c>
      <c r="E105" s="24">
        <v>74</v>
      </c>
      <c r="F105" s="24">
        <v>21</v>
      </c>
      <c r="G105" s="24">
        <v>74</v>
      </c>
      <c r="H105" s="60">
        <v>-71.62</v>
      </c>
      <c r="I105" s="60">
        <v>-71.62</v>
      </c>
      <c r="J105" s="60">
        <v>0.28000000000000003</v>
      </c>
      <c r="K105" s="60">
        <v>0.28000000000000003</v>
      </c>
      <c r="L105" s="60">
        <v>0.7</v>
      </c>
      <c r="M105" s="60">
        <v>0.7</v>
      </c>
      <c r="N105" s="60"/>
    </row>
    <row r="106" spans="1:14">
      <c r="A106" s="60">
        <v>65</v>
      </c>
      <c r="B106" s="60" t="s">
        <v>676</v>
      </c>
      <c r="C106" s="60" t="s">
        <v>24</v>
      </c>
      <c r="D106" s="24">
        <v>21</v>
      </c>
      <c r="E106" s="24">
        <v>0</v>
      </c>
      <c r="F106" s="24">
        <v>21</v>
      </c>
      <c r="G106" s="24">
        <v>0</v>
      </c>
      <c r="H106" s="60">
        <v>0</v>
      </c>
      <c r="I106" s="60">
        <v>0</v>
      </c>
      <c r="J106" s="60">
        <v>0.28000000000000003</v>
      </c>
      <c r="K106" s="60">
        <v>0.28000000000000003</v>
      </c>
      <c r="L106" s="60">
        <v>0</v>
      </c>
      <c r="M106" s="60">
        <v>0</v>
      </c>
      <c r="N106" s="60"/>
    </row>
    <row r="107" spans="1:14">
      <c r="A107" s="60">
        <v>66</v>
      </c>
      <c r="B107" s="60" t="s">
        <v>376</v>
      </c>
      <c r="C107" s="60" t="s">
        <v>23</v>
      </c>
      <c r="D107" s="24">
        <v>20</v>
      </c>
      <c r="E107" s="24">
        <v>34</v>
      </c>
      <c r="F107" s="24">
        <v>20</v>
      </c>
      <c r="G107" s="24">
        <v>34</v>
      </c>
      <c r="H107" s="60">
        <v>-41.18</v>
      </c>
      <c r="I107" s="60">
        <v>-41.18</v>
      </c>
      <c r="J107" s="60">
        <v>0.26</v>
      </c>
      <c r="K107" s="60">
        <v>0.26</v>
      </c>
      <c r="L107" s="60">
        <v>0.32</v>
      </c>
      <c r="M107" s="60">
        <v>0.32</v>
      </c>
      <c r="N107" s="60"/>
    </row>
    <row r="108" spans="1:14">
      <c r="A108" s="60">
        <v>67</v>
      </c>
      <c r="B108" s="60" t="s">
        <v>1032</v>
      </c>
      <c r="C108" s="60" t="s">
        <v>23</v>
      </c>
      <c r="D108" s="24">
        <v>20</v>
      </c>
      <c r="E108" s="24">
        <v>0</v>
      </c>
      <c r="F108" s="24">
        <v>20</v>
      </c>
      <c r="G108" s="24">
        <v>0</v>
      </c>
      <c r="H108" s="60">
        <v>0</v>
      </c>
      <c r="I108" s="60">
        <v>0</v>
      </c>
      <c r="J108" s="60">
        <v>0.26</v>
      </c>
      <c r="K108" s="60">
        <v>0.26</v>
      </c>
      <c r="L108" s="60">
        <v>0</v>
      </c>
      <c r="M108" s="60">
        <v>0</v>
      </c>
      <c r="N108" s="60"/>
    </row>
    <row r="109" spans="1:14">
      <c r="A109" s="60">
        <v>68</v>
      </c>
      <c r="B109" s="60" t="s">
        <v>149</v>
      </c>
      <c r="C109" s="60" t="s">
        <v>24</v>
      </c>
      <c r="D109" s="24">
        <v>20</v>
      </c>
      <c r="E109" s="24">
        <v>0</v>
      </c>
      <c r="F109" s="24">
        <v>20</v>
      </c>
      <c r="G109" s="24">
        <v>0</v>
      </c>
      <c r="H109" s="60">
        <v>0</v>
      </c>
      <c r="I109" s="60">
        <v>0</v>
      </c>
      <c r="J109" s="60">
        <v>0.26</v>
      </c>
      <c r="K109" s="60">
        <v>0.26</v>
      </c>
      <c r="L109" s="60">
        <v>0</v>
      </c>
      <c r="M109" s="60">
        <v>0</v>
      </c>
      <c r="N109" s="60"/>
    </row>
    <row r="110" spans="1:14">
      <c r="A110" s="60">
        <v>69</v>
      </c>
      <c r="B110" s="60" t="s">
        <v>1087</v>
      </c>
      <c r="C110" s="60" t="s">
        <v>23</v>
      </c>
      <c r="D110" s="24">
        <v>19</v>
      </c>
      <c r="E110" s="24">
        <v>0</v>
      </c>
      <c r="F110" s="24">
        <v>19</v>
      </c>
      <c r="G110" s="24">
        <v>0</v>
      </c>
      <c r="H110" s="60">
        <v>0</v>
      </c>
      <c r="I110" s="60">
        <v>0</v>
      </c>
      <c r="J110" s="60">
        <v>0.25</v>
      </c>
      <c r="K110" s="60">
        <v>0.25</v>
      </c>
      <c r="L110" s="60">
        <v>0</v>
      </c>
      <c r="M110" s="60">
        <v>0</v>
      </c>
      <c r="N110" s="60"/>
    </row>
    <row r="111" spans="1:14">
      <c r="A111" s="60">
        <v>70</v>
      </c>
      <c r="B111" s="60" t="s">
        <v>607</v>
      </c>
      <c r="C111" s="60" t="s">
        <v>24</v>
      </c>
      <c r="D111" s="24">
        <v>18</v>
      </c>
      <c r="E111" s="24">
        <v>110</v>
      </c>
      <c r="F111" s="24">
        <v>18</v>
      </c>
      <c r="G111" s="24">
        <v>110</v>
      </c>
      <c r="H111" s="60">
        <v>-83.64</v>
      </c>
      <c r="I111" s="60">
        <v>-83.64</v>
      </c>
      <c r="J111" s="60">
        <v>0.24</v>
      </c>
      <c r="K111" s="60">
        <v>0.24</v>
      </c>
      <c r="L111" s="60">
        <v>1.05</v>
      </c>
      <c r="M111" s="60">
        <v>1.05</v>
      </c>
      <c r="N111" s="60"/>
    </row>
    <row r="112" spans="1:14">
      <c r="A112" s="60">
        <v>71</v>
      </c>
      <c r="B112" s="60" t="s">
        <v>247</v>
      </c>
      <c r="C112" s="60" t="s">
        <v>23</v>
      </c>
      <c r="D112" s="24">
        <v>18</v>
      </c>
      <c r="E112" s="24">
        <v>2</v>
      </c>
      <c r="F112" s="24">
        <v>18</v>
      </c>
      <c r="G112" s="24">
        <v>2</v>
      </c>
      <c r="H112" s="60">
        <v>800</v>
      </c>
      <c r="I112" s="60">
        <v>800</v>
      </c>
      <c r="J112" s="60">
        <v>0.24</v>
      </c>
      <c r="K112" s="60">
        <v>0.24</v>
      </c>
      <c r="L112" s="60">
        <v>0.02</v>
      </c>
      <c r="M112" s="60">
        <v>0.02</v>
      </c>
      <c r="N112" s="60"/>
    </row>
    <row r="113" spans="1:14">
      <c r="A113" s="60">
        <v>72</v>
      </c>
      <c r="B113" s="60" t="s">
        <v>1059</v>
      </c>
      <c r="C113" s="60" t="s">
        <v>24</v>
      </c>
      <c r="D113" s="24">
        <v>18</v>
      </c>
      <c r="E113" s="24">
        <v>0</v>
      </c>
      <c r="F113" s="24">
        <v>18</v>
      </c>
      <c r="G113" s="24">
        <v>0</v>
      </c>
      <c r="H113" s="60">
        <v>0</v>
      </c>
      <c r="I113" s="60">
        <v>0</v>
      </c>
      <c r="J113" s="60">
        <v>0.24</v>
      </c>
      <c r="K113" s="60">
        <v>0.24</v>
      </c>
      <c r="L113" s="60">
        <v>0</v>
      </c>
      <c r="M113" s="60">
        <v>0</v>
      </c>
      <c r="N113" s="60"/>
    </row>
    <row r="114" spans="1:14">
      <c r="A114" s="60">
        <v>73</v>
      </c>
      <c r="B114" s="60" t="s">
        <v>636</v>
      </c>
      <c r="C114" s="60" t="s">
        <v>24</v>
      </c>
      <c r="D114" s="24">
        <v>17</v>
      </c>
      <c r="E114" s="24">
        <v>112</v>
      </c>
      <c r="F114" s="24">
        <v>17</v>
      </c>
      <c r="G114" s="24">
        <v>112</v>
      </c>
      <c r="H114" s="60">
        <v>-84.82</v>
      </c>
      <c r="I114" s="60">
        <v>-84.82</v>
      </c>
      <c r="J114" s="60">
        <v>0.22</v>
      </c>
      <c r="K114" s="60">
        <v>0.22</v>
      </c>
      <c r="L114" s="60">
        <v>1.06</v>
      </c>
      <c r="M114" s="60">
        <v>1.06</v>
      </c>
      <c r="N114" s="60"/>
    </row>
    <row r="115" spans="1:14">
      <c r="A115" s="60">
        <v>74</v>
      </c>
      <c r="B115" s="60" t="s">
        <v>384</v>
      </c>
      <c r="C115" s="60" t="s">
        <v>23</v>
      </c>
      <c r="D115" s="24">
        <v>17</v>
      </c>
      <c r="E115" s="24">
        <v>66</v>
      </c>
      <c r="F115" s="24">
        <v>17</v>
      </c>
      <c r="G115" s="24">
        <v>66</v>
      </c>
      <c r="H115" s="60">
        <v>-74.239999999999995</v>
      </c>
      <c r="I115" s="60">
        <v>-74.239999999999995</v>
      </c>
      <c r="J115" s="60">
        <v>0.22</v>
      </c>
      <c r="K115" s="60">
        <v>0.22</v>
      </c>
      <c r="L115" s="60">
        <v>0.63</v>
      </c>
      <c r="M115" s="60">
        <v>0.63</v>
      </c>
      <c r="N115" s="60"/>
    </row>
    <row r="116" spans="1:14">
      <c r="A116" s="60">
        <v>75</v>
      </c>
      <c r="B116" s="60" t="s">
        <v>649</v>
      </c>
      <c r="C116" s="60" t="s">
        <v>24</v>
      </c>
      <c r="D116" s="24">
        <v>17</v>
      </c>
      <c r="E116" s="24">
        <v>40</v>
      </c>
      <c r="F116" s="24">
        <v>17</v>
      </c>
      <c r="G116" s="24">
        <v>40</v>
      </c>
      <c r="H116" s="60">
        <v>-57.5</v>
      </c>
      <c r="I116" s="60">
        <v>-57.5</v>
      </c>
      <c r="J116" s="60">
        <v>0.22</v>
      </c>
      <c r="K116" s="60">
        <v>0.22</v>
      </c>
      <c r="L116" s="60">
        <v>0.38</v>
      </c>
      <c r="M116" s="60">
        <v>0.38</v>
      </c>
      <c r="N116" s="60"/>
    </row>
    <row r="117" spans="1:14">
      <c r="A117" s="60">
        <v>76</v>
      </c>
      <c r="B117" s="60" t="s">
        <v>453</v>
      </c>
      <c r="C117" s="60" t="s">
        <v>23</v>
      </c>
      <c r="D117" s="24">
        <v>15</v>
      </c>
      <c r="E117" s="24">
        <v>178</v>
      </c>
      <c r="F117" s="24">
        <v>15</v>
      </c>
      <c r="G117" s="24">
        <v>178</v>
      </c>
      <c r="H117" s="60">
        <v>-91.57</v>
      </c>
      <c r="I117" s="60">
        <v>-91.57</v>
      </c>
      <c r="J117" s="60">
        <v>0.2</v>
      </c>
      <c r="K117" s="60">
        <v>0.2</v>
      </c>
      <c r="L117" s="60">
        <v>1.69</v>
      </c>
      <c r="M117" s="60">
        <v>1.69</v>
      </c>
      <c r="N117" s="60"/>
    </row>
    <row r="118" spans="1:14">
      <c r="A118" s="60">
        <v>77</v>
      </c>
      <c r="B118" s="60" t="s">
        <v>84</v>
      </c>
      <c r="C118" s="60" t="s">
        <v>23</v>
      </c>
      <c r="D118" s="24">
        <v>15</v>
      </c>
      <c r="E118" s="24">
        <v>48</v>
      </c>
      <c r="F118" s="24">
        <v>15</v>
      </c>
      <c r="G118" s="24">
        <v>48</v>
      </c>
      <c r="H118" s="60">
        <v>-68.75</v>
      </c>
      <c r="I118" s="60">
        <v>-68.75</v>
      </c>
      <c r="J118" s="60">
        <v>0.2</v>
      </c>
      <c r="K118" s="60">
        <v>0.2</v>
      </c>
      <c r="L118" s="60">
        <v>0.46</v>
      </c>
      <c r="M118" s="60">
        <v>0.46</v>
      </c>
      <c r="N118" s="60"/>
    </row>
    <row r="119" spans="1:14">
      <c r="A119" s="60">
        <v>78</v>
      </c>
      <c r="B119" s="60" t="s">
        <v>667</v>
      </c>
      <c r="C119" s="60" t="s">
        <v>23</v>
      </c>
      <c r="D119" s="24">
        <v>13</v>
      </c>
      <c r="E119" s="24">
        <v>39</v>
      </c>
      <c r="F119" s="24">
        <v>13</v>
      </c>
      <c r="G119" s="24">
        <v>39</v>
      </c>
      <c r="H119" s="60">
        <v>-66.67</v>
      </c>
      <c r="I119" s="60">
        <v>-66.67</v>
      </c>
      <c r="J119" s="60">
        <v>0.17</v>
      </c>
      <c r="K119" s="60">
        <v>0.17</v>
      </c>
      <c r="L119" s="60">
        <v>0.37</v>
      </c>
      <c r="M119" s="60">
        <v>0.37</v>
      </c>
      <c r="N119" s="60"/>
    </row>
    <row r="120" spans="1:14">
      <c r="A120" s="60">
        <v>79</v>
      </c>
      <c r="B120" s="60" t="s">
        <v>472</v>
      </c>
      <c r="C120" s="60" t="s">
        <v>24</v>
      </c>
      <c r="D120" s="24">
        <v>13</v>
      </c>
      <c r="E120" s="24">
        <v>1</v>
      </c>
      <c r="F120" s="24">
        <v>13</v>
      </c>
      <c r="G120" s="24">
        <v>1</v>
      </c>
      <c r="H120" s="60">
        <v>1200</v>
      </c>
      <c r="I120" s="60">
        <v>1200</v>
      </c>
      <c r="J120" s="60">
        <v>0.17</v>
      </c>
      <c r="K120" s="60">
        <v>0.17</v>
      </c>
      <c r="L120" s="60">
        <v>0.01</v>
      </c>
      <c r="M120" s="60">
        <v>0.01</v>
      </c>
      <c r="N120" s="60"/>
    </row>
    <row r="121" spans="1:14">
      <c r="A121" s="60">
        <v>80</v>
      </c>
      <c r="B121" s="60" t="s">
        <v>1025</v>
      </c>
      <c r="C121" s="60" t="s">
        <v>24</v>
      </c>
      <c r="D121" s="24">
        <v>13</v>
      </c>
      <c r="E121" s="24">
        <v>0</v>
      </c>
      <c r="F121" s="24">
        <v>13</v>
      </c>
      <c r="G121" s="24">
        <v>0</v>
      </c>
      <c r="H121" s="60">
        <v>0</v>
      </c>
      <c r="I121" s="60">
        <v>0</v>
      </c>
      <c r="J121" s="60">
        <v>0.17</v>
      </c>
      <c r="K121" s="60">
        <v>0.17</v>
      </c>
      <c r="L121" s="60">
        <v>0</v>
      </c>
      <c r="M121" s="60">
        <v>0</v>
      </c>
      <c r="N121" s="60"/>
    </row>
    <row r="122" spans="1:14">
      <c r="A122" s="60">
        <v>81</v>
      </c>
      <c r="B122" s="60" t="s">
        <v>426</v>
      </c>
      <c r="C122" s="60" t="s">
        <v>24</v>
      </c>
      <c r="D122" s="24">
        <v>12</v>
      </c>
      <c r="E122" s="24">
        <v>68</v>
      </c>
      <c r="F122" s="24">
        <v>12</v>
      </c>
      <c r="G122" s="24">
        <v>68</v>
      </c>
      <c r="H122" s="60">
        <v>-82.35</v>
      </c>
      <c r="I122" s="60">
        <v>-82.35</v>
      </c>
      <c r="J122" s="60">
        <v>0.16</v>
      </c>
      <c r="K122" s="60">
        <v>0.16</v>
      </c>
      <c r="L122" s="60">
        <v>0.65</v>
      </c>
      <c r="M122" s="60">
        <v>0.65</v>
      </c>
      <c r="N122" s="60"/>
    </row>
    <row r="123" spans="1:14">
      <c r="A123" s="60">
        <v>82</v>
      </c>
      <c r="B123" s="60" t="s">
        <v>676</v>
      </c>
      <c r="C123" s="60" t="s">
        <v>24</v>
      </c>
      <c r="D123" s="24">
        <v>12</v>
      </c>
      <c r="E123" s="24">
        <v>20</v>
      </c>
      <c r="F123" s="24">
        <v>12</v>
      </c>
      <c r="G123" s="24">
        <v>20</v>
      </c>
      <c r="H123" s="60">
        <v>-40</v>
      </c>
      <c r="I123" s="60">
        <v>-40</v>
      </c>
      <c r="J123" s="60">
        <v>0.16</v>
      </c>
      <c r="K123" s="60">
        <v>0.16</v>
      </c>
      <c r="L123" s="60">
        <v>0.19</v>
      </c>
      <c r="M123" s="60">
        <v>0.19</v>
      </c>
      <c r="N123" s="60"/>
    </row>
    <row r="124" spans="1:14">
      <c r="A124" s="60">
        <v>83</v>
      </c>
      <c r="B124" s="60" t="s">
        <v>430</v>
      </c>
      <c r="C124" s="60" t="s">
        <v>23</v>
      </c>
      <c r="D124" s="24">
        <v>11</v>
      </c>
      <c r="E124" s="24">
        <v>114</v>
      </c>
      <c r="F124" s="24">
        <v>11</v>
      </c>
      <c r="G124" s="24">
        <v>114</v>
      </c>
      <c r="H124" s="60">
        <v>-90.35</v>
      </c>
      <c r="I124" s="60">
        <v>-90.35</v>
      </c>
      <c r="J124" s="60">
        <v>0.14000000000000001</v>
      </c>
      <c r="K124" s="60">
        <v>0.14000000000000001</v>
      </c>
      <c r="L124" s="60">
        <v>1.08</v>
      </c>
      <c r="M124" s="60">
        <v>1.08</v>
      </c>
      <c r="N124" s="60"/>
    </row>
    <row r="125" spans="1:14">
      <c r="A125" s="60">
        <v>84</v>
      </c>
      <c r="B125" s="60" t="s">
        <v>424</v>
      </c>
      <c r="C125" s="60" t="s">
        <v>24</v>
      </c>
      <c r="D125" s="24">
        <v>11</v>
      </c>
      <c r="E125" s="24">
        <v>72</v>
      </c>
      <c r="F125" s="24">
        <v>11</v>
      </c>
      <c r="G125" s="24">
        <v>72</v>
      </c>
      <c r="H125" s="60">
        <v>-84.72</v>
      </c>
      <c r="I125" s="60">
        <v>-84.72</v>
      </c>
      <c r="J125" s="60">
        <v>0.14000000000000001</v>
      </c>
      <c r="K125" s="60">
        <v>0.14000000000000001</v>
      </c>
      <c r="L125" s="60">
        <v>0.68</v>
      </c>
      <c r="M125" s="60">
        <v>0.68</v>
      </c>
      <c r="N125" s="60"/>
    </row>
    <row r="126" spans="1:14">
      <c r="A126" s="60">
        <v>85</v>
      </c>
      <c r="B126" s="60" t="s">
        <v>165</v>
      </c>
      <c r="C126" s="60" t="s">
        <v>23</v>
      </c>
      <c r="D126" s="24">
        <v>11</v>
      </c>
      <c r="E126" s="24">
        <v>21</v>
      </c>
      <c r="F126" s="24">
        <v>11</v>
      </c>
      <c r="G126" s="24">
        <v>21</v>
      </c>
      <c r="H126" s="60">
        <v>-47.62</v>
      </c>
      <c r="I126" s="60">
        <v>-47.62</v>
      </c>
      <c r="J126" s="60">
        <v>0.14000000000000001</v>
      </c>
      <c r="K126" s="60">
        <v>0.14000000000000001</v>
      </c>
      <c r="L126" s="60">
        <v>0.2</v>
      </c>
      <c r="M126" s="60">
        <v>0.2</v>
      </c>
      <c r="N126" s="60"/>
    </row>
    <row r="127" spans="1:14">
      <c r="A127" s="60">
        <v>86</v>
      </c>
      <c r="B127" s="60" t="s">
        <v>698</v>
      </c>
      <c r="C127" s="60" t="s">
        <v>24</v>
      </c>
      <c r="D127" s="24">
        <v>11</v>
      </c>
      <c r="E127" s="24">
        <v>8</v>
      </c>
      <c r="F127" s="24">
        <v>11</v>
      </c>
      <c r="G127" s="24">
        <v>8</v>
      </c>
      <c r="H127" s="60">
        <v>37.5</v>
      </c>
      <c r="I127" s="60">
        <v>37.5</v>
      </c>
      <c r="J127" s="60">
        <v>0.14000000000000001</v>
      </c>
      <c r="K127" s="60">
        <v>0.14000000000000001</v>
      </c>
      <c r="L127" s="60">
        <v>0.08</v>
      </c>
      <c r="M127" s="60">
        <v>0.08</v>
      </c>
      <c r="N127" s="60"/>
    </row>
    <row r="128" spans="1:14">
      <c r="A128" s="60">
        <v>87</v>
      </c>
      <c r="B128" s="60" t="s">
        <v>79</v>
      </c>
      <c r="C128" s="60" t="s">
        <v>23</v>
      </c>
      <c r="D128" s="24">
        <v>10</v>
      </c>
      <c r="E128" s="24">
        <v>58</v>
      </c>
      <c r="F128" s="24">
        <v>10</v>
      </c>
      <c r="G128" s="24">
        <v>58</v>
      </c>
      <c r="H128" s="60">
        <v>-82.76</v>
      </c>
      <c r="I128" s="60">
        <v>-82.76</v>
      </c>
      <c r="J128" s="60">
        <v>0.13</v>
      </c>
      <c r="K128" s="60">
        <v>0.13</v>
      </c>
      <c r="L128" s="60">
        <v>0.55000000000000004</v>
      </c>
      <c r="M128" s="60">
        <v>0.55000000000000004</v>
      </c>
      <c r="N128" s="60"/>
    </row>
    <row r="129" spans="1:14">
      <c r="A129" s="60">
        <v>88</v>
      </c>
      <c r="B129" s="60" t="s">
        <v>634</v>
      </c>
      <c r="C129" s="60" t="s">
        <v>23</v>
      </c>
      <c r="D129" s="24">
        <v>10</v>
      </c>
      <c r="E129" s="24">
        <v>13</v>
      </c>
      <c r="F129" s="24">
        <v>10</v>
      </c>
      <c r="G129" s="24">
        <v>13</v>
      </c>
      <c r="H129" s="60">
        <v>-23.08</v>
      </c>
      <c r="I129" s="60">
        <v>-23.08</v>
      </c>
      <c r="J129" s="60">
        <v>0.13</v>
      </c>
      <c r="K129" s="60">
        <v>0.13</v>
      </c>
      <c r="L129" s="60">
        <v>0.12</v>
      </c>
      <c r="M129" s="60">
        <v>0.12</v>
      </c>
      <c r="N129" s="60"/>
    </row>
    <row r="130" spans="1:14">
      <c r="A130" s="60">
        <v>89</v>
      </c>
      <c r="B130" s="60" t="s">
        <v>1073</v>
      </c>
      <c r="C130" s="60" t="s">
        <v>24</v>
      </c>
      <c r="D130" s="24">
        <v>10</v>
      </c>
      <c r="E130" s="24">
        <v>0</v>
      </c>
      <c r="F130" s="24">
        <v>10</v>
      </c>
      <c r="G130" s="24">
        <v>0</v>
      </c>
      <c r="H130" s="60">
        <v>0</v>
      </c>
      <c r="I130" s="60">
        <v>0</v>
      </c>
      <c r="J130" s="60">
        <v>0.13</v>
      </c>
      <c r="K130" s="60">
        <v>0.13</v>
      </c>
      <c r="L130" s="60">
        <v>0</v>
      </c>
      <c r="M130" s="60">
        <v>0</v>
      </c>
      <c r="N130" s="60"/>
    </row>
    <row r="131" spans="1:14">
      <c r="A131" s="60">
        <v>90</v>
      </c>
      <c r="B131" s="60" t="s">
        <v>184</v>
      </c>
      <c r="C131" s="60" t="s">
        <v>23</v>
      </c>
      <c r="D131" s="24">
        <v>9</v>
      </c>
      <c r="E131" s="24">
        <v>49</v>
      </c>
      <c r="F131" s="24">
        <v>9</v>
      </c>
      <c r="G131" s="24">
        <v>49</v>
      </c>
      <c r="H131" s="60">
        <v>-81.63</v>
      </c>
      <c r="I131" s="60">
        <v>-81.63</v>
      </c>
      <c r="J131" s="60">
        <v>0.12</v>
      </c>
      <c r="K131" s="60">
        <v>0.12</v>
      </c>
      <c r="L131" s="60">
        <v>0.47</v>
      </c>
      <c r="M131" s="60">
        <v>0.47</v>
      </c>
      <c r="N131" s="60"/>
    </row>
    <row r="132" spans="1:14">
      <c r="A132" s="60">
        <v>91</v>
      </c>
      <c r="B132" s="60" t="s">
        <v>411</v>
      </c>
      <c r="C132" s="60" t="s">
        <v>23</v>
      </c>
      <c r="D132" s="24">
        <v>9</v>
      </c>
      <c r="E132" s="24">
        <v>14</v>
      </c>
      <c r="F132" s="24">
        <v>9</v>
      </c>
      <c r="G132" s="24">
        <v>14</v>
      </c>
      <c r="H132" s="60">
        <v>-35.71</v>
      </c>
      <c r="I132" s="60">
        <v>-35.71</v>
      </c>
      <c r="J132" s="60">
        <v>0.12</v>
      </c>
      <c r="K132" s="60">
        <v>0.12</v>
      </c>
      <c r="L132" s="60">
        <v>0.13</v>
      </c>
      <c r="M132" s="60">
        <v>0.13</v>
      </c>
      <c r="N132" s="60"/>
    </row>
    <row r="133" spans="1:14">
      <c r="A133" s="60">
        <v>92</v>
      </c>
      <c r="B133" s="60" t="s">
        <v>530</v>
      </c>
      <c r="C133" s="60" t="s">
        <v>24</v>
      </c>
      <c r="D133" s="24">
        <v>9</v>
      </c>
      <c r="E133" s="24">
        <v>3</v>
      </c>
      <c r="F133" s="24">
        <v>9</v>
      </c>
      <c r="G133" s="24">
        <v>3</v>
      </c>
      <c r="H133" s="60">
        <v>200</v>
      </c>
      <c r="I133" s="60">
        <v>200</v>
      </c>
      <c r="J133" s="60">
        <v>0.12</v>
      </c>
      <c r="K133" s="60">
        <v>0.12</v>
      </c>
      <c r="L133" s="60">
        <v>0.03</v>
      </c>
      <c r="M133" s="60">
        <v>0.03</v>
      </c>
      <c r="N133" s="60"/>
    </row>
    <row r="134" spans="1:14">
      <c r="A134" s="60">
        <v>93</v>
      </c>
      <c r="B134" s="60" t="s">
        <v>1074</v>
      </c>
      <c r="C134" s="60" t="s">
        <v>23</v>
      </c>
      <c r="D134" s="24">
        <v>9</v>
      </c>
      <c r="E134" s="24">
        <v>0</v>
      </c>
      <c r="F134" s="24">
        <v>9</v>
      </c>
      <c r="G134" s="24">
        <v>0</v>
      </c>
      <c r="H134" s="60">
        <v>0</v>
      </c>
      <c r="I134" s="60">
        <v>0</v>
      </c>
      <c r="J134" s="60">
        <v>0.12</v>
      </c>
      <c r="K134" s="60">
        <v>0.12</v>
      </c>
      <c r="L134" s="60">
        <v>0</v>
      </c>
      <c r="M134" s="60">
        <v>0</v>
      </c>
      <c r="N134" s="60"/>
    </row>
    <row r="135" spans="1:14">
      <c r="A135" s="60">
        <v>94</v>
      </c>
      <c r="B135" s="60" t="s">
        <v>727</v>
      </c>
      <c r="C135" s="60" t="s">
        <v>24</v>
      </c>
      <c r="D135" s="24">
        <v>9</v>
      </c>
      <c r="E135" s="24">
        <v>0</v>
      </c>
      <c r="F135" s="24">
        <v>9</v>
      </c>
      <c r="G135" s="24">
        <v>0</v>
      </c>
      <c r="H135" s="60">
        <v>0</v>
      </c>
      <c r="I135" s="60">
        <v>0</v>
      </c>
      <c r="J135" s="60">
        <v>0.12</v>
      </c>
      <c r="K135" s="60">
        <v>0.12</v>
      </c>
      <c r="L135" s="60">
        <v>0</v>
      </c>
      <c r="M135" s="60">
        <v>0</v>
      </c>
      <c r="N135" s="60"/>
    </row>
    <row r="136" spans="1:14">
      <c r="A136" s="60">
        <v>95</v>
      </c>
      <c r="B136" s="60" t="s">
        <v>1069</v>
      </c>
      <c r="C136" s="60" t="s">
        <v>24</v>
      </c>
      <c r="D136" s="24">
        <v>9</v>
      </c>
      <c r="E136" s="24">
        <v>0</v>
      </c>
      <c r="F136" s="24">
        <v>9</v>
      </c>
      <c r="G136" s="24">
        <v>0</v>
      </c>
      <c r="H136" s="60">
        <v>0</v>
      </c>
      <c r="I136" s="60">
        <v>0</v>
      </c>
      <c r="J136" s="60">
        <v>0.12</v>
      </c>
      <c r="K136" s="60">
        <v>0.12</v>
      </c>
      <c r="L136" s="60">
        <v>0</v>
      </c>
      <c r="M136" s="60">
        <v>0</v>
      </c>
      <c r="N136" s="60"/>
    </row>
    <row r="137" spans="1:14">
      <c r="A137" s="60">
        <v>96</v>
      </c>
      <c r="B137" s="60" t="s">
        <v>531</v>
      </c>
      <c r="C137" s="60" t="s">
        <v>23</v>
      </c>
      <c r="D137" s="24">
        <v>8</v>
      </c>
      <c r="E137" s="24">
        <v>28</v>
      </c>
      <c r="F137" s="24">
        <v>8</v>
      </c>
      <c r="G137" s="24">
        <v>28</v>
      </c>
      <c r="H137" s="60">
        <v>-71.430000000000007</v>
      </c>
      <c r="I137" s="60">
        <v>-71.430000000000007</v>
      </c>
      <c r="J137" s="60">
        <v>0.1</v>
      </c>
      <c r="K137" s="60">
        <v>0.1</v>
      </c>
      <c r="L137" s="60">
        <v>0.27</v>
      </c>
      <c r="M137" s="60">
        <v>0.27</v>
      </c>
      <c r="N137" s="60"/>
    </row>
    <row r="138" spans="1:14">
      <c r="A138" s="60">
        <v>97</v>
      </c>
      <c r="B138" s="60" t="s">
        <v>442</v>
      </c>
      <c r="C138" s="60" t="s">
        <v>23</v>
      </c>
      <c r="D138" s="24">
        <v>8</v>
      </c>
      <c r="E138" s="24">
        <v>19</v>
      </c>
      <c r="F138" s="24">
        <v>8</v>
      </c>
      <c r="G138" s="24">
        <v>19</v>
      </c>
      <c r="H138" s="60">
        <v>-57.89</v>
      </c>
      <c r="I138" s="60">
        <v>-57.89</v>
      </c>
      <c r="J138" s="60">
        <v>0.1</v>
      </c>
      <c r="K138" s="60">
        <v>0.1</v>
      </c>
      <c r="L138" s="60">
        <v>0.18</v>
      </c>
      <c r="M138" s="60">
        <v>0.18</v>
      </c>
      <c r="N138" s="60"/>
    </row>
    <row r="139" spans="1:14">
      <c r="A139" s="60">
        <v>98</v>
      </c>
      <c r="B139" s="60" t="s">
        <v>456</v>
      </c>
      <c r="C139" s="60" t="s">
        <v>23</v>
      </c>
      <c r="D139" s="24">
        <v>8</v>
      </c>
      <c r="E139" s="24">
        <v>3</v>
      </c>
      <c r="F139" s="24">
        <v>8</v>
      </c>
      <c r="G139" s="24">
        <v>3</v>
      </c>
      <c r="H139" s="60">
        <v>166.67</v>
      </c>
      <c r="I139" s="60">
        <v>166.67</v>
      </c>
      <c r="J139" s="60">
        <v>0.1</v>
      </c>
      <c r="K139" s="60">
        <v>0.1</v>
      </c>
      <c r="L139" s="60">
        <v>0.03</v>
      </c>
      <c r="M139" s="60">
        <v>0.03</v>
      </c>
      <c r="N139" s="60"/>
    </row>
    <row r="140" spans="1:14">
      <c r="A140" s="60">
        <v>99</v>
      </c>
      <c r="B140" s="60" t="s">
        <v>1110</v>
      </c>
      <c r="C140" s="60" t="s">
        <v>24</v>
      </c>
      <c r="D140" s="24">
        <v>8</v>
      </c>
      <c r="E140" s="24">
        <v>0</v>
      </c>
      <c r="F140" s="24">
        <v>8</v>
      </c>
      <c r="G140" s="24">
        <v>0</v>
      </c>
      <c r="H140" s="60">
        <v>0</v>
      </c>
      <c r="I140" s="60">
        <v>0</v>
      </c>
      <c r="J140" s="60">
        <v>0.1</v>
      </c>
      <c r="K140" s="60">
        <v>0.1</v>
      </c>
      <c r="L140" s="60">
        <v>0</v>
      </c>
      <c r="M140" s="60">
        <v>0</v>
      </c>
      <c r="N140" s="60"/>
    </row>
    <row r="141" spans="1:14">
      <c r="A141" s="60">
        <v>100</v>
      </c>
      <c r="B141" s="60" t="s">
        <v>623</v>
      </c>
      <c r="C141" s="60" t="s">
        <v>23</v>
      </c>
      <c r="D141" s="24">
        <v>7</v>
      </c>
      <c r="E141" s="24">
        <v>321</v>
      </c>
      <c r="F141" s="24">
        <v>7</v>
      </c>
      <c r="G141" s="24">
        <v>321</v>
      </c>
      <c r="H141" s="60">
        <v>-97.82</v>
      </c>
      <c r="I141" s="60">
        <v>-97.82</v>
      </c>
      <c r="J141" s="60">
        <v>0.09</v>
      </c>
      <c r="K141" s="60">
        <v>0.09</v>
      </c>
      <c r="L141" s="60">
        <v>3.05</v>
      </c>
      <c r="M141" s="60">
        <v>3.05</v>
      </c>
      <c r="N141" s="60"/>
    </row>
    <row r="142" spans="1:14">
      <c r="A142" s="60">
        <v>101</v>
      </c>
      <c r="B142" s="60" t="s">
        <v>439</v>
      </c>
      <c r="C142" s="60" t="s">
        <v>23</v>
      </c>
      <c r="D142" s="24">
        <v>7</v>
      </c>
      <c r="E142" s="24">
        <v>62</v>
      </c>
      <c r="F142" s="24">
        <v>7</v>
      </c>
      <c r="G142" s="24">
        <v>62</v>
      </c>
      <c r="H142" s="60">
        <v>-88.71</v>
      </c>
      <c r="I142" s="60">
        <v>-88.71</v>
      </c>
      <c r="J142" s="60">
        <v>0.09</v>
      </c>
      <c r="K142" s="60">
        <v>0.09</v>
      </c>
      <c r="L142" s="60">
        <v>0.59</v>
      </c>
      <c r="M142" s="60">
        <v>0.59</v>
      </c>
      <c r="N142" s="60"/>
    </row>
    <row r="143" spans="1:14">
      <c r="A143" s="60">
        <v>102</v>
      </c>
      <c r="B143" s="60" t="s">
        <v>586</v>
      </c>
      <c r="C143" s="60" t="s">
        <v>23</v>
      </c>
      <c r="D143" s="24">
        <v>7</v>
      </c>
      <c r="E143" s="24">
        <v>15</v>
      </c>
      <c r="F143" s="24">
        <v>7</v>
      </c>
      <c r="G143" s="24">
        <v>15</v>
      </c>
      <c r="H143" s="60">
        <v>-53.33</v>
      </c>
      <c r="I143" s="60">
        <v>-53.33</v>
      </c>
      <c r="J143" s="60">
        <v>0.09</v>
      </c>
      <c r="K143" s="60">
        <v>0.09</v>
      </c>
      <c r="L143" s="60">
        <v>0.14000000000000001</v>
      </c>
      <c r="M143" s="60">
        <v>0.14000000000000001</v>
      </c>
      <c r="N143" s="60"/>
    </row>
    <row r="144" spans="1:14">
      <c r="A144" s="60">
        <v>103</v>
      </c>
      <c r="B144" s="60" t="s">
        <v>1085</v>
      </c>
      <c r="C144" s="60" t="s">
        <v>24</v>
      </c>
      <c r="D144" s="24">
        <v>7</v>
      </c>
      <c r="E144" s="24">
        <v>0</v>
      </c>
      <c r="F144" s="24">
        <v>7</v>
      </c>
      <c r="G144" s="24">
        <v>0</v>
      </c>
      <c r="H144" s="60">
        <v>0</v>
      </c>
      <c r="I144" s="60">
        <v>0</v>
      </c>
      <c r="J144" s="60">
        <v>0.09</v>
      </c>
      <c r="K144" s="60">
        <v>0.09</v>
      </c>
      <c r="L144" s="60">
        <v>0</v>
      </c>
      <c r="M144" s="60">
        <v>0</v>
      </c>
      <c r="N144" s="60"/>
    </row>
    <row r="145" spans="1:14">
      <c r="A145" s="60">
        <v>104</v>
      </c>
      <c r="B145" s="60" t="s">
        <v>1081</v>
      </c>
      <c r="C145" s="60" t="s">
        <v>24</v>
      </c>
      <c r="D145" s="24">
        <v>7</v>
      </c>
      <c r="E145" s="24">
        <v>0</v>
      </c>
      <c r="F145" s="24">
        <v>7</v>
      </c>
      <c r="G145" s="24">
        <v>0</v>
      </c>
      <c r="H145" s="60">
        <v>0</v>
      </c>
      <c r="I145" s="60">
        <v>0</v>
      </c>
      <c r="J145" s="60">
        <v>0.09</v>
      </c>
      <c r="K145" s="60">
        <v>0.09</v>
      </c>
      <c r="L145" s="60">
        <v>0</v>
      </c>
      <c r="M145" s="60">
        <v>0</v>
      </c>
      <c r="N145" s="60"/>
    </row>
    <row r="146" spans="1:14">
      <c r="A146" s="60">
        <v>105</v>
      </c>
      <c r="B146" s="60" t="s">
        <v>684</v>
      </c>
      <c r="C146" s="60" t="s">
        <v>23</v>
      </c>
      <c r="D146" s="24">
        <v>6</v>
      </c>
      <c r="E146" s="24">
        <v>60</v>
      </c>
      <c r="F146" s="24">
        <v>6</v>
      </c>
      <c r="G146" s="24">
        <v>60</v>
      </c>
      <c r="H146" s="60">
        <v>-90</v>
      </c>
      <c r="I146" s="60">
        <v>-90</v>
      </c>
      <c r="J146" s="60">
        <v>0.08</v>
      </c>
      <c r="K146" s="60">
        <v>0.08</v>
      </c>
      <c r="L146" s="60">
        <v>0.56999999999999995</v>
      </c>
      <c r="M146" s="60">
        <v>0.56999999999999995</v>
      </c>
      <c r="N146" s="60"/>
    </row>
    <row r="147" spans="1:14">
      <c r="A147" s="60">
        <v>106</v>
      </c>
      <c r="B147" s="60" t="s">
        <v>592</v>
      </c>
      <c r="C147" s="60" t="s">
        <v>24</v>
      </c>
      <c r="D147" s="24">
        <v>6</v>
      </c>
      <c r="E147" s="24">
        <v>8</v>
      </c>
      <c r="F147" s="24">
        <v>6</v>
      </c>
      <c r="G147" s="24">
        <v>8</v>
      </c>
      <c r="H147" s="60">
        <v>-25</v>
      </c>
      <c r="I147" s="60">
        <v>-25</v>
      </c>
      <c r="J147" s="60">
        <v>0.08</v>
      </c>
      <c r="K147" s="60">
        <v>0.08</v>
      </c>
      <c r="L147" s="60">
        <v>0.08</v>
      </c>
      <c r="M147" s="60">
        <v>0.08</v>
      </c>
      <c r="N147" s="60"/>
    </row>
    <row r="148" spans="1:14">
      <c r="A148" s="60">
        <v>107</v>
      </c>
      <c r="B148" s="60" t="s">
        <v>533</v>
      </c>
      <c r="C148" s="60" t="s">
        <v>24</v>
      </c>
      <c r="D148" s="24">
        <v>6</v>
      </c>
      <c r="E148" s="24">
        <v>2</v>
      </c>
      <c r="F148" s="24">
        <v>6</v>
      </c>
      <c r="G148" s="24">
        <v>2</v>
      </c>
      <c r="H148" s="60">
        <v>200</v>
      </c>
      <c r="I148" s="60">
        <v>200</v>
      </c>
      <c r="J148" s="60">
        <v>0.08</v>
      </c>
      <c r="K148" s="60">
        <v>0.08</v>
      </c>
      <c r="L148" s="60">
        <v>0.02</v>
      </c>
      <c r="M148" s="60">
        <v>0.02</v>
      </c>
      <c r="N148" s="60"/>
    </row>
    <row r="149" spans="1:14">
      <c r="A149" s="60">
        <v>108</v>
      </c>
      <c r="B149" s="60" t="s">
        <v>691</v>
      </c>
      <c r="C149" s="60" t="s">
        <v>24</v>
      </c>
      <c r="D149" s="24">
        <v>6</v>
      </c>
      <c r="E149" s="24">
        <v>1</v>
      </c>
      <c r="F149" s="24">
        <v>6</v>
      </c>
      <c r="G149" s="24">
        <v>1</v>
      </c>
      <c r="H149" s="60">
        <v>500</v>
      </c>
      <c r="I149" s="60">
        <v>500</v>
      </c>
      <c r="J149" s="60">
        <v>0.08</v>
      </c>
      <c r="K149" s="60">
        <v>0.08</v>
      </c>
      <c r="L149" s="60">
        <v>0.01</v>
      </c>
      <c r="M149" s="60">
        <v>0.01</v>
      </c>
      <c r="N149" s="60"/>
    </row>
    <row r="150" spans="1:14">
      <c r="A150" s="60">
        <v>109</v>
      </c>
      <c r="B150" s="60" t="s">
        <v>49</v>
      </c>
      <c r="C150" s="60" t="s">
        <v>23</v>
      </c>
      <c r="D150" s="24">
        <v>5</v>
      </c>
      <c r="E150" s="24">
        <v>6</v>
      </c>
      <c r="F150" s="24">
        <v>5</v>
      </c>
      <c r="G150" s="24">
        <v>6</v>
      </c>
      <c r="H150" s="60">
        <v>-16.670000000000002</v>
      </c>
      <c r="I150" s="60">
        <v>-16.670000000000002</v>
      </c>
      <c r="J150" s="60">
        <v>7.0000000000000007E-2</v>
      </c>
      <c r="K150" s="60">
        <v>7.0000000000000007E-2</v>
      </c>
      <c r="L150" s="60">
        <v>0.06</v>
      </c>
      <c r="M150" s="60">
        <v>0.06</v>
      </c>
      <c r="N150" s="60"/>
    </row>
    <row r="151" spans="1:14">
      <c r="A151" s="60">
        <v>110</v>
      </c>
      <c r="B151" s="60" t="s">
        <v>137</v>
      </c>
      <c r="C151" s="60" t="s">
        <v>23</v>
      </c>
      <c r="D151" s="24">
        <v>5</v>
      </c>
      <c r="E151" s="24">
        <v>4</v>
      </c>
      <c r="F151" s="24">
        <v>5</v>
      </c>
      <c r="G151" s="24">
        <v>4</v>
      </c>
      <c r="H151" s="60">
        <v>25</v>
      </c>
      <c r="I151" s="60">
        <v>25</v>
      </c>
      <c r="J151" s="60">
        <v>7.0000000000000007E-2</v>
      </c>
      <c r="K151" s="60">
        <v>7.0000000000000007E-2</v>
      </c>
      <c r="L151" s="60">
        <v>0.04</v>
      </c>
      <c r="M151" s="60">
        <v>0.04</v>
      </c>
      <c r="N151" s="60"/>
    </row>
    <row r="152" spans="1:14">
      <c r="A152" s="60">
        <v>111</v>
      </c>
      <c r="B152" s="60" t="s">
        <v>647</v>
      </c>
      <c r="C152" s="60" t="s">
        <v>23</v>
      </c>
      <c r="D152" s="24">
        <v>5</v>
      </c>
      <c r="E152" s="24">
        <v>4</v>
      </c>
      <c r="F152" s="24">
        <v>5</v>
      </c>
      <c r="G152" s="24">
        <v>4</v>
      </c>
      <c r="H152" s="60">
        <v>25</v>
      </c>
      <c r="I152" s="60">
        <v>25</v>
      </c>
      <c r="J152" s="60">
        <v>7.0000000000000007E-2</v>
      </c>
      <c r="K152" s="60">
        <v>7.0000000000000007E-2</v>
      </c>
      <c r="L152" s="60">
        <v>0.04</v>
      </c>
      <c r="M152" s="60">
        <v>0.04</v>
      </c>
      <c r="N152" s="60"/>
    </row>
    <row r="153" spans="1:14">
      <c r="A153" s="60">
        <v>112</v>
      </c>
      <c r="B153" s="60" t="s">
        <v>457</v>
      </c>
      <c r="C153" s="60" t="s">
        <v>23</v>
      </c>
      <c r="D153" s="24">
        <v>4</v>
      </c>
      <c r="E153" s="24">
        <v>16</v>
      </c>
      <c r="F153" s="24">
        <v>4</v>
      </c>
      <c r="G153" s="24">
        <v>16</v>
      </c>
      <c r="H153" s="60">
        <v>-75</v>
      </c>
      <c r="I153" s="60">
        <v>-75</v>
      </c>
      <c r="J153" s="60">
        <v>0.05</v>
      </c>
      <c r="K153" s="60">
        <v>0.05</v>
      </c>
      <c r="L153" s="60">
        <v>0.15</v>
      </c>
      <c r="M153" s="60">
        <v>0.15</v>
      </c>
      <c r="N153" s="60"/>
    </row>
    <row r="154" spans="1:14">
      <c r="A154" s="60">
        <v>113</v>
      </c>
      <c r="B154" s="60" t="s">
        <v>462</v>
      </c>
      <c r="C154" s="60" t="s">
        <v>24</v>
      </c>
      <c r="D154" s="24">
        <v>4</v>
      </c>
      <c r="E154" s="24">
        <v>13</v>
      </c>
      <c r="F154" s="24">
        <v>4</v>
      </c>
      <c r="G154" s="24">
        <v>13</v>
      </c>
      <c r="H154" s="68">
        <v>-69.23</v>
      </c>
      <c r="I154" s="68">
        <v>-69.23</v>
      </c>
      <c r="J154" s="60">
        <v>0.05</v>
      </c>
      <c r="K154" s="60">
        <v>0.05</v>
      </c>
      <c r="L154" s="60">
        <v>0.12</v>
      </c>
      <c r="M154" s="60">
        <v>0.12</v>
      </c>
      <c r="N154" s="60"/>
    </row>
    <row r="155" spans="1:14">
      <c r="A155" s="60">
        <v>114</v>
      </c>
      <c r="B155" s="60" t="s">
        <v>451</v>
      </c>
      <c r="C155" s="60" t="s">
        <v>23</v>
      </c>
      <c r="D155" s="24">
        <v>4</v>
      </c>
      <c r="E155" s="24">
        <v>13</v>
      </c>
      <c r="F155" s="24">
        <v>4</v>
      </c>
      <c r="G155" s="24">
        <v>13</v>
      </c>
      <c r="H155" s="60">
        <v>-69.23</v>
      </c>
      <c r="I155" s="60">
        <v>-69.23</v>
      </c>
      <c r="J155" s="60">
        <v>0.05</v>
      </c>
      <c r="K155" s="60">
        <v>0.05</v>
      </c>
      <c r="L155" s="60">
        <v>0.12</v>
      </c>
      <c r="M155" s="60">
        <v>0.12</v>
      </c>
      <c r="N155" s="60"/>
    </row>
    <row r="156" spans="1:14">
      <c r="A156" s="60">
        <v>115</v>
      </c>
      <c r="B156" s="60" t="s">
        <v>427</v>
      </c>
      <c r="C156" s="60" t="s">
        <v>24</v>
      </c>
      <c r="D156" s="24">
        <v>4</v>
      </c>
      <c r="E156" s="24">
        <v>10</v>
      </c>
      <c r="F156" s="24">
        <v>4</v>
      </c>
      <c r="G156" s="24">
        <v>10</v>
      </c>
      <c r="H156" s="60">
        <v>-60</v>
      </c>
      <c r="I156" s="60">
        <v>-60</v>
      </c>
      <c r="J156" s="60">
        <v>0.05</v>
      </c>
      <c r="K156" s="60">
        <v>0.05</v>
      </c>
      <c r="L156" s="60">
        <v>0.1</v>
      </c>
      <c r="M156" s="60">
        <v>0.1</v>
      </c>
      <c r="N156" s="60"/>
    </row>
    <row r="157" spans="1:14">
      <c r="A157" s="60">
        <v>116</v>
      </c>
      <c r="B157" s="60" t="s">
        <v>741</v>
      </c>
      <c r="C157" s="60" t="s">
        <v>23</v>
      </c>
      <c r="D157" s="24">
        <v>4</v>
      </c>
      <c r="E157" s="24">
        <v>0</v>
      </c>
      <c r="F157" s="24">
        <v>4</v>
      </c>
      <c r="G157" s="24">
        <v>0</v>
      </c>
      <c r="H157" s="60">
        <v>0</v>
      </c>
      <c r="I157" s="60">
        <v>0</v>
      </c>
      <c r="J157" s="60">
        <v>0.05</v>
      </c>
      <c r="K157" s="60">
        <v>0.05</v>
      </c>
      <c r="L157" s="60">
        <v>0</v>
      </c>
      <c r="M157" s="60">
        <v>0</v>
      </c>
      <c r="N157" s="60"/>
    </row>
    <row r="158" spans="1:14">
      <c r="A158" s="60">
        <v>117</v>
      </c>
      <c r="B158" s="60" t="s">
        <v>402</v>
      </c>
      <c r="C158" s="60" t="s">
        <v>23</v>
      </c>
      <c r="D158" s="24">
        <v>3</v>
      </c>
      <c r="E158" s="24">
        <v>17</v>
      </c>
      <c r="F158" s="24">
        <v>3</v>
      </c>
      <c r="G158" s="24">
        <v>17</v>
      </c>
      <c r="H158" s="60">
        <v>-82.35</v>
      </c>
      <c r="I158" s="60">
        <v>-82.35</v>
      </c>
      <c r="J158" s="60">
        <v>0.04</v>
      </c>
      <c r="K158" s="60">
        <v>0.04</v>
      </c>
      <c r="L158" s="60">
        <v>0.16</v>
      </c>
      <c r="M158" s="60">
        <v>0.16</v>
      </c>
      <c r="N158" s="60"/>
    </row>
    <row r="159" spans="1:14">
      <c r="A159" s="60">
        <v>118</v>
      </c>
      <c r="B159" s="60" t="s">
        <v>532</v>
      </c>
      <c r="C159" s="60" t="s">
        <v>23</v>
      </c>
      <c r="D159" s="24">
        <v>3</v>
      </c>
      <c r="E159" s="24">
        <v>2</v>
      </c>
      <c r="F159" s="24">
        <v>3</v>
      </c>
      <c r="G159" s="24">
        <v>2</v>
      </c>
      <c r="H159" s="60">
        <v>50</v>
      </c>
      <c r="I159" s="60">
        <v>50</v>
      </c>
      <c r="J159" s="60">
        <v>0.04</v>
      </c>
      <c r="K159" s="60">
        <v>0.04</v>
      </c>
      <c r="L159" s="60">
        <v>0.02</v>
      </c>
      <c r="M159" s="60">
        <v>0.02</v>
      </c>
      <c r="N159" s="60"/>
    </row>
    <row r="160" spans="1:14">
      <c r="A160" s="60">
        <v>119</v>
      </c>
      <c r="B160" s="60" t="s">
        <v>1088</v>
      </c>
      <c r="C160" s="60" t="s">
        <v>24</v>
      </c>
      <c r="D160" s="24">
        <v>3</v>
      </c>
      <c r="E160" s="24">
        <v>0</v>
      </c>
      <c r="F160" s="24">
        <v>3</v>
      </c>
      <c r="G160" s="24">
        <v>0</v>
      </c>
      <c r="H160" s="60">
        <v>0</v>
      </c>
      <c r="I160" s="60">
        <v>0</v>
      </c>
      <c r="J160" s="60">
        <v>0.04</v>
      </c>
      <c r="K160" s="60">
        <v>0.04</v>
      </c>
      <c r="L160" s="60">
        <v>0</v>
      </c>
      <c r="M160" s="60">
        <v>0</v>
      </c>
      <c r="N160" s="60"/>
    </row>
    <row r="161" spans="1:14">
      <c r="A161" s="60">
        <v>120</v>
      </c>
      <c r="B161" s="60" t="s">
        <v>737</v>
      </c>
      <c r="C161" s="60" t="s">
        <v>23</v>
      </c>
      <c r="D161" s="24">
        <v>3</v>
      </c>
      <c r="E161" s="24">
        <v>0</v>
      </c>
      <c r="F161" s="24">
        <v>3</v>
      </c>
      <c r="G161" s="24">
        <v>0</v>
      </c>
      <c r="H161" s="60">
        <v>0</v>
      </c>
      <c r="I161" s="60">
        <v>0</v>
      </c>
      <c r="J161" s="60">
        <v>0.04</v>
      </c>
      <c r="K161" s="60">
        <v>0.04</v>
      </c>
      <c r="L161" s="60">
        <v>0</v>
      </c>
      <c r="M161" s="60">
        <v>0</v>
      </c>
      <c r="N161" s="60"/>
    </row>
    <row r="162" spans="1:14">
      <c r="A162" s="60">
        <v>121</v>
      </c>
      <c r="B162" s="60" t="s">
        <v>1086</v>
      </c>
      <c r="C162" s="60" t="s">
        <v>24</v>
      </c>
      <c r="D162" s="24">
        <v>3</v>
      </c>
      <c r="E162" s="24">
        <v>0</v>
      </c>
      <c r="F162" s="24">
        <v>3</v>
      </c>
      <c r="G162" s="24">
        <v>0</v>
      </c>
      <c r="H162" s="60">
        <v>0</v>
      </c>
      <c r="I162" s="60">
        <v>0</v>
      </c>
      <c r="J162" s="60">
        <v>0.04</v>
      </c>
      <c r="K162" s="60">
        <v>0.04</v>
      </c>
      <c r="L162" s="60">
        <v>0</v>
      </c>
      <c r="M162" s="60">
        <v>0</v>
      </c>
      <c r="N162" s="60"/>
    </row>
    <row r="163" spans="1:14">
      <c r="A163" s="60">
        <v>122</v>
      </c>
      <c r="B163" s="60" t="s">
        <v>183</v>
      </c>
      <c r="C163" s="60" t="s">
        <v>23</v>
      </c>
      <c r="D163" s="24">
        <v>3</v>
      </c>
      <c r="E163" s="24">
        <v>0</v>
      </c>
      <c r="F163" s="24">
        <v>3</v>
      </c>
      <c r="G163" s="24">
        <v>0</v>
      </c>
      <c r="H163" s="60">
        <v>0</v>
      </c>
      <c r="I163" s="60">
        <v>0</v>
      </c>
      <c r="J163" s="60">
        <v>0.04</v>
      </c>
      <c r="K163" s="60">
        <v>0.04</v>
      </c>
      <c r="L163" s="60">
        <v>0</v>
      </c>
      <c r="M163" s="60">
        <v>0</v>
      </c>
      <c r="N163" s="60"/>
    </row>
    <row r="164" spans="1:14">
      <c r="A164" s="60">
        <v>123</v>
      </c>
      <c r="B164" s="60" t="s">
        <v>415</v>
      </c>
      <c r="C164" s="60" t="s">
        <v>24</v>
      </c>
      <c r="D164" s="24">
        <v>2</v>
      </c>
      <c r="E164" s="24">
        <v>17</v>
      </c>
      <c r="F164" s="24">
        <v>2</v>
      </c>
      <c r="G164" s="24">
        <v>17</v>
      </c>
      <c r="H164" s="60">
        <v>-88.24</v>
      </c>
      <c r="I164" s="60">
        <v>-88.24</v>
      </c>
      <c r="J164" s="60">
        <v>0.03</v>
      </c>
      <c r="K164" s="60">
        <v>0.03</v>
      </c>
      <c r="L164" s="60">
        <v>0.16</v>
      </c>
      <c r="M164" s="60">
        <v>0.16</v>
      </c>
      <c r="N164" s="60"/>
    </row>
    <row r="165" spans="1:14">
      <c r="A165" s="60">
        <v>124</v>
      </c>
      <c r="B165" s="60" t="s">
        <v>141</v>
      </c>
      <c r="C165" s="60" t="s">
        <v>23</v>
      </c>
      <c r="D165" s="24">
        <v>2</v>
      </c>
      <c r="E165" s="24">
        <v>11</v>
      </c>
      <c r="F165" s="24">
        <v>2</v>
      </c>
      <c r="G165" s="24">
        <v>11</v>
      </c>
      <c r="H165" s="60">
        <v>-81.819999999999993</v>
      </c>
      <c r="I165" s="60">
        <v>-81.819999999999993</v>
      </c>
      <c r="J165" s="60">
        <v>0.03</v>
      </c>
      <c r="K165" s="60">
        <v>0.03</v>
      </c>
      <c r="L165" s="60">
        <v>0.1</v>
      </c>
      <c r="M165" s="60">
        <v>0.1</v>
      </c>
      <c r="N165" s="60"/>
    </row>
    <row r="166" spans="1:14">
      <c r="A166" s="60">
        <v>125</v>
      </c>
      <c r="B166" s="60" t="s">
        <v>151</v>
      </c>
      <c r="C166" s="60" t="s">
        <v>23</v>
      </c>
      <c r="D166" s="24">
        <v>2</v>
      </c>
      <c r="E166" s="24">
        <v>8</v>
      </c>
      <c r="F166" s="24">
        <v>2</v>
      </c>
      <c r="G166" s="24">
        <v>8</v>
      </c>
      <c r="H166" s="60">
        <v>-75</v>
      </c>
      <c r="I166" s="60">
        <v>-75</v>
      </c>
      <c r="J166" s="60">
        <v>0.03</v>
      </c>
      <c r="K166" s="60">
        <v>0.03</v>
      </c>
      <c r="L166" s="60">
        <v>0.08</v>
      </c>
      <c r="M166" s="60">
        <v>0.08</v>
      </c>
      <c r="N166" s="60"/>
    </row>
    <row r="167" spans="1:14">
      <c r="A167" s="60">
        <v>126</v>
      </c>
      <c r="B167" s="60" t="s">
        <v>526</v>
      </c>
      <c r="C167" s="60" t="s">
        <v>23</v>
      </c>
      <c r="D167" s="24">
        <v>2</v>
      </c>
      <c r="E167" s="24">
        <v>8</v>
      </c>
      <c r="F167" s="24">
        <v>2</v>
      </c>
      <c r="G167" s="24">
        <v>8</v>
      </c>
      <c r="H167" s="60">
        <v>-75</v>
      </c>
      <c r="I167" s="60">
        <v>-75</v>
      </c>
      <c r="J167" s="60">
        <v>0.03</v>
      </c>
      <c r="K167" s="60">
        <v>0.03</v>
      </c>
      <c r="L167" s="60">
        <v>0.08</v>
      </c>
      <c r="M167" s="60">
        <v>0.08</v>
      </c>
      <c r="N167" s="60"/>
    </row>
    <row r="168" spans="1:14">
      <c r="A168" s="60">
        <v>127</v>
      </c>
      <c r="B168" s="60" t="s">
        <v>458</v>
      </c>
      <c r="C168" s="60" t="s">
        <v>23</v>
      </c>
      <c r="D168" s="24">
        <v>2</v>
      </c>
      <c r="E168" s="24">
        <v>7</v>
      </c>
      <c r="F168" s="24">
        <v>2</v>
      </c>
      <c r="G168" s="24">
        <v>7</v>
      </c>
      <c r="H168" s="60">
        <v>-71.430000000000007</v>
      </c>
      <c r="I168" s="60">
        <v>-71.430000000000007</v>
      </c>
      <c r="J168" s="60">
        <v>0.03</v>
      </c>
      <c r="K168" s="60">
        <v>0.03</v>
      </c>
      <c r="L168" s="60">
        <v>7.0000000000000007E-2</v>
      </c>
      <c r="M168" s="60">
        <v>7.0000000000000007E-2</v>
      </c>
      <c r="N168" s="60"/>
    </row>
    <row r="169" spans="1:14">
      <c r="A169" s="60">
        <v>128</v>
      </c>
      <c r="B169" s="60" t="s">
        <v>449</v>
      </c>
      <c r="C169" s="60" t="s">
        <v>23</v>
      </c>
      <c r="D169" s="24">
        <v>2</v>
      </c>
      <c r="E169" s="24">
        <v>5</v>
      </c>
      <c r="F169" s="24">
        <v>2</v>
      </c>
      <c r="G169" s="24">
        <v>5</v>
      </c>
      <c r="H169" s="60">
        <v>-60</v>
      </c>
      <c r="I169" s="60">
        <v>-60</v>
      </c>
      <c r="J169" s="60">
        <v>0.03</v>
      </c>
      <c r="K169" s="60">
        <v>0.03</v>
      </c>
      <c r="L169" s="60">
        <v>0.05</v>
      </c>
      <c r="M169" s="60">
        <v>0.05</v>
      </c>
      <c r="N169" s="60"/>
    </row>
    <row r="170" spans="1:14">
      <c r="A170" s="60">
        <v>129</v>
      </c>
      <c r="B170" s="60" t="s">
        <v>250</v>
      </c>
      <c r="C170" s="60" t="s">
        <v>23</v>
      </c>
      <c r="D170" s="24">
        <v>2</v>
      </c>
      <c r="E170" s="24">
        <v>3</v>
      </c>
      <c r="F170" s="24">
        <v>2</v>
      </c>
      <c r="G170" s="24">
        <v>3</v>
      </c>
      <c r="H170" s="60">
        <v>-33.33</v>
      </c>
      <c r="I170" s="60">
        <v>-33.33</v>
      </c>
      <c r="J170" s="60">
        <v>0.03</v>
      </c>
      <c r="K170" s="60">
        <v>0.03</v>
      </c>
      <c r="L170" s="60">
        <v>0.03</v>
      </c>
      <c r="M170" s="60">
        <v>0.03</v>
      </c>
      <c r="N170" s="60"/>
    </row>
    <row r="171" spans="1:14">
      <c r="A171" s="60">
        <v>130</v>
      </c>
      <c r="B171" s="60" t="s">
        <v>746</v>
      </c>
      <c r="C171" s="60" t="s">
        <v>24</v>
      </c>
      <c r="D171" s="24">
        <v>2</v>
      </c>
      <c r="E171" s="24">
        <v>0</v>
      </c>
      <c r="F171" s="24">
        <v>2</v>
      </c>
      <c r="G171" s="24">
        <v>0</v>
      </c>
      <c r="H171" s="60">
        <v>0</v>
      </c>
      <c r="I171" s="60">
        <v>0</v>
      </c>
      <c r="J171" s="60">
        <v>0.03</v>
      </c>
      <c r="K171" s="60">
        <v>0.03</v>
      </c>
      <c r="L171" s="60">
        <v>0</v>
      </c>
      <c r="M171" s="60">
        <v>0</v>
      </c>
      <c r="N171" s="60"/>
    </row>
    <row r="172" spans="1:14">
      <c r="A172" s="60">
        <v>131</v>
      </c>
      <c r="B172" s="60" t="s">
        <v>708</v>
      </c>
      <c r="C172" s="60" t="s">
        <v>23</v>
      </c>
      <c r="D172" s="24">
        <v>2</v>
      </c>
      <c r="E172" s="24">
        <v>0</v>
      </c>
      <c r="F172" s="24">
        <v>2</v>
      </c>
      <c r="G172" s="24">
        <v>0</v>
      </c>
      <c r="H172" s="60">
        <v>0</v>
      </c>
      <c r="I172" s="60">
        <v>0</v>
      </c>
      <c r="J172" s="60">
        <v>0.03</v>
      </c>
      <c r="K172" s="60">
        <v>0.03</v>
      </c>
      <c r="L172" s="60">
        <v>0</v>
      </c>
      <c r="M172" s="60">
        <v>0</v>
      </c>
      <c r="N172" s="60"/>
    </row>
    <row r="173" spans="1:14">
      <c r="A173" s="60">
        <v>132</v>
      </c>
      <c r="B173" s="60" t="s">
        <v>525</v>
      </c>
      <c r="C173" s="60" t="s">
        <v>23</v>
      </c>
      <c r="D173" s="24">
        <v>2</v>
      </c>
      <c r="E173" s="24">
        <v>0</v>
      </c>
      <c r="F173" s="24">
        <v>2</v>
      </c>
      <c r="G173" s="24">
        <v>0</v>
      </c>
      <c r="H173" s="60">
        <v>0</v>
      </c>
      <c r="I173" s="60">
        <v>0</v>
      </c>
      <c r="J173" s="60">
        <v>0.03</v>
      </c>
      <c r="K173" s="60">
        <v>0.03</v>
      </c>
      <c r="L173" s="60">
        <v>0</v>
      </c>
      <c r="M173" s="60">
        <v>0</v>
      </c>
      <c r="N173" s="60"/>
    </row>
    <row r="174" spans="1:14">
      <c r="A174" s="60">
        <v>133</v>
      </c>
      <c r="B174" s="60" t="s">
        <v>743</v>
      </c>
      <c r="C174" s="60" t="s">
        <v>24</v>
      </c>
      <c r="D174" s="24">
        <v>2</v>
      </c>
      <c r="E174" s="24">
        <v>0</v>
      </c>
      <c r="F174" s="24">
        <v>2</v>
      </c>
      <c r="G174" s="24">
        <v>0</v>
      </c>
      <c r="H174" s="60">
        <v>0</v>
      </c>
      <c r="I174" s="60">
        <v>0</v>
      </c>
      <c r="J174" s="60">
        <v>0.03</v>
      </c>
      <c r="K174" s="60">
        <v>0.03</v>
      </c>
      <c r="L174" s="60">
        <v>0</v>
      </c>
      <c r="M174" s="60">
        <v>0</v>
      </c>
      <c r="N174" s="60"/>
    </row>
    <row r="175" spans="1:14">
      <c r="A175" s="60">
        <v>134</v>
      </c>
      <c r="B175" s="60" t="s">
        <v>242</v>
      </c>
      <c r="C175" s="60" t="s">
        <v>24</v>
      </c>
      <c r="D175" s="24">
        <v>1</v>
      </c>
      <c r="E175" s="24">
        <v>219</v>
      </c>
      <c r="F175" s="24">
        <v>1</v>
      </c>
      <c r="G175" s="24">
        <v>219</v>
      </c>
      <c r="H175" s="60">
        <v>-99.54</v>
      </c>
      <c r="I175" s="60">
        <v>-99.54</v>
      </c>
      <c r="J175" s="60">
        <v>0.01</v>
      </c>
      <c r="K175" s="60">
        <v>0.01</v>
      </c>
      <c r="L175" s="60">
        <v>2.08</v>
      </c>
      <c r="M175" s="60">
        <v>2.08</v>
      </c>
      <c r="N175" s="60"/>
    </row>
    <row r="176" spans="1:14">
      <c r="A176" s="60">
        <v>135</v>
      </c>
      <c r="B176" s="60" t="s">
        <v>461</v>
      </c>
      <c r="C176" s="60" t="s">
        <v>23</v>
      </c>
      <c r="D176" s="24">
        <v>1</v>
      </c>
      <c r="E176" s="24">
        <v>59</v>
      </c>
      <c r="F176" s="24">
        <v>1</v>
      </c>
      <c r="G176" s="24">
        <v>59</v>
      </c>
      <c r="H176" s="60">
        <v>-98.31</v>
      </c>
      <c r="I176" s="60">
        <v>-98.31</v>
      </c>
      <c r="J176" s="60">
        <v>0.01</v>
      </c>
      <c r="K176" s="60">
        <v>0.01</v>
      </c>
      <c r="L176" s="60">
        <v>0.56000000000000005</v>
      </c>
      <c r="M176" s="60">
        <v>0.56000000000000005</v>
      </c>
      <c r="N176" s="60"/>
    </row>
    <row r="177" spans="1:14">
      <c r="A177" s="60">
        <v>136</v>
      </c>
      <c r="B177" s="60" t="s">
        <v>596</v>
      </c>
      <c r="C177" s="60" t="s">
        <v>24</v>
      </c>
      <c r="D177" s="24">
        <v>1</v>
      </c>
      <c r="E177" s="24">
        <v>17</v>
      </c>
      <c r="F177" s="24">
        <v>1</v>
      </c>
      <c r="G177" s="24">
        <v>17</v>
      </c>
      <c r="H177" s="68">
        <v>-94.12</v>
      </c>
      <c r="I177" s="68">
        <v>-94.12</v>
      </c>
      <c r="J177" s="60">
        <v>0.01</v>
      </c>
      <c r="K177" s="60">
        <v>0.01</v>
      </c>
      <c r="L177" s="60">
        <v>0.16</v>
      </c>
      <c r="M177" s="60">
        <v>0.16</v>
      </c>
      <c r="N177" s="60"/>
    </row>
    <row r="178" spans="1:14">
      <c r="A178" s="60">
        <v>137</v>
      </c>
      <c r="B178" s="60" t="s">
        <v>450</v>
      </c>
      <c r="C178" s="60" t="s">
        <v>23</v>
      </c>
      <c r="D178" s="24">
        <v>1</v>
      </c>
      <c r="E178" s="24">
        <v>6</v>
      </c>
      <c r="F178" s="24">
        <v>1</v>
      </c>
      <c r="G178" s="24">
        <v>6</v>
      </c>
      <c r="H178" s="60">
        <v>-83.33</v>
      </c>
      <c r="I178" s="60">
        <v>-83.33</v>
      </c>
      <c r="J178" s="60">
        <v>0.01</v>
      </c>
      <c r="K178" s="60">
        <v>0.01</v>
      </c>
      <c r="L178" s="60">
        <v>0.06</v>
      </c>
      <c r="M178" s="60">
        <v>0.06</v>
      </c>
      <c r="N178" s="60"/>
    </row>
    <row r="179" spans="1:14">
      <c r="A179" s="60">
        <v>138</v>
      </c>
      <c r="B179" s="60" t="s">
        <v>521</v>
      </c>
      <c r="C179" s="60" t="s">
        <v>1033</v>
      </c>
      <c r="D179" s="24">
        <v>1</v>
      </c>
      <c r="E179" s="24">
        <v>2</v>
      </c>
      <c r="F179" s="24">
        <v>1</v>
      </c>
      <c r="G179" s="24">
        <v>2</v>
      </c>
      <c r="H179" s="60">
        <v>-50</v>
      </c>
      <c r="I179" s="60">
        <v>-50</v>
      </c>
      <c r="J179" s="60">
        <v>0.01</v>
      </c>
      <c r="K179" s="60">
        <v>0.01</v>
      </c>
      <c r="L179" s="60">
        <v>0.02</v>
      </c>
      <c r="M179" s="60">
        <v>0.02</v>
      </c>
      <c r="N179" s="60"/>
    </row>
    <row r="180" spans="1:14">
      <c r="A180" s="60">
        <v>139</v>
      </c>
      <c r="B180" s="60" t="s">
        <v>465</v>
      </c>
      <c r="C180" s="60" t="s">
        <v>23</v>
      </c>
      <c r="D180" s="24">
        <v>1</v>
      </c>
      <c r="E180" s="24">
        <v>1</v>
      </c>
      <c r="F180" s="24">
        <v>1</v>
      </c>
      <c r="G180" s="24">
        <v>1</v>
      </c>
      <c r="H180" s="68">
        <v>0</v>
      </c>
      <c r="I180" s="68">
        <v>0</v>
      </c>
      <c r="J180" s="60">
        <v>0.01</v>
      </c>
      <c r="K180" s="60">
        <v>0.01</v>
      </c>
      <c r="L180" s="60">
        <v>0.01</v>
      </c>
      <c r="M180" s="60">
        <v>0.01</v>
      </c>
      <c r="N180" s="60"/>
    </row>
    <row r="181" spans="1:14">
      <c r="A181" s="60">
        <v>140</v>
      </c>
      <c r="B181" s="60" t="s">
        <v>383</v>
      </c>
      <c r="C181" s="60" t="s">
        <v>23</v>
      </c>
      <c r="D181" s="24">
        <v>1</v>
      </c>
      <c r="E181" s="24">
        <v>1</v>
      </c>
      <c r="F181" s="24">
        <v>1</v>
      </c>
      <c r="G181" s="24">
        <v>1</v>
      </c>
      <c r="H181" s="60">
        <v>0</v>
      </c>
      <c r="I181" s="60">
        <v>0</v>
      </c>
      <c r="J181" s="60">
        <v>0.01</v>
      </c>
      <c r="K181" s="60">
        <v>0.01</v>
      </c>
      <c r="L181" s="60">
        <v>0.01</v>
      </c>
      <c r="M181" s="60">
        <v>0.01</v>
      </c>
      <c r="N181" s="60"/>
    </row>
    <row r="182" spans="1:14">
      <c r="A182" s="60">
        <v>141</v>
      </c>
      <c r="B182" s="60" t="s">
        <v>527</v>
      </c>
      <c r="C182" s="60" t="s">
        <v>23</v>
      </c>
      <c r="D182" s="24">
        <v>1</v>
      </c>
      <c r="E182" s="24">
        <v>1</v>
      </c>
      <c r="F182" s="24">
        <v>1</v>
      </c>
      <c r="G182" s="24">
        <v>1</v>
      </c>
      <c r="H182" s="60">
        <v>0</v>
      </c>
      <c r="I182" s="60">
        <v>0</v>
      </c>
      <c r="J182" s="60">
        <v>0.01</v>
      </c>
      <c r="K182" s="60">
        <v>0.01</v>
      </c>
      <c r="L182" s="60">
        <v>0.01</v>
      </c>
      <c r="M182" s="60">
        <v>0.01</v>
      </c>
      <c r="N182" s="60"/>
    </row>
    <row r="183" spans="1:14">
      <c r="A183" s="60">
        <v>142</v>
      </c>
      <c r="B183" s="60" t="s">
        <v>729</v>
      </c>
      <c r="C183" s="60" t="s">
        <v>23</v>
      </c>
      <c r="D183" s="24">
        <v>1</v>
      </c>
      <c r="E183" s="24">
        <v>0</v>
      </c>
      <c r="F183" s="24">
        <v>1</v>
      </c>
      <c r="G183" s="24">
        <v>0</v>
      </c>
      <c r="H183" s="60">
        <v>0</v>
      </c>
      <c r="I183" s="60">
        <v>0</v>
      </c>
      <c r="J183" s="60">
        <v>0.01</v>
      </c>
      <c r="K183" s="60">
        <v>0.01</v>
      </c>
      <c r="L183" s="60">
        <v>0</v>
      </c>
      <c r="M183" s="60">
        <v>0</v>
      </c>
      <c r="N183" s="60"/>
    </row>
    <row r="184" spans="1:14">
      <c r="A184" s="60">
        <v>143</v>
      </c>
      <c r="B184" s="60" t="s">
        <v>1114</v>
      </c>
      <c r="C184" s="60" t="s">
        <v>23</v>
      </c>
      <c r="D184" s="24">
        <v>1</v>
      </c>
      <c r="E184" s="24">
        <v>0</v>
      </c>
      <c r="F184" s="24">
        <v>1</v>
      </c>
      <c r="G184" s="24">
        <v>0</v>
      </c>
      <c r="H184" s="60">
        <v>0</v>
      </c>
      <c r="I184" s="60">
        <v>0</v>
      </c>
      <c r="J184" s="60">
        <v>0.01</v>
      </c>
      <c r="K184" s="60">
        <v>0.01</v>
      </c>
      <c r="L184" s="60">
        <v>0</v>
      </c>
      <c r="M184" s="60">
        <v>0</v>
      </c>
      <c r="N184" s="60"/>
    </row>
    <row r="185" spans="1:14">
      <c r="A185" s="60">
        <v>144</v>
      </c>
      <c r="B185" s="60" t="s">
        <v>1060</v>
      </c>
      <c r="C185" s="60" t="s">
        <v>24</v>
      </c>
      <c r="D185" s="24">
        <v>1</v>
      </c>
      <c r="E185" s="24">
        <v>0</v>
      </c>
      <c r="F185" s="24">
        <v>1</v>
      </c>
      <c r="G185" s="24">
        <v>0</v>
      </c>
      <c r="H185" s="60">
        <v>0</v>
      </c>
      <c r="I185" s="60">
        <v>0</v>
      </c>
      <c r="J185" s="60">
        <v>0.01</v>
      </c>
      <c r="K185" s="60">
        <v>0.01</v>
      </c>
      <c r="L185" s="60">
        <v>0</v>
      </c>
      <c r="M185" s="60">
        <v>0</v>
      </c>
      <c r="N185" s="60"/>
    </row>
    <row r="186" spans="1:14">
      <c r="A186" s="60">
        <v>145</v>
      </c>
      <c r="B186" s="60" t="s">
        <v>1113</v>
      </c>
      <c r="C186" s="60" t="s">
        <v>24</v>
      </c>
      <c r="D186" s="24">
        <v>1</v>
      </c>
      <c r="E186" s="24">
        <v>0</v>
      </c>
      <c r="F186" s="24">
        <v>1</v>
      </c>
      <c r="G186" s="24">
        <v>0</v>
      </c>
      <c r="H186" s="60">
        <v>0</v>
      </c>
      <c r="I186" s="60">
        <v>0</v>
      </c>
      <c r="J186" s="60">
        <v>0.01</v>
      </c>
      <c r="K186" s="60">
        <v>0.01</v>
      </c>
      <c r="L186" s="60">
        <v>0</v>
      </c>
      <c r="M186" s="60">
        <v>0</v>
      </c>
      <c r="N186" s="60"/>
    </row>
    <row r="187" spans="1:14">
      <c r="A187" s="60">
        <v>146</v>
      </c>
      <c r="B187" s="60" t="s">
        <v>1031</v>
      </c>
      <c r="C187" s="60" t="s">
        <v>23</v>
      </c>
      <c r="D187" s="24">
        <v>1</v>
      </c>
      <c r="E187" s="24">
        <v>0</v>
      </c>
      <c r="F187" s="24">
        <v>1</v>
      </c>
      <c r="G187" s="24">
        <v>0</v>
      </c>
      <c r="H187" s="60">
        <v>0</v>
      </c>
      <c r="I187" s="60">
        <v>0</v>
      </c>
      <c r="J187" s="60">
        <v>0.01</v>
      </c>
      <c r="K187" s="60">
        <v>0.01</v>
      </c>
      <c r="L187" s="60">
        <v>0</v>
      </c>
      <c r="M187" s="60">
        <v>0</v>
      </c>
      <c r="N187" s="60"/>
    </row>
    <row r="188" spans="1:14">
      <c r="A188" s="60">
        <v>147</v>
      </c>
      <c r="B188" s="60" t="s">
        <v>1115</v>
      </c>
      <c r="C188" s="60" t="s">
        <v>1033</v>
      </c>
      <c r="D188" s="24">
        <v>1</v>
      </c>
      <c r="E188" s="24">
        <v>0</v>
      </c>
      <c r="F188" s="24">
        <v>1</v>
      </c>
      <c r="G188" s="24">
        <v>0</v>
      </c>
      <c r="H188" s="60">
        <v>0</v>
      </c>
      <c r="I188" s="60">
        <v>0</v>
      </c>
      <c r="J188" s="60">
        <v>0.01</v>
      </c>
      <c r="K188" s="60">
        <v>0.01</v>
      </c>
      <c r="L188" s="60">
        <v>0</v>
      </c>
      <c r="M188" s="60">
        <v>0</v>
      </c>
      <c r="N188" s="60"/>
    </row>
    <row r="189" spans="1:14">
      <c r="A189" s="60">
        <v>148</v>
      </c>
      <c r="B189" s="60" t="s">
        <v>629</v>
      </c>
      <c r="C189" s="60" t="s">
        <v>24</v>
      </c>
      <c r="D189" s="24">
        <v>0</v>
      </c>
      <c r="E189" s="24">
        <v>119</v>
      </c>
      <c r="F189" s="24">
        <v>0</v>
      </c>
      <c r="G189" s="24">
        <v>119</v>
      </c>
      <c r="H189" s="60">
        <v>-100</v>
      </c>
      <c r="I189" s="60">
        <v>-100</v>
      </c>
      <c r="J189" s="60">
        <v>0</v>
      </c>
      <c r="K189" s="60">
        <v>0</v>
      </c>
      <c r="L189" s="60">
        <v>1.1299999999999999</v>
      </c>
      <c r="M189" s="60">
        <v>1.1299999999999999</v>
      </c>
      <c r="N189" s="60"/>
    </row>
    <row r="190" spans="1:14">
      <c r="A190" s="60">
        <v>149</v>
      </c>
      <c r="B190" s="60" t="s">
        <v>632</v>
      </c>
      <c r="C190" s="60" t="s">
        <v>23</v>
      </c>
      <c r="D190" s="24">
        <v>0</v>
      </c>
      <c r="E190" s="24">
        <v>33</v>
      </c>
      <c r="F190" s="24">
        <v>0</v>
      </c>
      <c r="G190" s="24">
        <v>33</v>
      </c>
      <c r="H190" s="60">
        <v>-100</v>
      </c>
      <c r="I190" s="60">
        <v>-100</v>
      </c>
      <c r="J190" s="60">
        <v>0</v>
      </c>
      <c r="K190" s="60">
        <v>0</v>
      </c>
      <c r="L190" s="60">
        <v>0.31</v>
      </c>
      <c r="M190" s="60">
        <v>0.31</v>
      </c>
      <c r="N190" s="60"/>
    </row>
    <row r="191" spans="1:14">
      <c r="A191" s="60">
        <v>150</v>
      </c>
      <c r="B191" s="60" t="s">
        <v>159</v>
      </c>
      <c r="C191" s="60" t="s">
        <v>23</v>
      </c>
      <c r="D191" s="24">
        <v>0</v>
      </c>
      <c r="E191" s="24">
        <v>21</v>
      </c>
      <c r="F191" s="24">
        <v>0</v>
      </c>
      <c r="G191" s="24">
        <v>21</v>
      </c>
      <c r="H191" s="60">
        <v>-100</v>
      </c>
      <c r="I191" s="60">
        <v>-100</v>
      </c>
      <c r="J191" s="60">
        <v>0</v>
      </c>
      <c r="K191" s="60">
        <v>0</v>
      </c>
      <c r="L191" s="60">
        <v>0.2</v>
      </c>
      <c r="M191" s="60">
        <v>0.2</v>
      </c>
      <c r="N191" s="60"/>
    </row>
    <row r="192" spans="1:14">
      <c r="A192" s="60">
        <v>151</v>
      </c>
      <c r="B192" s="60" t="s">
        <v>466</v>
      </c>
      <c r="C192" s="60" t="s">
        <v>23</v>
      </c>
      <c r="D192" s="24">
        <v>0</v>
      </c>
      <c r="E192" s="24">
        <v>14</v>
      </c>
      <c r="F192" s="24">
        <v>0</v>
      </c>
      <c r="G192" s="24">
        <v>14</v>
      </c>
      <c r="H192" s="60">
        <v>-100</v>
      </c>
      <c r="I192" s="60">
        <v>-100</v>
      </c>
      <c r="J192" s="60">
        <v>0</v>
      </c>
      <c r="K192" s="60">
        <v>0</v>
      </c>
      <c r="L192" s="60">
        <v>0.13</v>
      </c>
      <c r="M192" s="60">
        <v>0.13</v>
      </c>
      <c r="N192" s="60"/>
    </row>
    <row r="193" spans="1:14">
      <c r="A193" s="60">
        <v>152</v>
      </c>
      <c r="B193" s="60" t="s">
        <v>377</v>
      </c>
      <c r="C193" s="60" t="s">
        <v>23</v>
      </c>
      <c r="D193" s="24">
        <v>0</v>
      </c>
      <c r="E193" s="24">
        <v>8</v>
      </c>
      <c r="F193" s="24">
        <v>0</v>
      </c>
      <c r="G193" s="24">
        <v>8</v>
      </c>
      <c r="H193" s="60">
        <v>-100</v>
      </c>
      <c r="I193" s="60">
        <v>-100</v>
      </c>
      <c r="J193" s="60">
        <v>0</v>
      </c>
      <c r="K193" s="60">
        <v>0</v>
      </c>
      <c r="L193" s="60">
        <v>0.08</v>
      </c>
      <c r="M193" s="60">
        <v>0.08</v>
      </c>
      <c r="N193" s="60"/>
    </row>
    <row r="194" spans="1:14">
      <c r="A194" s="60">
        <v>153</v>
      </c>
      <c r="B194" s="60" t="s">
        <v>152</v>
      </c>
      <c r="C194" s="60" t="s">
        <v>23</v>
      </c>
      <c r="D194" s="24">
        <v>0</v>
      </c>
      <c r="E194" s="24">
        <v>7</v>
      </c>
      <c r="F194" s="24">
        <v>0</v>
      </c>
      <c r="G194" s="24">
        <v>7</v>
      </c>
      <c r="H194" s="60">
        <v>-100</v>
      </c>
      <c r="I194" s="60">
        <v>-100</v>
      </c>
      <c r="J194" s="60">
        <v>0</v>
      </c>
      <c r="K194" s="60">
        <v>0</v>
      </c>
      <c r="L194" s="60">
        <v>7.0000000000000007E-2</v>
      </c>
      <c r="M194" s="60">
        <v>7.0000000000000007E-2</v>
      </c>
      <c r="N194" s="60"/>
    </row>
    <row r="195" spans="1:14">
      <c r="A195" s="60">
        <v>154</v>
      </c>
      <c r="B195" s="60" t="s">
        <v>447</v>
      </c>
      <c r="C195" s="60" t="s">
        <v>23</v>
      </c>
      <c r="D195" s="24">
        <v>0</v>
      </c>
      <c r="E195" s="24">
        <v>7</v>
      </c>
      <c r="F195" s="24">
        <v>0</v>
      </c>
      <c r="G195" s="24">
        <v>7</v>
      </c>
      <c r="H195" s="60">
        <v>-100</v>
      </c>
      <c r="I195" s="60">
        <v>-100</v>
      </c>
      <c r="J195" s="60">
        <v>0</v>
      </c>
      <c r="K195" s="60">
        <v>0</v>
      </c>
      <c r="L195" s="60">
        <v>7.0000000000000007E-2</v>
      </c>
      <c r="M195" s="60">
        <v>7.0000000000000007E-2</v>
      </c>
      <c r="N195" s="60"/>
    </row>
    <row r="196" spans="1:14">
      <c r="A196" s="60">
        <v>155</v>
      </c>
      <c r="B196" s="60" t="s">
        <v>448</v>
      </c>
      <c r="C196" s="60" t="s">
        <v>23</v>
      </c>
      <c r="D196" s="24">
        <v>0</v>
      </c>
      <c r="E196" s="24">
        <v>6</v>
      </c>
      <c r="F196" s="24">
        <v>0</v>
      </c>
      <c r="G196" s="24">
        <v>6</v>
      </c>
      <c r="H196" s="68">
        <v>-100</v>
      </c>
      <c r="I196" s="68">
        <v>-100</v>
      </c>
      <c r="J196" s="68">
        <v>0</v>
      </c>
      <c r="K196" s="68">
        <v>0</v>
      </c>
      <c r="L196" s="68">
        <v>0.06</v>
      </c>
      <c r="M196" s="68">
        <v>0.06</v>
      </c>
      <c r="N196" s="60"/>
    </row>
    <row r="197" spans="1:14">
      <c r="A197" s="60">
        <v>156</v>
      </c>
      <c r="B197" s="60" t="s">
        <v>682</v>
      </c>
      <c r="C197" s="60" t="s">
        <v>24</v>
      </c>
      <c r="D197" s="24">
        <v>0</v>
      </c>
      <c r="E197" s="24">
        <v>6</v>
      </c>
      <c r="F197" s="24">
        <v>0</v>
      </c>
      <c r="G197" s="24">
        <v>6</v>
      </c>
      <c r="H197" s="60">
        <v>-100</v>
      </c>
      <c r="I197" s="60">
        <v>-100</v>
      </c>
      <c r="J197" s="60">
        <v>0</v>
      </c>
      <c r="K197" s="60">
        <v>0</v>
      </c>
      <c r="L197" s="60">
        <v>0.06</v>
      </c>
      <c r="M197" s="60">
        <v>0.06</v>
      </c>
      <c r="N197" s="60"/>
    </row>
    <row r="198" spans="1:14">
      <c r="A198" s="60">
        <v>157</v>
      </c>
      <c r="B198" s="60" t="s">
        <v>633</v>
      </c>
      <c r="C198" s="60" t="s">
        <v>23</v>
      </c>
      <c r="D198" s="24">
        <v>0</v>
      </c>
      <c r="E198" s="24">
        <v>5</v>
      </c>
      <c r="F198" s="24">
        <v>0</v>
      </c>
      <c r="G198" s="24">
        <v>5</v>
      </c>
      <c r="H198" s="60">
        <v>-100</v>
      </c>
      <c r="I198" s="60">
        <v>-100</v>
      </c>
      <c r="J198" s="60">
        <v>0</v>
      </c>
      <c r="K198" s="60">
        <v>0</v>
      </c>
      <c r="L198" s="60">
        <v>0.05</v>
      </c>
      <c r="M198" s="60">
        <v>0.05</v>
      </c>
      <c r="N198" s="60"/>
    </row>
    <row r="199" spans="1:14">
      <c r="A199" s="60">
        <v>158</v>
      </c>
      <c r="B199" s="60" t="s">
        <v>529</v>
      </c>
      <c r="C199" s="60" t="s">
        <v>23</v>
      </c>
      <c r="D199" s="24">
        <v>0</v>
      </c>
      <c r="E199" s="24">
        <v>4</v>
      </c>
      <c r="F199" s="24">
        <v>0</v>
      </c>
      <c r="G199" s="24">
        <v>4</v>
      </c>
      <c r="H199" s="60">
        <v>-100</v>
      </c>
      <c r="I199" s="60">
        <v>-100</v>
      </c>
      <c r="J199" s="60">
        <v>0</v>
      </c>
      <c r="K199" s="60">
        <v>0</v>
      </c>
      <c r="L199" s="60">
        <v>0.04</v>
      </c>
      <c r="M199" s="60">
        <v>0.04</v>
      </c>
      <c r="N199" s="60"/>
    </row>
    <row r="200" spans="1:14">
      <c r="A200" s="60">
        <v>159</v>
      </c>
      <c r="B200" s="60" t="s">
        <v>245</v>
      </c>
      <c r="C200" s="60" t="s">
        <v>23</v>
      </c>
      <c r="D200" s="24">
        <v>0</v>
      </c>
      <c r="E200" s="24">
        <v>4</v>
      </c>
      <c r="F200" s="24">
        <v>0</v>
      </c>
      <c r="G200" s="24">
        <v>4</v>
      </c>
      <c r="H200" s="60">
        <v>-100</v>
      </c>
      <c r="I200" s="60">
        <v>-100</v>
      </c>
      <c r="J200" s="60">
        <v>0</v>
      </c>
      <c r="K200" s="60">
        <v>0</v>
      </c>
      <c r="L200" s="60">
        <v>0.04</v>
      </c>
      <c r="M200" s="60">
        <v>0.04</v>
      </c>
      <c r="N200" s="60"/>
    </row>
    <row r="201" spans="1:14">
      <c r="A201" s="60">
        <v>160</v>
      </c>
      <c r="B201" s="60" t="s">
        <v>244</v>
      </c>
      <c r="C201" s="60" t="s">
        <v>23</v>
      </c>
      <c r="D201" s="24">
        <v>0</v>
      </c>
      <c r="E201" s="24">
        <v>4</v>
      </c>
      <c r="F201" s="24">
        <v>0</v>
      </c>
      <c r="G201" s="24">
        <v>4</v>
      </c>
      <c r="H201" s="60">
        <v>-100</v>
      </c>
      <c r="I201" s="60">
        <v>-100</v>
      </c>
      <c r="J201" s="60">
        <v>0</v>
      </c>
      <c r="K201" s="60">
        <v>0</v>
      </c>
      <c r="L201" s="60">
        <v>0.04</v>
      </c>
      <c r="M201" s="60">
        <v>0.04</v>
      </c>
      <c r="N201" s="60"/>
    </row>
    <row r="202" spans="1:14">
      <c r="A202" s="60">
        <v>161</v>
      </c>
      <c r="B202" s="60" t="s">
        <v>371</v>
      </c>
      <c r="C202" s="60" t="s">
        <v>23</v>
      </c>
      <c r="D202" s="24">
        <v>0</v>
      </c>
      <c r="E202" s="24">
        <v>4</v>
      </c>
      <c r="F202" s="24">
        <v>0</v>
      </c>
      <c r="G202" s="24">
        <v>4</v>
      </c>
      <c r="H202" s="60">
        <v>-100</v>
      </c>
      <c r="I202" s="60">
        <v>-100</v>
      </c>
      <c r="J202" s="60">
        <v>0</v>
      </c>
      <c r="K202" s="60">
        <v>0</v>
      </c>
      <c r="L202" s="60">
        <v>0.04</v>
      </c>
      <c r="M202" s="60">
        <v>0.04</v>
      </c>
      <c r="N202" s="60"/>
    </row>
    <row r="203" spans="1:14">
      <c r="A203" s="60">
        <v>162</v>
      </c>
      <c r="B203" s="60" t="s">
        <v>249</v>
      </c>
      <c r="C203" s="60" t="s">
        <v>23</v>
      </c>
      <c r="D203" s="24">
        <v>0</v>
      </c>
      <c r="E203" s="24">
        <v>4</v>
      </c>
      <c r="F203" s="24">
        <v>0</v>
      </c>
      <c r="G203" s="24">
        <v>4</v>
      </c>
      <c r="H203" s="60">
        <v>-100</v>
      </c>
      <c r="I203" s="60">
        <v>-100</v>
      </c>
      <c r="J203" s="60">
        <v>0</v>
      </c>
      <c r="K203" s="60">
        <v>0</v>
      </c>
      <c r="L203" s="60">
        <v>0.04</v>
      </c>
      <c r="M203" s="60">
        <v>0.04</v>
      </c>
      <c r="N203" s="60"/>
    </row>
    <row r="204" spans="1:14">
      <c r="A204" s="60">
        <v>163</v>
      </c>
      <c r="B204" s="60" t="s">
        <v>459</v>
      </c>
      <c r="C204" s="60" t="s">
        <v>24</v>
      </c>
      <c r="D204" s="24">
        <v>0</v>
      </c>
      <c r="E204" s="24">
        <v>3</v>
      </c>
      <c r="F204" s="24">
        <v>0</v>
      </c>
      <c r="G204" s="24">
        <v>3</v>
      </c>
      <c r="H204" s="60">
        <v>-100</v>
      </c>
      <c r="I204" s="60">
        <v>-100</v>
      </c>
      <c r="J204" s="60">
        <v>0</v>
      </c>
      <c r="K204" s="60">
        <v>0</v>
      </c>
      <c r="L204" s="60">
        <v>0.03</v>
      </c>
      <c r="M204" s="60">
        <v>0.03</v>
      </c>
      <c r="N204" s="60"/>
    </row>
    <row r="205" spans="1:14">
      <c r="A205" s="60">
        <v>164</v>
      </c>
      <c r="B205" s="60" t="s">
        <v>410</v>
      </c>
      <c r="C205" s="60" t="s">
        <v>23</v>
      </c>
      <c r="D205" s="24">
        <v>0</v>
      </c>
      <c r="E205" s="24">
        <v>3</v>
      </c>
      <c r="F205" s="24">
        <v>0</v>
      </c>
      <c r="G205" s="24">
        <v>3</v>
      </c>
      <c r="H205" s="60">
        <v>-100</v>
      </c>
      <c r="I205" s="60">
        <v>-100</v>
      </c>
      <c r="J205" s="60">
        <v>0</v>
      </c>
      <c r="K205" s="60">
        <v>0</v>
      </c>
      <c r="L205" s="60">
        <v>0.03</v>
      </c>
      <c r="M205" s="60">
        <v>0.03</v>
      </c>
      <c r="N205" s="60"/>
    </row>
    <row r="206" spans="1:14">
      <c r="A206" s="162">
        <v>165</v>
      </c>
      <c r="B206" s="162" t="s">
        <v>524</v>
      </c>
      <c r="C206" s="162" t="s">
        <v>23</v>
      </c>
      <c r="D206" s="169">
        <v>0</v>
      </c>
      <c r="E206" s="169">
        <v>3</v>
      </c>
      <c r="F206" s="169">
        <v>0</v>
      </c>
      <c r="G206" s="169">
        <v>3</v>
      </c>
      <c r="H206" s="162">
        <v>-100</v>
      </c>
      <c r="I206" s="162">
        <v>-100</v>
      </c>
      <c r="J206" s="162">
        <v>0</v>
      </c>
      <c r="K206" s="162">
        <v>0</v>
      </c>
      <c r="L206" s="162">
        <v>0.03</v>
      </c>
      <c r="M206" s="162">
        <v>0.03</v>
      </c>
      <c r="N206" s="60"/>
    </row>
    <row r="207" spans="1:14">
      <c r="A207" s="162">
        <v>166</v>
      </c>
      <c r="B207" s="162" t="s">
        <v>595</v>
      </c>
      <c r="C207" s="162" t="s">
        <v>24</v>
      </c>
      <c r="D207" s="169">
        <v>0</v>
      </c>
      <c r="E207" s="169">
        <v>3</v>
      </c>
      <c r="F207" s="169">
        <v>0</v>
      </c>
      <c r="G207" s="169">
        <v>3</v>
      </c>
      <c r="H207" s="162">
        <v>-100</v>
      </c>
      <c r="I207" s="162">
        <v>-100</v>
      </c>
      <c r="J207" s="162">
        <v>0</v>
      </c>
      <c r="K207" s="162">
        <v>0</v>
      </c>
      <c r="L207" s="162">
        <v>0.03</v>
      </c>
      <c r="M207" s="162">
        <v>0.03</v>
      </c>
      <c r="N207" s="60"/>
    </row>
    <row r="208" spans="1:14">
      <c r="A208" s="162">
        <v>167</v>
      </c>
      <c r="B208" s="162" t="s">
        <v>648</v>
      </c>
      <c r="C208" s="162" t="s">
        <v>24</v>
      </c>
      <c r="D208" s="169">
        <v>0</v>
      </c>
      <c r="E208" s="169">
        <v>2</v>
      </c>
      <c r="F208" s="169">
        <v>0</v>
      </c>
      <c r="G208" s="169">
        <v>2</v>
      </c>
      <c r="H208" s="162">
        <v>-100</v>
      </c>
      <c r="I208" s="162">
        <v>-100</v>
      </c>
      <c r="J208" s="162">
        <v>0</v>
      </c>
      <c r="K208" s="162">
        <v>0</v>
      </c>
      <c r="L208" s="162">
        <v>0.02</v>
      </c>
      <c r="M208" s="162">
        <v>0.02</v>
      </c>
      <c r="N208" s="60"/>
    </row>
    <row r="209" spans="1:14">
      <c r="A209" s="162">
        <v>168</v>
      </c>
      <c r="B209" s="162" t="s">
        <v>609</v>
      </c>
      <c r="C209" s="162" t="s">
        <v>24</v>
      </c>
      <c r="D209" s="169">
        <v>0</v>
      </c>
      <c r="E209" s="169">
        <v>1</v>
      </c>
      <c r="F209" s="169">
        <v>0</v>
      </c>
      <c r="G209" s="169">
        <v>1</v>
      </c>
      <c r="H209" s="162">
        <v>-100</v>
      </c>
      <c r="I209" s="162">
        <v>-100</v>
      </c>
      <c r="J209" s="162">
        <v>0</v>
      </c>
      <c r="K209" s="162">
        <v>0</v>
      </c>
      <c r="L209" s="162">
        <v>0.01</v>
      </c>
      <c r="M209" s="162">
        <v>0.01</v>
      </c>
      <c r="N209" s="60"/>
    </row>
    <row r="210" spans="1:14">
      <c r="A210" s="162">
        <v>169</v>
      </c>
      <c r="B210" s="162" t="s">
        <v>431</v>
      </c>
      <c r="C210" s="162" t="s">
        <v>1116</v>
      </c>
      <c r="D210" s="169">
        <v>0</v>
      </c>
      <c r="E210" s="169">
        <v>1</v>
      </c>
      <c r="F210" s="169">
        <v>0</v>
      </c>
      <c r="G210" s="169">
        <v>1</v>
      </c>
      <c r="H210" s="162">
        <v>-100</v>
      </c>
      <c r="I210" s="162">
        <v>-100</v>
      </c>
      <c r="J210" s="162">
        <v>0</v>
      </c>
      <c r="K210" s="162">
        <v>0</v>
      </c>
      <c r="L210" s="162">
        <v>0.01</v>
      </c>
      <c r="M210" s="162">
        <v>0.01</v>
      </c>
      <c r="N210" s="60"/>
    </row>
    <row r="211" spans="1:14">
      <c r="A211" s="162">
        <v>170</v>
      </c>
      <c r="B211" s="162" t="s">
        <v>182</v>
      </c>
      <c r="C211" s="162" t="s">
        <v>23</v>
      </c>
      <c r="D211" s="169">
        <v>0</v>
      </c>
      <c r="E211" s="169">
        <v>1</v>
      </c>
      <c r="F211" s="169">
        <v>0</v>
      </c>
      <c r="G211" s="169">
        <v>1</v>
      </c>
      <c r="H211" s="162">
        <v>-100</v>
      </c>
      <c r="I211" s="162">
        <v>-100</v>
      </c>
      <c r="J211" s="162">
        <v>0</v>
      </c>
      <c r="K211" s="162">
        <v>0</v>
      </c>
      <c r="L211" s="162">
        <v>0.01</v>
      </c>
      <c r="M211" s="162">
        <v>0.01</v>
      </c>
      <c r="N211" s="60"/>
    </row>
    <row r="212" spans="1:14">
      <c r="A212" s="162">
        <v>171</v>
      </c>
      <c r="B212" s="162" t="s">
        <v>587</v>
      </c>
      <c r="C212" s="162" t="s">
        <v>23</v>
      </c>
      <c r="D212" s="169">
        <v>0</v>
      </c>
      <c r="E212" s="169">
        <v>1</v>
      </c>
      <c r="F212" s="169">
        <v>0</v>
      </c>
      <c r="G212" s="169">
        <v>1</v>
      </c>
      <c r="H212" s="162">
        <v>-100</v>
      </c>
      <c r="I212" s="162">
        <v>-100</v>
      </c>
      <c r="J212" s="162">
        <v>0</v>
      </c>
      <c r="K212" s="162">
        <v>0</v>
      </c>
      <c r="L212" s="162">
        <v>0.01</v>
      </c>
      <c r="M212" s="162">
        <v>0.01</v>
      </c>
      <c r="N212" s="60"/>
    </row>
    <row r="213" spans="1:14">
      <c r="A213" s="162">
        <v>172</v>
      </c>
      <c r="B213" s="162" t="s">
        <v>463</v>
      </c>
      <c r="C213" s="162" t="s">
        <v>23</v>
      </c>
      <c r="D213" s="169">
        <v>0</v>
      </c>
      <c r="E213" s="169">
        <v>1</v>
      </c>
      <c r="F213" s="169">
        <v>0</v>
      </c>
      <c r="G213" s="169">
        <v>1</v>
      </c>
      <c r="H213" s="162">
        <v>-100</v>
      </c>
      <c r="I213" s="162">
        <v>-100</v>
      </c>
      <c r="J213" s="162">
        <v>0</v>
      </c>
      <c r="K213" s="162">
        <v>0</v>
      </c>
      <c r="L213" s="162">
        <v>0.01</v>
      </c>
      <c r="M213" s="162">
        <v>0.01</v>
      </c>
      <c r="N213" s="60"/>
    </row>
    <row r="214" spans="1:14">
      <c r="A214" s="162">
        <v>173</v>
      </c>
      <c r="B214" s="162" t="s">
        <v>467</v>
      </c>
      <c r="C214" s="162" t="s">
        <v>24</v>
      </c>
      <c r="D214" s="169">
        <v>3</v>
      </c>
      <c r="E214" s="169">
        <v>29</v>
      </c>
      <c r="F214" s="169">
        <v>3</v>
      </c>
      <c r="G214" s="169">
        <v>29</v>
      </c>
      <c r="H214" s="162">
        <v>-89.66</v>
      </c>
      <c r="I214" s="162">
        <v>-89.66</v>
      </c>
      <c r="J214" s="162">
        <v>0.04</v>
      </c>
      <c r="K214" s="162">
        <v>0.04</v>
      </c>
      <c r="L214" s="162">
        <v>0.28000000000000003</v>
      </c>
      <c r="M214" s="162">
        <v>0.28000000000000003</v>
      </c>
      <c r="N214" s="60"/>
    </row>
    <row r="215" spans="1:14">
      <c r="A215" s="162"/>
      <c r="B215" s="162" t="s">
        <v>485</v>
      </c>
      <c r="C215" s="162"/>
      <c r="D215" s="169">
        <f>SUBTOTAL(109,getAggRechargeModels[antalPerioden])</f>
        <v>7628</v>
      </c>
      <c r="E215" s="169">
        <f>SUBTOTAL(109,getAggRechargeModels[antalFGPeriod])</f>
        <v>10524</v>
      </c>
      <c r="F215" s="169">
        <f>SUBTOTAL(109,getAggRechargeModels[antalÅret])</f>
        <v>7628</v>
      </c>
      <c r="G215" s="169">
        <f>SUBTOTAL(109,getAggRechargeModels[antalFGAr])</f>
        <v>10524</v>
      </c>
      <c r="H215" s="164">
        <f>IF(getAggRechargeModels[[#Totals],[antalFGPeriod]] &gt;0,(getAggRechargeModels[[#Totals],[antalPerioden]] - getAggRechargeModels[[#Totals],[antalFGPeriod]] ) / getAggRechargeModels[[#Totals],[antalFGPeriod]] *100,0)</f>
        <v>-27.518053971873812</v>
      </c>
      <c r="I215" s="164">
        <f>IF(getAggRechargeModels[[#Totals],[antalFGAr]] &gt; 0,( getAggRechargeModels[[#Totals],[antalÅret]] - getAggRechargeModels[[#Totals],[antalFGAr]] ) / getAggRechargeModels[[#Totals],[antalFGAr]] * 100,0)</f>
        <v>-27.518053971873812</v>
      </c>
      <c r="J215" s="170">
        <f>IF(getAggModelsPB[[#Totals],[antalPerioden]] &gt; 0,getAggRechargeModels[[#Totals],[antalPerioden]]  / getAggModelsPB[[#Totals],[antalPerioden]] * 100,0)</f>
        <v>52.242997054996231</v>
      </c>
      <c r="K215" s="170">
        <f>IF(getAggModelsPB[[#Totals],[antalÅret]] &gt; 0,getAggRechargeModels[[#Totals],[antalÅret]]  / getAggModelsPB[[#Totals],[antalÅret]] * 100,0)</f>
        <v>52.242997054996231</v>
      </c>
      <c r="L215" s="170">
        <f>IF(getAggModelsPB[[#Totals],[antalFGPeriod]] &gt; 0,getAggRechargeModels[[#Totals],[antalFGPeriod]]  / getAggModelsPB[[#Totals],[antalFGPeriod]] * 100,0)</f>
        <v>52.903031217011012</v>
      </c>
      <c r="M215" s="170">
        <f>IF(getAggModelsPB[[#Totals],[antalFGAr]] &gt; 0,getAggRechargeModels[[#Totals],[antalFGAr]]  / getAggModelsPB[[#Totals],[antalFGAr]] * 100,0)</f>
        <v>52.903031217011012</v>
      </c>
      <c r="N215" s="60"/>
    </row>
    <row r="216" spans="1:14">
      <c r="A216" s="162"/>
      <c r="B216" s="162"/>
      <c r="C216" s="162"/>
      <c r="D216" s="169"/>
      <c r="E216" s="169"/>
      <c r="F216" s="169"/>
      <c r="G216" s="169"/>
      <c r="H216" s="164"/>
      <c r="I216" s="164"/>
      <c r="J216" s="170"/>
      <c r="K216" s="170"/>
      <c r="L216" s="170"/>
      <c r="M216" s="170"/>
      <c r="N216" s="60"/>
    </row>
    <row r="217" spans="1:14">
      <c r="A217" s="162"/>
      <c r="B217" s="162"/>
      <c r="C217" s="162"/>
      <c r="D217" s="169"/>
      <c r="E217" s="169"/>
      <c r="F217" s="169"/>
      <c r="G217" s="169"/>
      <c r="H217" s="162"/>
      <c r="I217" s="162"/>
      <c r="J217" s="162"/>
      <c r="K217" s="162"/>
      <c r="L217" s="162"/>
      <c r="M217" s="162"/>
      <c r="N217" s="60"/>
    </row>
    <row r="218" spans="1:14">
      <c r="A218" s="162" t="s">
        <v>716</v>
      </c>
      <c r="B218" s="162"/>
      <c r="C218" s="162"/>
      <c r="D218" s="169"/>
      <c r="E218" s="169"/>
      <c r="F218" s="169"/>
      <c r="G218" s="169"/>
      <c r="H218" s="162"/>
      <c r="I218" s="162"/>
      <c r="J218" s="162"/>
      <c r="K218" s="162"/>
      <c r="L218" s="162"/>
      <c r="M218" s="162"/>
      <c r="N218" s="60"/>
    </row>
    <row r="219" spans="1:14">
      <c r="A219" s="162"/>
      <c r="B219" s="162"/>
      <c r="C219" s="162"/>
      <c r="D219" s="169"/>
      <c r="E219" s="169"/>
      <c r="F219" s="169"/>
      <c r="G219" s="169"/>
      <c r="H219" s="162"/>
      <c r="I219" s="162"/>
      <c r="J219" s="162"/>
      <c r="K219" s="162"/>
      <c r="L219" s="162"/>
      <c r="M219" s="162"/>
      <c r="N219" s="60"/>
    </row>
    <row r="220" spans="1:14">
      <c r="A220" s="162"/>
      <c r="B220" s="162"/>
      <c r="C220" s="162"/>
      <c r="D220" s="169"/>
      <c r="E220" s="169"/>
      <c r="F220" s="169"/>
      <c r="G220" s="169"/>
      <c r="H220" s="162"/>
      <c r="I220" s="162"/>
      <c r="J220" s="162"/>
      <c r="K220" s="162"/>
      <c r="L220" s="162"/>
      <c r="M220" s="162"/>
      <c r="N220" s="60"/>
    </row>
    <row r="221" spans="1:14">
      <c r="A221" s="162"/>
      <c r="B221" s="162"/>
      <c r="C221" s="162"/>
      <c r="D221" s="169"/>
      <c r="E221" s="169"/>
      <c r="F221" s="169"/>
      <c r="G221" s="169"/>
      <c r="H221" s="162"/>
      <c r="I221" s="162"/>
      <c r="J221" s="162"/>
      <c r="K221" s="162"/>
      <c r="L221" s="162"/>
      <c r="M221" s="162"/>
      <c r="N221" s="60"/>
    </row>
    <row r="222" spans="1:14">
      <c r="A222" s="162"/>
      <c r="B222" s="162"/>
      <c r="C222" s="162"/>
      <c r="D222" s="169"/>
      <c r="E222" s="169"/>
      <c r="F222" s="169"/>
      <c r="G222" s="169"/>
      <c r="H222" s="162"/>
      <c r="I222" s="162"/>
      <c r="J222" s="162"/>
      <c r="K222" s="162"/>
      <c r="L222" s="162"/>
      <c r="M222" s="162"/>
      <c r="N222" s="60"/>
    </row>
    <row r="223" spans="1:14">
      <c r="A223" s="162"/>
      <c r="B223" s="162"/>
      <c r="C223" s="162"/>
      <c r="D223" s="169"/>
      <c r="E223" s="169"/>
      <c r="F223" s="169"/>
      <c r="G223" s="169"/>
      <c r="H223" s="162"/>
      <c r="I223" s="162"/>
      <c r="J223" s="162"/>
      <c r="K223" s="162"/>
      <c r="L223" s="162"/>
      <c r="M223" s="162"/>
      <c r="N223" s="60"/>
    </row>
    <row r="224" spans="1:14">
      <c r="A224" s="162"/>
      <c r="B224" s="162"/>
      <c r="C224" s="162"/>
      <c r="D224" s="169"/>
      <c r="E224" s="169"/>
      <c r="F224" s="169"/>
      <c r="G224" s="169"/>
      <c r="H224" s="162"/>
      <c r="I224" s="162"/>
      <c r="J224" s="162"/>
      <c r="K224" s="162"/>
      <c r="L224" s="162"/>
      <c r="M224" s="162"/>
      <c r="N224" s="60"/>
    </row>
    <row r="225" spans="1:14">
      <c r="A225" s="162"/>
      <c r="B225" s="162"/>
      <c r="C225" s="162"/>
      <c r="D225" s="169"/>
      <c r="E225" s="169"/>
      <c r="F225" s="169"/>
      <c r="G225" s="169"/>
      <c r="H225" s="162"/>
      <c r="I225" s="162"/>
      <c r="J225" s="162"/>
      <c r="K225" s="162"/>
      <c r="L225" s="162"/>
      <c r="M225" s="162"/>
      <c r="N225" s="60"/>
    </row>
    <row r="226" spans="1:14">
      <c r="A226" s="162"/>
      <c r="B226" s="162"/>
      <c r="C226" s="162"/>
      <c r="D226" s="169"/>
      <c r="E226" s="169"/>
      <c r="F226" s="169"/>
      <c r="G226" s="169"/>
      <c r="H226" s="162"/>
      <c r="I226" s="162"/>
      <c r="J226" s="162"/>
      <c r="K226" s="162"/>
      <c r="L226" s="162"/>
      <c r="M226" s="162"/>
      <c r="N226" s="60"/>
    </row>
    <row r="227" spans="1:14">
      <c r="A227" s="162"/>
      <c r="B227" s="162"/>
      <c r="C227" s="162"/>
      <c r="D227" s="169"/>
      <c r="E227" s="169"/>
      <c r="F227" s="169"/>
      <c r="G227" s="169"/>
      <c r="H227" s="162"/>
      <c r="I227" s="162"/>
      <c r="J227" s="162"/>
      <c r="K227" s="162"/>
      <c r="L227" s="162"/>
      <c r="M227" s="162"/>
      <c r="N227" s="60"/>
    </row>
    <row r="228" spans="1:14">
      <c r="A228" s="162"/>
      <c r="B228" s="162"/>
      <c r="C228" s="162"/>
      <c r="D228" s="169"/>
      <c r="E228" s="169"/>
      <c r="F228" s="169"/>
      <c r="G228" s="169"/>
      <c r="H228" s="162"/>
      <c r="I228" s="162"/>
      <c r="J228" s="162"/>
      <c r="K228" s="162"/>
      <c r="L228" s="162"/>
      <c r="M228" s="162"/>
      <c r="N228" s="60"/>
    </row>
    <row r="229" spans="1:14">
      <c r="A229" s="162"/>
      <c r="B229" s="162"/>
      <c r="C229" s="162"/>
      <c r="D229" s="169"/>
      <c r="E229" s="169"/>
      <c r="F229" s="169"/>
      <c r="G229" s="169"/>
      <c r="H229" s="162"/>
      <c r="I229" s="162"/>
      <c r="J229" s="162"/>
      <c r="K229" s="162"/>
      <c r="L229" s="162"/>
      <c r="M229" s="162"/>
      <c r="N229" s="60"/>
    </row>
    <row r="230" spans="1:14">
      <c r="A230" s="162"/>
      <c r="B230" s="162"/>
      <c r="C230" s="162"/>
      <c r="D230" s="169"/>
      <c r="E230" s="169"/>
      <c r="F230" s="169"/>
      <c r="G230" s="169"/>
      <c r="H230" s="162"/>
      <c r="I230" s="162"/>
      <c r="J230" s="162"/>
      <c r="K230" s="162"/>
      <c r="L230" s="162"/>
      <c r="M230" s="162"/>
      <c r="N230" s="60"/>
    </row>
    <row r="231" spans="1:14">
      <c r="A231" s="162"/>
      <c r="B231" s="162"/>
      <c r="C231" s="162"/>
      <c r="D231" s="169"/>
      <c r="E231" s="169"/>
      <c r="F231" s="169"/>
      <c r="G231" s="169"/>
      <c r="H231" s="162"/>
      <c r="I231" s="162"/>
      <c r="J231" s="162"/>
      <c r="K231" s="162"/>
      <c r="L231" s="162"/>
      <c r="M231" s="162"/>
      <c r="N231" s="60"/>
    </row>
    <row r="232" spans="1:14">
      <c r="A232" s="162"/>
      <c r="B232" s="162"/>
      <c r="C232" s="162"/>
      <c r="D232" s="169"/>
      <c r="E232" s="169"/>
      <c r="F232" s="169"/>
      <c r="G232" s="169"/>
      <c r="H232" s="162"/>
      <c r="I232" s="162"/>
      <c r="J232" s="162"/>
      <c r="K232" s="162"/>
      <c r="L232" s="162"/>
      <c r="M232" s="162"/>
      <c r="N232" s="60"/>
    </row>
    <row r="233" spans="1:14">
      <c r="A233" s="162"/>
      <c r="B233" s="162"/>
      <c r="C233" s="162"/>
      <c r="D233" s="169"/>
      <c r="E233" s="169"/>
      <c r="F233" s="169"/>
      <c r="G233" s="169"/>
      <c r="H233" s="162"/>
      <c r="I233" s="162"/>
      <c r="J233" s="162"/>
      <c r="K233" s="162"/>
      <c r="L233" s="162"/>
      <c r="M233" s="162"/>
      <c r="N233" s="60"/>
    </row>
    <row r="234" spans="1:14">
      <c r="A234" s="162"/>
      <c r="B234" s="162"/>
      <c r="C234" s="162"/>
      <c r="D234" s="169"/>
      <c r="E234" s="169"/>
      <c r="F234" s="169"/>
      <c r="G234" s="169"/>
      <c r="H234" s="162"/>
      <c r="I234" s="162"/>
      <c r="J234" s="162"/>
      <c r="K234" s="162"/>
      <c r="L234" s="162"/>
      <c r="M234" s="162"/>
      <c r="N234" s="60"/>
    </row>
    <row r="235" spans="1:14">
      <c r="A235" s="162"/>
      <c r="B235" s="162"/>
      <c r="C235" s="162"/>
      <c r="D235" s="169"/>
      <c r="E235" s="169"/>
      <c r="F235" s="169"/>
      <c r="G235" s="169"/>
      <c r="H235" s="162"/>
      <c r="I235" s="162"/>
      <c r="J235" s="162"/>
      <c r="K235" s="162"/>
      <c r="L235" s="162"/>
      <c r="M235" s="162"/>
      <c r="N235" s="60"/>
    </row>
    <row r="236" spans="1:14">
      <c r="A236" s="162"/>
      <c r="B236" s="162"/>
      <c r="C236" s="162"/>
      <c r="D236" s="169"/>
      <c r="E236" s="169"/>
      <c r="F236" s="169"/>
      <c r="G236" s="169"/>
      <c r="H236" s="162"/>
      <c r="I236" s="162"/>
      <c r="J236" s="162"/>
      <c r="K236" s="162"/>
      <c r="L236" s="162"/>
      <c r="M236" s="162"/>
      <c r="N236" s="60"/>
    </row>
    <row r="237" spans="1:14">
      <c r="A237" s="162"/>
      <c r="B237" s="162"/>
      <c r="C237" s="162"/>
      <c r="D237" s="169"/>
      <c r="E237" s="169"/>
      <c r="F237" s="169"/>
      <c r="G237" s="169"/>
      <c r="H237" s="162"/>
      <c r="I237" s="162"/>
      <c r="J237" s="162"/>
      <c r="K237" s="162"/>
      <c r="L237" s="162"/>
      <c r="M237" s="162"/>
      <c r="N237" s="60"/>
    </row>
    <row r="238" spans="1:14">
      <c r="A238" s="162"/>
      <c r="B238" s="162"/>
      <c r="C238" s="162"/>
      <c r="D238" s="169"/>
      <c r="E238" s="169"/>
      <c r="F238" s="169"/>
      <c r="G238" s="169"/>
      <c r="H238" s="162"/>
      <c r="I238" s="162"/>
      <c r="J238" s="162"/>
      <c r="K238" s="162"/>
      <c r="L238" s="162"/>
      <c r="M238" s="162"/>
      <c r="N238" s="60"/>
    </row>
    <row r="239" spans="1:14">
      <c r="A239" s="162"/>
      <c r="B239" s="162"/>
      <c r="C239" s="162"/>
      <c r="D239" s="169"/>
      <c r="E239" s="169"/>
      <c r="F239" s="169"/>
      <c r="G239" s="169"/>
      <c r="H239" s="162"/>
      <c r="I239" s="162"/>
      <c r="J239" s="162"/>
      <c r="K239" s="162"/>
      <c r="L239" s="162"/>
      <c r="M239" s="162"/>
      <c r="N239" s="60"/>
    </row>
    <row r="240" spans="1:14">
      <c r="A240" s="162"/>
      <c r="B240" s="162"/>
      <c r="C240" s="162"/>
      <c r="D240" s="169"/>
      <c r="E240" s="169"/>
      <c r="F240" s="169"/>
      <c r="G240" s="169"/>
      <c r="H240" s="162"/>
      <c r="I240" s="162"/>
      <c r="J240" s="162"/>
      <c r="K240" s="162"/>
      <c r="L240" s="162"/>
      <c r="M240" s="162"/>
      <c r="N240" s="60"/>
    </row>
    <row r="241" spans="1:14">
      <c r="A241" s="162"/>
      <c r="B241" s="162"/>
      <c r="C241" s="162"/>
      <c r="D241" s="169"/>
      <c r="E241" s="169"/>
      <c r="F241" s="169"/>
      <c r="G241" s="169"/>
      <c r="H241" s="162"/>
      <c r="I241" s="162"/>
      <c r="J241" s="162"/>
      <c r="K241" s="162"/>
      <c r="L241" s="162"/>
      <c r="M241" s="162"/>
      <c r="N241" s="60"/>
    </row>
    <row r="242" spans="1:14">
      <c r="A242" s="162"/>
      <c r="B242" s="162"/>
      <c r="C242" s="162"/>
      <c r="D242" s="169"/>
      <c r="E242" s="169"/>
      <c r="F242" s="169"/>
      <c r="G242" s="169"/>
      <c r="H242" s="162"/>
      <c r="I242" s="162"/>
      <c r="J242" s="162"/>
      <c r="K242" s="162"/>
      <c r="L242" s="162"/>
      <c r="M242" s="162"/>
      <c r="N242" s="60"/>
    </row>
    <row r="243" spans="1:14">
      <c r="A243" s="162"/>
      <c r="B243" s="162"/>
      <c r="C243" s="162"/>
      <c r="D243" s="169"/>
      <c r="E243" s="169"/>
      <c r="F243" s="169"/>
      <c r="G243" s="169"/>
      <c r="H243" s="162"/>
      <c r="I243" s="162"/>
      <c r="J243" s="162"/>
      <c r="K243" s="162"/>
      <c r="L243" s="162"/>
      <c r="M243" s="162"/>
      <c r="N243" s="60"/>
    </row>
    <row r="244" spans="1:14">
      <c r="A244" s="162"/>
      <c r="B244" s="162"/>
      <c r="C244" s="162"/>
      <c r="D244" s="169"/>
      <c r="E244" s="169"/>
      <c r="F244" s="169"/>
      <c r="G244" s="169"/>
      <c r="H244" s="162"/>
      <c r="I244" s="162"/>
      <c r="J244" s="162"/>
      <c r="K244" s="162"/>
      <c r="L244" s="162"/>
      <c r="M244" s="162"/>
      <c r="N244" s="60"/>
    </row>
    <row r="245" spans="1:14">
      <c r="A245" s="162"/>
      <c r="B245" s="162"/>
      <c r="C245" s="162"/>
      <c r="D245" s="169"/>
      <c r="E245" s="169"/>
      <c r="F245" s="169"/>
      <c r="G245" s="169"/>
      <c r="H245" s="162"/>
      <c r="I245" s="162"/>
      <c r="J245" s="162"/>
      <c r="K245" s="162"/>
      <c r="L245" s="162"/>
      <c r="M245" s="162"/>
      <c r="N245" s="60"/>
    </row>
    <row r="246" spans="1:14">
      <c r="A246" s="162"/>
      <c r="B246" s="162"/>
      <c r="C246" s="162"/>
      <c r="D246" s="169"/>
      <c r="E246" s="169"/>
      <c r="F246" s="169"/>
      <c r="G246" s="169"/>
      <c r="H246" s="162"/>
      <c r="I246" s="162"/>
      <c r="J246" s="162"/>
      <c r="K246" s="162"/>
      <c r="L246" s="162"/>
      <c r="M246" s="162"/>
      <c r="N246" s="60"/>
    </row>
    <row r="247" spans="1:14">
      <c r="A247" s="162"/>
      <c r="B247" s="162"/>
      <c r="C247" s="162"/>
      <c r="D247" s="169"/>
      <c r="E247" s="169"/>
      <c r="F247" s="169"/>
      <c r="G247" s="169"/>
      <c r="H247" s="162"/>
      <c r="I247" s="162"/>
      <c r="J247" s="162"/>
      <c r="K247" s="162"/>
      <c r="L247" s="162"/>
      <c r="M247" s="162"/>
      <c r="N247" s="60"/>
    </row>
    <row r="248" spans="1:14">
      <c r="A248" s="162"/>
      <c r="B248" s="162"/>
      <c r="C248" s="162"/>
      <c r="D248" s="169"/>
      <c r="E248" s="169"/>
      <c r="F248" s="169"/>
      <c r="G248" s="169"/>
      <c r="H248" s="162"/>
      <c r="I248" s="162"/>
      <c r="J248" s="162"/>
      <c r="K248" s="162"/>
      <c r="L248" s="162"/>
      <c r="M248" s="162"/>
      <c r="N248" s="60"/>
    </row>
    <row r="249" spans="1:14">
      <c r="A249" s="162"/>
      <c r="B249" s="162"/>
      <c r="C249" s="162"/>
      <c r="D249" s="169"/>
      <c r="E249" s="169"/>
      <c r="F249" s="169"/>
      <c r="G249" s="169"/>
      <c r="H249" s="162"/>
      <c r="I249" s="162"/>
      <c r="J249" s="162"/>
      <c r="K249" s="162"/>
      <c r="L249" s="162"/>
      <c r="M249" s="162"/>
      <c r="N249" s="60"/>
    </row>
    <row r="250" spans="1:14">
      <c r="A250" s="162"/>
      <c r="B250" s="162"/>
      <c r="C250" s="162"/>
      <c r="D250" s="169"/>
      <c r="E250" s="169"/>
      <c r="F250" s="169"/>
      <c r="G250" s="169"/>
      <c r="H250" s="162"/>
      <c r="I250" s="162"/>
      <c r="J250" s="162"/>
      <c r="K250" s="162"/>
      <c r="L250" s="162"/>
      <c r="M250" s="162"/>
      <c r="N250" s="60"/>
    </row>
    <row r="251" spans="1:14">
      <c r="A251" s="162"/>
      <c r="B251" s="162"/>
      <c r="C251" s="162"/>
      <c r="D251" s="169"/>
      <c r="E251" s="169"/>
      <c r="F251" s="169"/>
      <c r="G251" s="169"/>
      <c r="H251" s="162"/>
      <c r="I251" s="162"/>
      <c r="J251" s="162"/>
      <c r="K251" s="162"/>
      <c r="L251" s="162"/>
      <c r="M251" s="162"/>
      <c r="N251" s="60"/>
    </row>
    <row r="252" spans="1:14">
      <c r="A252" s="162"/>
      <c r="B252" s="162"/>
      <c r="C252" s="162"/>
      <c r="D252" s="169"/>
      <c r="E252" s="169"/>
      <c r="F252" s="169"/>
      <c r="G252" s="169"/>
      <c r="H252" s="162"/>
      <c r="I252" s="162"/>
      <c r="J252" s="162"/>
      <c r="K252" s="162"/>
      <c r="L252" s="162"/>
      <c r="M252" s="162"/>
      <c r="N252" s="60"/>
    </row>
    <row r="253" spans="1:14">
      <c r="A253" s="162"/>
      <c r="B253" s="162"/>
      <c r="C253" s="162"/>
      <c r="D253" s="169"/>
      <c r="E253" s="169"/>
      <c r="F253" s="169"/>
      <c r="G253" s="169"/>
      <c r="H253" s="162"/>
      <c r="I253" s="162"/>
      <c r="J253" s="162"/>
      <c r="K253" s="162"/>
      <c r="L253" s="162"/>
      <c r="M253" s="162"/>
      <c r="N253" s="60"/>
    </row>
    <row r="254" spans="1:14">
      <c r="A254" s="60"/>
      <c r="B254" s="60"/>
      <c r="C254" s="60"/>
      <c r="D254" s="60"/>
      <c r="E254" s="60"/>
      <c r="F254" s="60"/>
      <c r="G254" s="60"/>
      <c r="H254" s="60"/>
      <c r="I254" s="60"/>
      <c r="J254" s="60"/>
      <c r="K254" s="60"/>
      <c r="L254" s="60"/>
      <c r="M254" s="60"/>
      <c r="N254" s="60"/>
    </row>
    <row r="255" spans="1:14">
      <c r="A255" s="60"/>
      <c r="B255" s="60"/>
      <c r="C255" s="60"/>
      <c r="D255" s="60"/>
      <c r="E255" s="60"/>
      <c r="F255" s="60"/>
      <c r="G255" s="60"/>
      <c r="H255" s="60"/>
      <c r="I255" s="60"/>
      <c r="J255" s="60"/>
      <c r="K255" s="60"/>
      <c r="L255" s="60"/>
      <c r="M255" s="60"/>
      <c r="N255" s="60"/>
    </row>
    <row r="256" spans="1:14">
      <c r="A256" s="60"/>
      <c r="B256" s="60"/>
      <c r="C256" s="60"/>
      <c r="D256" s="60"/>
      <c r="E256" s="60"/>
      <c r="F256" s="60"/>
      <c r="G256" s="60"/>
      <c r="H256" s="60"/>
      <c r="I256" s="60"/>
      <c r="J256" s="60"/>
      <c r="K256" s="60"/>
      <c r="L256" s="60"/>
      <c r="M256" s="60"/>
      <c r="N256" s="60"/>
    </row>
    <row r="257" spans="1:14">
      <c r="A257" s="60"/>
      <c r="B257" s="60"/>
      <c r="C257" s="60"/>
      <c r="D257" s="60"/>
      <c r="E257" s="60"/>
      <c r="F257" s="60"/>
      <c r="G257" s="60"/>
      <c r="H257" s="60"/>
      <c r="I257" s="60"/>
      <c r="J257" s="60"/>
      <c r="K257" s="60"/>
      <c r="L257" s="60"/>
      <c r="M257" s="60"/>
      <c r="N257" s="60"/>
    </row>
    <row r="258" spans="1:14">
      <c r="A258" s="60"/>
      <c r="B258" s="60"/>
      <c r="C258" s="60"/>
      <c r="D258" s="60"/>
      <c r="E258" s="60"/>
      <c r="F258" s="60"/>
      <c r="G258" s="60"/>
      <c r="H258" s="60"/>
      <c r="I258" s="60"/>
      <c r="J258" s="60"/>
      <c r="K258" s="60"/>
      <c r="L258" s="60"/>
      <c r="M258" s="60"/>
      <c r="N258" s="60"/>
    </row>
    <row r="259" spans="1:14">
      <c r="A259" s="60"/>
      <c r="B259" s="60"/>
      <c r="C259" s="60"/>
      <c r="D259" s="60"/>
      <c r="E259" s="60"/>
      <c r="F259" s="60"/>
      <c r="G259" s="60"/>
      <c r="H259" s="60"/>
      <c r="I259" s="60"/>
      <c r="J259" s="60"/>
      <c r="K259" s="60"/>
      <c r="L259" s="60"/>
      <c r="M259" s="60"/>
      <c r="N259" s="60"/>
    </row>
    <row r="260" spans="1:14">
      <c r="A260" s="60"/>
      <c r="B260" s="60"/>
      <c r="C260" s="60"/>
      <c r="D260" s="60"/>
      <c r="E260" s="60"/>
      <c r="F260" s="60"/>
      <c r="G260" s="60"/>
      <c r="H260" s="60"/>
      <c r="I260" s="60"/>
      <c r="J260" s="60"/>
      <c r="K260" s="60"/>
      <c r="L260" s="60"/>
      <c r="M260" s="60"/>
      <c r="N260" s="60"/>
    </row>
    <row r="261" spans="1:14">
      <c r="A261" s="60"/>
      <c r="B261" s="60"/>
      <c r="C261" s="60"/>
      <c r="D261" s="60"/>
      <c r="E261" s="60"/>
      <c r="F261" s="60"/>
      <c r="G261" s="60"/>
      <c r="H261" s="60"/>
      <c r="I261" s="60"/>
      <c r="J261" s="60"/>
      <c r="K261" s="60"/>
      <c r="L261" s="60"/>
      <c r="M261" s="60"/>
      <c r="N261" s="60"/>
    </row>
    <row r="262" spans="1:14">
      <c r="A262" s="60"/>
      <c r="B262" s="60"/>
      <c r="C262" s="60"/>
      <c r="D262" s="60"/>
      <c r="E262" s="60"/>
      <c r="F262" s="60"/>
      <c r="G262" s="60"/>
      <c r="H262" s="60"/>
      <c r="I262" s="60"/>
      <c r="J262" s="60"/>
      <c r="K262" s="60"/>
      <c r="L262" s="60"/>
      <c r="M262" s="60"/>
      <c r="N262" s="60"/>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51"/>
  <sheetViews>
    <sheetView workbookViewId="0">
      <selection activeCell="P36" sqref="P36"/>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74" t="s">
        <v>651</v>
      </c>
      <c r="P2" s="74"/>
      <c r="Q2" s="74"/>
      <c r="R2" s="74"/>
      <c r="S2" s="74"/>
      <c r="T2" s="10"/>
      <c r="U2" s="10"/>
    </row>
    <row r="3" spans="15:21">
      <c r="O3" s="27" t="s">
        <v>652</v>
      </c>
      <c r="P3" s="27"/>
      <c r="Q3" s="27"/>
      <c r="R3" s="27"/>
      <c r="S3" s="27"/>
      <c r="T3" s="27"/>
    </row>
    <row r="4" spans="15:21">
      <c r="O4" s="7"/>
      <c r="P4" s="7"/>
      <c r="Q4" s="17"/>
      <c r="R4" s="17"/>
      <c r="S4" s="17"/>
      <c r="T4" s="17"/>
    </row>
    <row r="5" spans="15:21" ht="16" thickBot="1">
      <c r="O5" s="20" t="s">
        <v>486</v>
      </c>
      <c r="P5" s="20">
        <v>2021</v>
      </c>
      <c r="Q5" s="20">
        <v>2022</v>
      </c>
      <c r="R5" s="20">
        <v>2023</v>
      </c>
      <c r="S5" s="27"/>
      <c r="T5" s="27"/>
    </row>
    <row r="6" spans="15:21">
      <c r="O6" s="17" t="s">
        <v>2</v>
      </c>
      <c r="P6" s="35">
        <v>1106</v>
      </c>
      <c r="Q6" s="35">
        <v>5159</v>
      </c>
      <c r="R6" s="35">
        <v>4203</v>
      </c>
      <c r="S6" s="27"/>
      <c r="T6" s="27"/>
    </row>
    <row r="7" spans="15:21">
      <c r="O7" s="17" t="s">
        <v>3</v>
      </c>
      <c r="P7" s="36">
        <v>1394</v>
      </c>
      <c r="Q7" s="36">
        <v>5413</v>
      </c>
      <c r="R7" s="36"/>
      <c r="S7" s="27"/>
      <c r="T7" s="27"/>
    </row>
    <row r="8" spans="15:21">
      <c r="O8" s="17" t="s">
        <v>4</v>
      </c>
      <c r="P8" s="39">
        <v>2609</v>
      </c>
      <c r="Q8" s="39">
        <v>9142</v>
      </c>
      <c r="R8" s="39"/>
      <c r="S8" s="27"/>
      <c r="T8" s="27"/>
    </row>
    <row r="9" spans="15:21">
      <c r="O9" s="17" t="s">
        <v>5</v>
      </c>
      <c r="P9" s="36">
        <v>4869</v>
      </c>
      <c r="Q9" s="36">
        <v>5421</v>
      </c>
      <c r="R9" s="36"/>
      <c r="S9" s="27"/>
      <c r="T9" s="27"/>
    </row>
    <row r="10" spans="15:21">
      <c r="O10" s="17" t="s">
        <v>6</v>
      </c>
      <c r="P10" s="39">
        <v>3953</v>
      </c>
      <c r="Q10" s="39">
        <v>6383</v>
      </c>
      <c r="R10" s="39"/>
      <c r="S10" s="27"/>
      <c r="T10" s="27"/>
    </row>
    <row r="11" spans="15:21">
      <c r="O11" s="17" t="s">
        <v>7</v>
      </c>
      <c r="P11" s="36">
        <v>8687</v>
      </c>
      <c r="Q11" s="36">
        <v>8237</v>
      </c>
      <c r="R11" s="36"/>
      <c r="S11" s="27"/>
      <c r="T11" s="27"/>
    </row>
    <row r="12" spans="15:21">
      <c r="O12" s="17" t="s">
        <v>8</v>
      </c>
      <c r="P12" s="39">
        <v>2535</v>
      </c>
      <c r="Q12" s="39">
        <v>4677</v>
      </c>
      <c r="R12" s="39"/>
      <c r="S12" s="27"/>
      <c r="T12" s="27"/>
    </row>
    <row r="13" spans="15:21">
      <c r="O13" s="17" t="s">
        <v>9</v>
      </c>
      <c r="P13" s="39">
        <v>4781</v>
      </c>
      <c r="Q13" s="39">
        <v>5813</v>
      </c>
      <c r="R13" s="39"/>
      <c r="S13" s="27"/>
      <c r="T13" s="27"/>
    </row>
    <row r="14" spans="15:21">
      <c r="O14" s="17" t="s">
        <v>10</v>
      </c>
      <c r="P14" s="39">
        <v>7454</v>
      </c>
      <c r="Q14" s="39">
        <v>7777</v>
      </c>
      <c r="R14" s="39"/>
      <c r="S14" s="27"/>
      <c r="T14" s="27"/>
    </row>
    <row r="15" spans="15:21">
      <c r="O15" s="17" t="s">
        <v>11</v>
      </c>
      <c r="P15" s="39">
        <v>4573</v>
      </c>
      <c r="Q15" s="39">
        <v>7940</v>
      </c>
      <c r="R15" s="39"/>
      <c r="S15" s="27"/>
      <c r="T15" s="27"/>
    </row>
    <row r="16" spans="15:21">
      <c r="O16" s="17" t="s">
        <v>12</v>
      </c>
      <c r="P16" s="39">
        <v>5468</v>
      </c>
      <c r="Q16" s="39">
        <v>10868</v>
      </c>
      <c r="R16" s="39"/>
      <c r="S16" s="27"/>
      <c r="T16" s="27"/>
    </row>
    <row r="17" spans="15:20">
      <c r="O17" s="28" t="s">
        <v>13</v>
      </c>
      <c r="P17" s="158">
        <v>10041</v>
      </c>
      <c r="Q17" s="158">
        <v>18205</v>
      </c>
      <c r="R17" s="158"/>
      <c r="S17" s="27"/>
      <c r="T17" s="27"/>
    </row>
    <row r="18" spans="15:20">
      <c r="O18" s="7" t="s">
        <v>570</v>
      </c>
      <c r="P18" s="37">
        <f>SUMIF(R6:R17,"&gt;0",P6:P17)</f>
        <v>1106</v>
      </c>
      <c r="Q18" s="37">
        <f>SUMIF(R6:R17,"&gt;0",Q6:Q17)</f>
        <v>5159</v>
      </c>
      <c r="R18" s="37">
        <f>SUM(R6:R17)</f>
        <v>4203</v>
      </c>
      <c r="S18" s="27"/>
      <c r="T18" s="27"/>
    </row>
    <row r="19" spans="15:20">
      <c r="O19" s="7" t="s">
        <v>569</v>
      </c>
      <c r="P19" s="34">
        <f>SUM(P6:P17)</f>
        <v>57470</v>
      </c>
      <c r="Q19" s="34">
        <f>SUM(Q6:Q17)</f>
        <v>95035</v>
      </c>
      <c r="R19" s="27"/>
      <c r="S19" s="27"/>
      <c r="T19" s="27"/>
    </row>
    <row r="34" spans="1:14" ht="21" thickBot="1">
      <c r="A34" s="74" t="s">
        <v>699</v>
      </c>
      <c r="B34" s="74"/>
      <c r="C34" s="10"/>
      <c r="D34" s="305" t="s">
        <v>1183</v>
      </c>
    </row>
    <row r="35" spans="1:14" ht="20">
      <c r="A35" s="10"/>
    </row>
    <row r="36" spans="1:14">
      <c r="A36" s="8" t="s">
        <v>482</v>
      </c>
      <c r="B36" s="60"/>
      <c r="C36" s="60"/>
      <c r="D36" s="60"/>
      <c r="E36" s="60"/>
      <c r="F36" s="60"/>
      <c r="G36" s="60"/>
      <c r="H36" s="287" t="s">
        <v>483</v>
      </c>
      <c r="I36" s="287"/>
      <c r="J36" s="287"/>
      <c r="K36" s="287"/>
      <c r="L36" s="287"/>
      <c r="M36" s="287"/>
      <c r="N36" s="60"/>
    </row>
    <row r="37" spans="1:14">
      <c r="A37" s="119"/>
      <c r="B37" s="130"/>
      <c r="C37" s="130"/>
      <c r="D37" s="288" t="s">
        <v>571</v>
      </c>
      <c r="E37" s="289"/>
      <c r="F37" s="290" t="s">
        <v>571</v>
      </c>
      <c r="G37" s="291"/>
      <c r="H37" s="290" t="s">
        <v>572</v>
      </c>
      <c r="I37" s="291"/>
      <c r="J37" s="290" t="s">
        <v>573</v>
      </c>
      <c r="K37" s="291"/>
      <c r="L37" s="290" t="s">
        <v>573</v>
      </c>
      <c r="M37" s="291"/>
      <c r="N37" s="60"/>
    </row>
    <row r="38" spans="1:14">
      <c r="A38" s="119"/>
      <c r="B38" s="131" t="s">
        <v>484</v>
      </c>
      <c r="C38" s="132" t="s">
        <v>575</v>
      </c>
      <c r="D38" s="133" t="str">
        <f>Innehåll!D79</f>
        <v xml:space="preserve"> 2023-01</v>
      </c>
      <c r="E38" s="133" t="str">
        <f>Innehåll!D80</f>
        <v xml:space="preserve"> 2022-01</v>
      </c>
      <c r="F38" s="133" t="str">
        <f>Innehåll!D81</f>
        <v>YTD  2023</v>
      </c>
      <c r="G38" s="133" t="str">
        <f>Innehåll!D82</f>
        <v>YTD  2022</v>
      </c>
      <c r="H38" s="133" t="str">
        <f>D38</f>
        <v xml:space="preserve"> 2023-01</v>
      </c>
      <c r="I38" s="134" t="str">
        <f>F38</f>
        <v>YTD  2023</v>
      </c>
      <c r="J38" s="133" t="str">
        <f>D38</f>
        <v xml:space="preserve"> 2023-01</v>
      </c>
      <c r="K38" s="135" t="str">
        <f>F38</f>
        <v>YTD  2023</v>
      </c>
      <c r="L38" s="136" t="str">
        <f>E38</f>
        <v xml:space="preserve"> 2022-01</v>
      </c>
      <c r="M38" s="136" t="str">
        <f>G38</f>
        <v>YTD  2022</v>
      </c>
      <c r="N38" s="60"/>
    </row>
    <row r="39" spans="1:14" ht="15" hidden="1" customHeight="1">
      <c r="A39" s="60" t="s">
        <v>33</v>
      </c>
      <c r="B39" s="60" t="s">
        <v>237</v>
      </c>
      <c r="C39" s="60" t="s">
        <v>238</v>
      </c>
      <c r="D39" s="60" t="s">
        <v>35</v>
      </c>
      <c r="E39" s="60" t="s">
        <v>36</v>
      </c>
      <c r="F39" s="60" t="s">
        <v>37</v>
      </c>
      <c r="G39" s="60" t="s">
        <v>38</v>
      </c>
      <c r="H39" s="60" t="s">
        <v>39</v>
      </c>
      <c r="I39" s="60" t="s">
        <v>40</v>
      </c>
      <c r="J39" s="60" t="s">
        <v>41</v>
      </c>
      <c r="K39" s="60" t="s">
        <v>42</v>
      </c>
      <c r="L39" s="60" t="s">
        <v>43</v>
      </c>
      <c r="M39" s="60" t="s">
        <v>44</v>
      </c>
      <c r="N39" s="60"/>
    </row>
    <row r="40" spans="1:14">
      <c r="A40" s="60">
        <v>1</v>
      </c>
      <c r="B40" s="60" t="s">
        <v>452</v>
      </c>
      <c r="C40" s="60" t="s">
        <v>24</v>
      </c>
      <c r="D40" s="24">
        <v>698</v>
      </c>
      <c r="E40" s="24">
        <v>467</v>
      </c>
      <c r="F40" s="24">
        <v>698</v>
      </c>
      <c r="G40" s="24">
        <v>467</v>
      </c>
      <c r="H40" s="60">
        <v>49.46</v>
      </c>
      <c r="I40" s="60">
        <v>49.46</v>
      </c>
      <c r="J40" s="60">
        <v>9.15</v>
      </c>
      <c r="K40" s="60">
        <v>9.15</v>
      </c>
      <c r="L40" s="60">
        <v>4.4400000000000004</v>
      </c>
      <c r="M40" s="60">
        <v>4.4400000000000004</v>
      </c>
      <c r="N40" s="60"/>
    </row>
    <row r="41" spans="1:14" hidden="1">
      <c r="A41" s="60">
        <v>2</v>
      </c>
      <c r="B41" s="60" t="s">
        <v>421</v>
      </c>
      <c r="C41" s="60" t="s">
        <v>23</v>
      </c>
      <c r="D41" s="24">
        <v>610</v>
      </c>
      <c r="E41" s="24">
        <v>588</v>
      </c>
      <c r="F41" s="24">
        <v>610</v>
      </c>
      <c r="G41" s="24">
        <v>588</v>
      </c>
      <c r="H41" s="60">
        <v>3.74</v>
      </c>
      <c r="I41" s="60">
        <v>3.74</v>
      </c>
      <c r="J41" s="60">
        <v>8</v>
      </c>
      <c r="K41" s="60">
        <v>8</v>
      </c>
      <c r="L41" s="60">
        <v>5.59</v>
      </c>
      <c r="M41" s="60">
        <v>5.59</v>
      </c>
      <c r="N41" s="60"/>
    </row>
    <row r="42" spans="1:14">
      <c r="A42" s="60">
        <v>3</v>
      </c>
      <c r="B42" s="60" t="s">
        <v>666</v>
      </c>
      <c r="C42" s="60" t="s">
        <v>24</v>
      </c>
      <c r="D42" s="24">
        <v>425</v>
      </c>
      <c r="E42" s="24">
        <v>293</v>
      </c>
      <c r="F42" s="24">
        <v>425</v>
      </c>
      <c r="G42" s="24">
        <v>293</v>
      </c>
      <c r="H42" s="60">
        <v>45.05</v>
      </c>
      <c r="I42" s="60">
        <v>45.05</v>
      </c>
      <c r="J42" s="60">
        <v>5.57</v>
      </c>
      <c r="K42" s="60">
        <v>5.57</v>
      </c>
      <c r="L42" s="60">
        <v>2.78</v>
      </c>
      <c r="M42" s="60">
        <v>2.78</v>
      </c>
      <c r="N42" s="60"/>
    </row>
    <row r="43" spans="1:14" hidden="1">
      <c r="A43" s="60">
        <v>4</v>
      </c>
      <c r="B43" s="60" t="s">
        <v>438</v>
      </c>
      <c r="C43" s="60" t="s">
        <v>23</v>
      </c>
      <c r="D43" s="24">
        <v>400</v>
      </c>
      <c r="E43" s="24">
        <v>256</v>
      </c>
      <c r="F43" s="24">
        <v>400</v>
      </c>
      <c r="G43" s="24">
        <v>256</v>
      </c>
      <c r="H43" s="60">
        <v>56.25</v>
      </c>
      <c r="I43" s="60">
        <v>56.25</v>
      </c>
      <c r="J43" s="60">
        <v>5.24</v>
      </c>
      <c r="K43" s="60">
        <v>5.24</v>
      </c>
      <c r="L43" s="60">
        <v>2.4300000000000002</v>
      </c>
      <c r="M43" s="60">
        <v>2.4300000000000002</v>
      </c>
      <c r="N43" s="60"/>
    </row>
    <row r="44" spans="1:14">
      <c r="A44" s="60">
        <v>5</v>
      </c>
      <c r="B44" s="60" t="s">
        <v>674</v>
      </c>
      <c r="C44" s="60" t="s">
        <v>24</v>
      </c>
      <c r="D44" s="24">
        <v>372</v>
      </c>
      <c r="E44" s="24">
        <v>67</v>
      </c>
      <c r="F44" s="24">
        <v>372</v>
      </c>
      <c r="G44" s="24">
        <v>67</v>
      </c>
      <c r="H44" s="60">
        <v>455.22</v>
      </c>
      <c r="I44" s="60">
        <v>455.22</v>
      </c>
      <c r="J44" s="60">
        <v>4.88</v>
      </c>
      <c r="K44" s="60">
        <v>4.88</v>
      </c>
      <c r="L44" s="60">
        <v>0.64</v>
      </c>
      <c r="M44" s="60">
        <v>0.64</v>
      </c>
      <c r="N44" s="60"/>
    </row>
    <row r="45" spans="1:14">
      <c r="A45" s="60">
        <v>6</v>
      </c>
      <c r="B45" s="60" t="s">
        <v>513</v>
      </c>
      <c r="C45" s="60" t="s">
        <v>24</v>
      </c>
      <c r="D45" s="24">
        <v>276</v>
      </c>
      <c r="E45" s="24">
        <v>683</v>
      </c>
      <c r="F45" s="24">
        <v>276</v>
      </c>
      <c r="G45" s="24">
        <v>683</v>
      </c>
      <c r="H45" s="60">
        <v>-59.59</v>
      </c>
      <c r="I45" s="60">
        <v>-59.59</v>
      </c>
      <c r="J45" s="60">
        <v>3.62</v>
      </c>
      <c r="K45" s="60">
        <v>3.62</v>
      </c>
      <c r="L45" s="60">
        <v>6.49</v>
      </c>
      <c r="M45" s="60">
        <v>6.49</v>
      </c>
      <c r="N45" s="60"/>
    </row>
    <row r="46" spans="1:14" hidden="1">
      <c r="A46" s="60">
        <v>7</v>
      </c>
      <c r="B46" s="60" t="s">
        <v>726</v>
      </c>
      <c r="C46" s="60" t="s">
        <v>23</v>
      </c>
      <c r="D46" s="24">
        <v>247</v>
      </c>
      <c r="E46" s="24">
        <v>0</v>
      </c>
      <c r="F46" s="24">
        <v>247</v>
      </c>
      <c r="G46" s="24">
        <v>0</v>
      </c>
      <c r="H46" s="60">
        <v>0</v>
      </c>
      <c r="I46" s="60">
        <v>0</v>
      </c>
      <c r="J46" s="60">
        <v>3.24</v>
      </c>
      <c r="K46" s="60">
        <v>3.24</v>
      </c>
      <c r="L46" s="60">
        <v>0</v>
      </c>
      <c r="M46" s="60">
        <v>0</v>
      </c>
      <c r="N46" s="60"/>
    </row>
    <row r="47" spans="1:14">
      <c r="A47" s="60">
        <v>8</v>
      </c>
      <c r="B47" s="60" t="s">
        <v>241</v>
      </c>
      <c r="C47" s="60" t="s">
        <v>24</v>
      </c>
      <c r="D47" s="24">
        <v>204</v>
      </c>
      <c r="E47" s="24">
        <v>996</v>
      </c>
      <c r="F47" s="24">
        <v>204</v>
      </c>
      <c r="G47" s="24">
        <v>996</v>
      </c>
      <c r="H47" s="60">
        <v>-79.52</v>
      </c>
      <c r="I47" s="60">
        <v>-79.52</v>
      </c>
      <c r="J47" s="60">
        <v>2.67</v>
      </c>
      <c r="K47" s="60">
        <v>2.67</v>
      </c>
      <c r="L47" s="60">
        <v>9.4600000000000009</v>
      </c>
      <c r="M47" s="60">
        <v>9.4600000000000009</v>
      </c>
      <c r="N47" s="60"/>
    </row>
    <row r="48" spans="1:14">
      <c r="A48" s="60">
        <v>9</v>
      </c>
      <c r="B48" s="60" t="s">
        <v>516</v>
      </c>
      <c r="C48" s="60" t="s">
        <v>24</v>
      </c>
      <c r="D48" s="24">
        <v>178</v>
      </c>
      <c r="E48" s="24">
        <v>8</v>
      </c>
      <c r="F48" s="24">
        <v>178</v>
      </c>
      <c r="G48" s="24">
        <v>8</v>
      </c>
      <c r="H48" s="60">
        <v>2125</v>
      </c>
      <c r="I48" s="60">
        <v>2125</v>
      </c>
      <c r="J48" s="60">
        <v>2.33</v>
      </c>
      <c r="K48" s="60">
        <v>2.33</v>
      </c>
      <c r="L48" s="60">
        <v>0.08</v>
      </c>
      <c r="M48" s="60">
        <v>0.08</v>
      </c>
      <c r="N48" s="60"/>
    </row>
    <row r="49" spans="1:14" hidden="1">
      <c r="A49" s="60">
        <v>10</v>
      </c>
      <c r="B49" s="60" t="s">
        <v>397</v>
      </c>
      <c r="C49" s="60" t="s">
        <v>23</v>
      </c>
      <c r="D49" s="24">
        <v>171</v>
      </c>
      <c r="E49" s="24">
        <v>529</v>
      </c>
      <c r="F49" s="24">
        <v>171</v>
      </c>
      <c r="G49" s="24">
        <v>529</v>
      </c>
      <c r="H49" s="60">
        <v>-67.67</v>
      </c>
      <c r="I49" s="60">
        <v>-67.67</v>
      </c>
      <c r="J49" s="60">
        <v>2.2400000000000002</v>
      </c>
      <c r="K49" s="60">
        <v>2.2400000000000002</v>
      </c>
      <c r="L49" s="60">
        <v>5.03</v>
      </c>
      <c r="M49" s="60">
        <v>5.03</v>
      </c>
      <c r="N49" s="60"/>
    </row>
    <row r="50" spans="1:14">
      <c r="A50" s="60">
        <v>11</v>
      </c>
      <c r="B50" s="60" t="s">
        <v>603</v>
      </c>
      <c r="C50" s="60" t="s">
        <v>24</v>
      </c>
      <c r="D50" s="24">
        <v>153</v>
      </c>
      <c r="E50" s="24">
        <v>200</v>
      </c>
      <c r="F50" s="24">
        <v>153</v>
      </c>
      <c r="G50" s="24">
        <v>200</v>
      </c>
      <c r="H50" s="60">
        <v>-23.5</v>
      </c>
      <c r="I50" s="60">
        <v>-23.5</v>
      </c>
      <c r="J50" s="60">
        <v>2.0099999999999998</v>
      </c>
      <c r="K50" s="60">
        <v>2.0099999999999998</v>
      </c>
      <c r="L50" s="60">
        <v>1.9</v>
      </c>
      <c r="M50" s="60">
        <v>1.9</v>
      </c>
      <c r="N50" s="60"/>
    </row>
    <row r="51" spans="1:14" hidden="1">
      <c r="A51" s="60">
        <v>12</v>
      </c>
      <c r="B51" s="60" t="s">
        <v>423</v>
      </c>
      <c r="C51" s="60" t="s">
        <v>23</v>
      </c>
      <c r="D51" s="24">
        <v>138</v>
      </c>
      <c r="E51" s="24">
        <v>348</v>
      </c>
      <c r="F51" s="24">
        <v>138</v>
      </c>
      <c r="G51" s="24">
        <v>348</v>
      </c>
      <c r="H51" s="60">
        <v>-60.34</v>
      </c>
      <c r="I51" s="60">
        <v>-60.34</v>
      </c>
      <c r="J51" s="60">
        <v>1.81</v>
      </c>
      <c r="K51" s="60">
        <v>1.81</v>
      </c>
      <c r="L51" s="60">
        <v>3.31</v>
      </c>
      <c r="M51" s="60">
        <v>3.31</v>
      </c>
      <c r="N51" s="60"/>
    </row>
    <row r="52" spans="1:14" hidden="1">
      <c r="A52" s="60">
        <v>13</v>
      </c>
      <c r="B52" s="60" t="s">
        <v>608</v>
      </c>
      <c r="C52" s="60" t="s">
        <v>23</v>
      </c>
      <c r="D52" s="24">
        <v>126</v>
      </c>
      <c r="E52" s="24">
        <v>107</v>
      </c>
      <c r="F52" s="24">
        <v>126</v>
      </c>
      <c r="G52" s="24">
        <v>107</v>
      </c>
      <c r="H52" s="60">
        <v>17.760000000000002</v>
      </c>
      <c r="I52" s="60">
        <v>17.760000000000002</v>
      </c>
      <c r="J52" s="60">
        <v>1.65</v>
      </c>
      <c r="K52" s="60">
        <v>1.65</v>
      </c>
      <c r="L52" s="60">
        <v>1.02</v>
      </c>
      <c r="M52" s="60">
        <v>1.02</v>
      </c>
      <c r="N52" s="60"/>
    </row>
    <row r="53" spans="1:14" hidden="1">
      <c r="A53" s="60">
        <v>14</v>
      </c>
      <c r="B53" s="60" t="s">
        <v>441</v>
      </c>
      <c r="C53" s="60" t="s">
        <v>23</v>
      </c>
      <c r="D53" s="24">
        <v>123</v>
      </c>
      <c r="E53" s="24">
        <v>126</v>
      </c>
      <c r="F53" s="24">
        <v>123</v>
      </c>
      <c r="G53" s="24">
        <v>126</v>
      </c>
      <c r="H53" s="60">
        <v>-2.38</v>
      </c>
      <c r="I53" s="60">
        <v>-2.38</v>
      </c>
      <c r="J53" s="60">
        <v>1.61</v>
      </c>
      <c r="K53" s="60">
        <v>1.61</v>
      </c>
      <c r="L53" s="60">
        <v>1.2</v>
      </c>
      <c r="M53" s="60">
        <v>1.2</v>
      </c>
      <c r="N53" s="60"/>
    </row>
    <row r="54" spans="1:14">
      <c r="A54" s="60">
        <v>15</v>
      </c>
      <c r="B54" s="60" t="s">
        <v>1072</v>
      </c>
      <c r="C54" s="60" t="s">
        <v>24</v>
      </c>
      <c r="D54" s="24">
        <v>110</v>
      </c>
      <c r="E54" s="24">
        <v>0</v>
      </c>
      <c r="F54" s="24">
        <v>110</v>
      </c>
      <c r="G54" s="24">
        <v>0</v>
      </c>
      <c r="H54" s="60">
        <v>0</v>
      </c>
      <c r="I54" s="60">
        <v>0</v>
      </c>
      <c r="J54" s="60">
        <v>1.44</v>
      </c>
      <c r="K54" s="60">
        <v>1.44</v>
      </c>
      <c r="L54" s="60">
        <v>0</v>
      </c>
      <c r="M54" s="60">
        <v>0</v>
      </c>
      <c r="N54" s="60"/>
    </row>
    <row r="55" spans="1:14" hidden="1">
      <c r="A55" s="60">
        <v>16</v>
      </c>
      <c r="B55" s="60" t="s">
        <v>408</v>
      </c>
      <c r="C55" s="60" t="s">
        <v>23</v>
      </c>
      <c r="D55" s="24">
        <v>105</v>
      </c>
      <c r="E55" s="24">
        <v>60</v>
      </c>
      <c r="F55" s="24">
        <v>105</v>
      </c>
      <c r="G55" s="24">
        <v>60</v>
      </c>
      <c r="H55" s="60">
        <v>75</v>
      </c>
      <c r="I55" s="60">
        <v>75</v>
      </c>
      <c r="J55" s="60">
        <v>1.38</v>
      </c>
      <c r="K55" s="60">
        <v>1.38</v>
      </c>
      <c r="L55" s="60">
        <v>0.56999999999999995</v>
      </c>
      <c r="M55" s="60">
        <v>0.56999999999999995</v>
      </c>
      <c r="N55" s="60"/>
    </row>
    <row r="56" spans="1:14">
      <c r="A56" s="60">
        <v>17</v>
      </c>
      <c r="B56" s="60" t="s">
        <v>630</v>
      </c>
      <c r="C56" s="60" t="s">
        <v>24</v>
      </c>
      <c r="D56" s="24">
        <v>102</v>
      </c>
      <c r="E56" s="24">
        <v>156</v>
      </c>
      <c r="F56" s="24">
        <v>102</v>
      </c>
      <c r="G56" s="24">
        <v>156</v>
      </c>
      <c r="H56" s="60">
        <v>-34.619999999999997</v>
      </c>
      <c r="I56" s="60">
        <v>-34.619999999999997</v>
      </c>
      <c r="J56" s="60">
        <v>1.34</v>
      </c>
      <c r="K56" s="60">
        <v>1.34</v>
      </c>
      <c r="L56" s="60">
        <v>1.48</v>
      </c>
      <c r="M56" s="60">
        <v>1.48</v>
      </c>
      <c r="N56" s="60"/>
    </row>
    <row r="57" spans="1:14" hidden="1">
      <c r="A57" s="60">
        <v>18</v>
      </c>
      <c r="B57" s="60" t="s">
        <v>243</v>
      </c>
      <c r="C57" s="60" t="s">
        <v>23</v>
      </c>
      <c r="D57" s="24">
        <v>102</v>
      </c>
      <c r="E57" s="24">
        <v>130</v>
      </c>
      <c r="F57" s="24">
        <v>102</v>
      </c>
      <c r="G57" s="24">
        <v>130</v>
      </c>
      <c r="H57" s="60">
        <v>-21.54</v>
      </c>
      <c r="I57" s="60">
        <v>-21.54</v>
      </c>
      <c r="J57" s="60">
        <v>1.34</v>
      </c>
      <c r="K57" s="60">
        <v>1.34</v>
      </c>
      <c r="L57" s="60">
        <v>1.24</v>
      </c>
      <c r="M57" s="60">
        <v>1.24</v>
      </c>
      <c r="N57" s="60"/>
    </row>
    <row r="58" spans="1:14">
      <c r="A58" s="60">
        <v>19</v>
      </c>
      <c r="B58" s="60" t="s">
        <v>387</v>
      </c>
      <c r="C58" s="60" t="s">
        <v>24</v>
      </c>
      <c r="D58" s="24">
        <v>102</v>
      </c>
      <c r="E58" s="24">
        <v>96</v>
      </c>
      <c r="F58" s="24">
        <v>102</v>
      </c>
      <c r="G58" s="24">
        <v>96</v>
      </c>
      <c r="H58" s="60">
        <v>6.25</v>
      </c>
      <c r="I58" s="60">
        <v>6.25</v>
      </c>
      <c r="J58" s="60">
        <v>1.34</v>
      </c>
      <c r="K58" s="60">
        <v>1.34</v>
      </c>
      <c r="L58" s="60">
        <v>0.91</v>
      </c>
      <c r="M58" s="60">
        <v>0.91</v>
      </c>
      <c r="N58" s="60"/>
    </row>
    <row r="59" spans="1:14">
      <c r="A59" s="60">
        <v>20</v>
      </c>
      <c r="B59" s="60" t="s">
        <v>638</v>
      </c>
      <c r="C59" s="60" t="s">
        <v>24</v>
      </c>
      <c r="D59" s="24">
        <v>102</v>
      </c>
      <c r="E59" s="24">
        <v>8</v>
      </c>
      <c r="F59" s="24">
        <v>102</v>
      </c>
      <c r="G59" s="24">
        <v>8</v>
      </c>
      <c r="H59" s="60">
        <v>1175</v>
      </c>
      <c r="I59" s="60">
        <v>1175</v>
      </c>
      <c r="J59" s="60">
        <v>1.34</v>
      </c>
      <c r="K59" s="60">
        <v>1.34</v>
      </c>
      <c r="L59" s="60">
        <v>0.08</v>
      </c>
      <c r="M59" s="60">
        <v>0.08</v>
      </c>
      <c r="N59" s="60"/>
    </row>
    <row r="60" spans="1:14" hidden="1">
      <c r="A60" s="60">
        <v>21</v>
      </c>
      <c r="B60" s="60" t="s">
        <v>428</v>
      </c>
      <c r="C60" s="60" t="s">
        <v>23</v>
      </c>
      <c r="D60" s="24">
        <v>101</v>
      </c>
      <c r="E60" s="24">
        <v>96</v>
      </c>
      <c r="F60" s="24">
        <v>101</v>
      </c>
      <c r="G60" s="24">
        <v>96</v>
      </c>
      <c r="H60" s="60">
        <v>5.21</v>
      </c>
      <c r="I60" s="60">
        <v>5.21</v>
      </c>
      <c r="J60" s="60">
        <v>1.32</v>
      </c>
      <c r="K60" s="60">
        <v>1.32</v>
      </c>
      <c r="L60" s="60">
        <v>0.91</v>
      </c>
      <c r="M60" s="60">
        <v>0.91</v>
      </c>
      <c r="N60" s="60"/>
    </row>
    <row r="61" spans="1:14">
      <c r="A61" s="60">
        <v>22</v>
      </c>
      <c r="B61" s="60" t="s">
        <v>432</v>
      </c>
      <c r="C61" s="60" t="s">
        <v>24</v>
      </c>
      <c r="D61" s="24">
        <v>97</v>
      </c>
      <c r="E61" s="24">
        <v>247</v>
      </c>
      <c r="F61" s="24">
        <v>97</v>
      </c>
      <c r="G61" s="24">
        <v>247</v>
      </c>
      <c r="H61" s="60">
        <v>-60.73</v>
      </c>
      <c r="I61" s="60">
        <v>-60.73</v>
      </c>
      <c r="J61" s="60">
        <v>1.27</v>
      </c>
      <c r="K61" s="60">
        <v>1.27</v>
      </c>
      <c r="L61" s="60">
        <v>2.35</v>
      </c>
      <c r="M61" s="60">
        <v>2.35</v>
      </c>
      <c r="N61" s="60"/>
    </row>
    <row r="62" spans="1:14">
      <c r="A62" s="60">
        <v>23</v>
      </c>
      <c r="B62" s="60" t="s">
        <v>64</v>
      </c>
      <c r="C62" s="60" t="s">
        <v>24</v>
      </c>
      <c r="D62" s="24">
        <v>96</v>
      </c>
      <c r="E62" s="24">
        <v>3</v>
      </c>
      <c r="F62" s="24">
        <v>96</v>
      </c>
      <c r="G62" s="24">
        <v>3</v>
      </c>
      <c r="H62" s="60">
        <v>3100</v>
      </c>
      <c r="I62" s="60">
        <v>3100</v>
      </c>
      <c r="J62" s="60">
        <v>1.26</v>
      </c>
      <c r="K62" s="60">
        <v>1.26</v>
      </c>
      <c r="L62" s="60">
        <v>0.03</v>
      </c>
      <c r="M62" s="60">
        <v>0.03</v>
      </c>
      <c r="N62" s="60"/>
    </row>
    <row r="63" spans="1:14" hidden="1">
      <c r="A63" s="60">
        <v>24</v>
      </c>
      <c r="B63" s="60" t="s">
        <v>1023</v>
      </c>
      <c r="C63" s="60" t="s">
        <v>23</v>
      </c>
      <c r="D63" s="24">
        <v>85</v>
      </c>
      <c r="E63" s="24">
        <v>0</v>
      </c>
      <c r="F63" s="24">
        <v>85</v>
      </c>
      <c r="G63" s="24">
        <v>0</v>
      </c>
      <c r="H63" s="60">
        <v>0</v>
      </c>
      <c r="I63" s="60">
        <v>0</v>
      </c>
      <c r="J63" s="60">
        <v>1.1100000000000001</v>
      </c>
      <c r="K63" s="60">
        <v>1.1100000000000001</v>
      </c>
      <c r="L63" s="60">
        <v>0</v>
      </c>
      <c r="M63" s="60">
        <v>0</v>
      </c>
      <c r="N63" s="60"/>
    </row>
    <row r="64" spans="1:14" hidden="1">
      <c r="A64" s="60">
        <v>25</v>
      </c>
      <c r="B64" s="60" t="s">
        <v>460</v>
      </c>
      <c r="C64" s="60" t="s">
        <v>23</v>
      </c>
      <c r="D64" s="24">
        <v>84</v>
      </c>
      <c r="E64" s="24">
        <v>64</v>
      </c>
      <c r="F64" s="24">
        <v>84</v>
      </c>
      <c r="G64" s="24">
        <v>64</v>
      </c>
      <c r="H64" s="60">
        <v>31.25</v>
      </c>
      <c r="I64" s="60">
        <v>31.25</v>
      </c>
      <c r="J64" s="60">
        <v>1.1000000000000001</v>
      </c>
      <c r="K64" s="60">
        <v>1.1000000000000001</v>
      </c>
      <c r="L64" s="60">
        <v>0.61</v>
      </c>
      <c r="M64" s="60">
        <v>0.61</v>
      </c>
      <c r="N64" s="60"/>
    </row>
    <row r="65" spans="1:14">
      <c r="A65" s="60">
        <v>26</v>
      </c>
      <c r="B65" s="60" t="s">
        <v>683</v>
      </c>
      <c r="C65" s="60" t="s">
        <v>24</v>
      </c>
      <c r="D65" s="24">
        <v>84</v>
      </c>
      <c r="E65" s="24">
        <v>2</v>
      </c>
      <c r="F65" s="24">
        <v>84</v>
      </c>
      <c r="G65" s="24">
        <v>2</v>
      </c>
      <c r="H65" s="60">
        <v>4100</v>
      </c>
      <c r="I65" s="60">
        <v>4100</v>
      </c>
      <c r="J65" s="60">
        <v>1.1000000000000001</v>
      </c>
      <c r="K65" s="60">
        <v>1.1000000000000001</v>
      </c>
      <c r="L65" s="60">
        <v>0.02</v>
      </c>
      <c r="M65" s="60">
        <v>0.02</v>
      </c>
      <c r="N65" s="60"/>
    </row>
    <row r="66" spans="1:14" hidden="1">
      <c r="A66" s="60">
        <v>27</v>
      </c>
      <c r="B66" s="60" t="s">
        <v>422</v>
      </c>
      <c r="C66" s="60" t="s">
        <v>23</v>
      </c>
      <c r="D66" s="24">
        <v>82</v>
      </c>
      <c r="E66" s="24">
        <v>106</v>
      </c>
      <c r="F66" s="24">
        <v>82</v>
      </c>
      <c r="G66" s="24">
        <v>106</v>
      </c>
      <c r="H66" s="60">
        <v>-22.64</v>
      </c>
      <c r="I66" s="60">
        <v>-22.64</v>
      </c>
      <c r="J66" s="60">
        <v>1.07</v>
      </c>
      <c r="K66" s="60">
        <v>1.07</v>
      </c>
      <c r="L66" s="60">
        <v>1.01</v>
      </c>
      <c r="M66" s="60">
        <v>1.01</v>
      </c>
      <c r="N66" s="60"/>
    </row>
    <row r="67" spans="1:14" hidden="1">
      <c r="A67" s="60">
        <v>28</v>
      </c>
      <c r="B67" s="60" t="s">
        <v>522</v>
      </c>
      <c r="C67" s="60" t="s">
        <v>23</v>
      </c>
      <c r="D67" s="24">
        <v>81</v>
      </c>
      <c r="E67" s="24">
        <v>21</v>
      </c>
      <c r="F67" s="24">
        <v>81</v>
      </c>
      <c r="G67" s="24">
        <v>21</v>
      </c>
      <c r="H67" s="60">
        <v>285.70999999999998</v>
      </c>
      <c r="I67" s="60">
        <v>285.70999999999998</v>
      </c>
      <c r="J67" s="60">
        <v>1.06</v>
      </c>
      <c r="K67" s="60">
        <v>1.06</v>
      </c>
      <c r="L67" s="60">
        <v>0.2</v>
      </c>
      <c r="M67" s="60">
        <v>0.2</v>
      </c>
      <c r="N67" s="60"/>
    </row>
    <row r="68" spans="1:14">
      <c r="A68" s="60">
        <v>29</v>
      </c>
      <c r="B68" s="60" t="s">
        <v>731</v>
      </c>
      <c r="C68" s="60" t="s">
        <v>24</v>
      </c>
      <c r="D68" s="24">
        <v>81</v>
      </c>
      <c r="E68" s="24">
        <v>0</v>
      </c>
      <c r="F68" s="24">
        <v>81</v>
      </c>
      <c r="G68" s="24">
        <v>0</v>
      </c>
      <c r="H68" s="60">
        <v>0</v>
      </c>
      <c r="I68" s="60">
        <v>0</v>
      </c>
      <c r="J68" s="60">
        <v>1.06</v>
      </c>
      <c r="K68" s="60">
        <v>1.06</v>
      </c>
      <c r="L68" s="60">
        <v>0</v>
      </c>
      <c r="M68" s="60">
        <v>0</v>
      </c>
      <c r="N68" s="60"/>
    </row>
    <row r="69" spans="1:14">
      <c r="A69" s="60">
        <v>30</v>
      </c>
      <c r="B69" s="60" t="s">
        <v>440</v>
      </c>
      <c r="C69" s="60" t="s">
        <v>24</v>
      </c>
      <c r="D69" s="24">
        <v>79</v>
      </c>
      <c r="E69" s="24">
        <v>136</v>
      </c>
      <c r="F69" s="24">
        <v>79</v>
      </c>
      <c r="G69" s="24">
        <v>136</v>
      </c>
      <c r="H69" s="60">
        <v>-41.91</v>
      </c>
      <c r="I69" s="60">
        <v>-41.91</v>
      </c>
      <c r="J69" s="60">
        <v>1.04</v>
      </c>
      <c r="K69" s="60">
        <v>1.04</v>
      </c>
      <c r="L69" s="60">
        <v>1.29</v>
      </c>
      <c r="M69" s="60">
        <v>1.29</v>
      </c>
      <c r="N69" s="60"/>
    </row>
    <row r="70" spans="1:14">
      <c r="A70" s="60">
        <v>31</v>
      </c>
      <c r="B70" s="60" t="s">
        <v>103</v>
      </c>
      <c r="C70" s="60" t="s">
        <v>24</v>
      </c>
      <c r="D70" s="24">
        <v>72</v>
      </c>
      <c r="E70" s="24">
        <v>255</v>
      </c>
      <c r="F70" s="24">
        <v>72</v>
      </c>
      <c r="G70" s="24">
        <v>255</v>
      </c>
      <c r="H70" s="60">
        <v>-71.760000000000005</v>
      </c>
      <c r="I70" s="60">
        <v>-71.760000000000005</v>
      </c>
      <c r="J70" s="60">
        <v>0.94</v>
      </c>
      <c r="K70" s="60">
        <v>0.94</v>
      </c>
      <c r="L70" s="60">
        <v>2.42</v>
      </c>
      <c r="M70" s="60">
        <v>2.42</v>
      </c>
      <c r="N70" s="60"/>
    </row>
    <row r="71" spans="1:14" hidden="1">
      <c r="A71" s="60">
        <v>32</v>
      </c>
      <c r="B71" s="60" t="s">
        <v>382</v>
      </c>
      <c r="C71" s="60" t="s">
        <v>23</v>
      </c>
      <c r="D71" s="24">
        <v>68</v>
      </c>
      <c r="E71" s="24">
        <v>4</v>
      </c>
      <c r="F71" s="24">
        <v>68</v>
      </c>
      <c r="G71" s="24">
        <v>4</v>
      </c>
      <c r="H71" s="60">
        <v>1600</v>
      </c>
      <c r="I71" s="60">
        <v>1600</v>
      </c>
      <c r="J71" s="60">
        <v>0.89</v>
      </c>
      <c r="K71" s="60">
        <v>0.89</v>
      </c>
      <c r="L71" s="60">
        <v>0.04</v>
      </c>
      <c r="M71" s="60">
        <v>0.04</v>
      </c>
      <c r="N71" s="60"/>
    </row>
    <row r="72" spans="1:14" hidden="1">
      <c r="A72" s="60">
        <v>33</v>
      </c>
      <c r="B72" s="60" t="s">
        <v>246</v>
      </c>
      <c r="C72" s="60" t="s">
        <v>23</v>
      </c>
      <c r="D72" s="24">
        <v>62</v>
      </c>
      <c r="E72" s="24">
        <v>0</v>
      </c>
      <c r="F72" s="24">
        <v>62</v>
      </c>
      <c r="G72" s="24">
        <v>0</v>
      </c>
      <c r="H72" s="60">
        <v>0</v>
      </c>
      <c r="I72" s="60">
        <v>0</v>
      </c>
      <c r="J72" s="60">
        <v>0.81</v>
      </c>
      <c r="K72" s="60">
        <v>0.81</v>
      </c>
      <c r="L72" s="60">
        <v>0</v>
      </c>
      <c r="M72" s="60">
        <v>0</v>
      </c>
      <c r="N72" s="60"/>
    </row>
    <row r="73" spans="1:14">
      <c r="A73" s="60">
        <v>34</v>
      </c>
      <c r="B73" s="60" t="s">
        <v>446</v>
      </c>
      <c r="C73" s="60" t="s">
        <v>24</v>
      </c>
      <c r="D73" s="24">
        <v>59</v>
      </c>
      <c r="E73" s="24">
        <v>117</v>
      </c>
      <c r="F73" s="24">
        <v>59</v>
      </c>
      <c r="G73" s="24">
        <v>117</v>
      </c>
      <c r="H73" s="60">
        <v>-49.57</v>
      </c>
      <c r="I73" s="60">
        <v>-49.57</v>
      </c>
      <c r="J73" s="60">
        <v>0.77</v>
      </c>
      <c r="K73" s="60">
        <v>0.77</v>
      </c>
      <c r="L73" s="60">
        <v>1.1100000000000001</v>
      </c>
      <c r="M73" s="60">
        <v>1.1100000000000001</v>
      </c>
      <c r="N73" s="60"/>
    </row>
    <row r="74" spans="1:14" hidden="1">
      <c r="A74" s="60">
        <v>35</v>
      </c>
      <c r="B74" s="60" t="s">
        <v>681</v>
      </c>
      <c r="C74" s="60" t="s">
        <v>23</v>
      </c>
      <c r="D74" s="24">
        <v>58</v>
      </c>
      <c r="E74" s="24">
        <v>5</v>
      </c>
      <c r="F74" s="24">
        <v>58</v>
      </c>
      <c r="G74" s="24">
        <v>5</v>
      </c>
      <c r="H74" s="60">
        <v>1060</v>
      </c>
      <c r="I74" s="60">
        <v>1060</v>
      </c>
      <c r="J74" s="60">
        <v>0.76</v>
      </c>
      <c r="K74" s="60">
        <v>0.76</v>
      </c>
      <c r="L74" s="60">
        <v>0.05</v>
      </c>
      <c r="M74" s="60">
        <v>0.05</v>
      </c>
      <c r="N74" s="60"/>
    </row>
    <row r="75" spans="1:14">
      <c r="A75" s="60">
        <v>36</v>
      </c>
      <c r="B75" s="60" t="s">
        <v>108</v>
      </c>
      <c r="C75" s="60" t="s">
        <v>24</v>
      </c>
      <c r="D75" s="24">
        <v>57</v>
      </c>
      <c r="E75" s="24">
        <v>68</v>
      </c>
      <c r="F75" s="24">
        <v>57</v>
      </c>
      <c r="G75" s="24">
        <v>68</v>
      </c>
      <c r="H75" s="60">
        <v>-16.18</v>
      </c>
      <c r="I75" s="60">
        <v>-16.18</v>
      </c>
      <c r="J75" s="60">
        <v>0.75</v>
      </c>
      <c r="K75" s="60">
        <v>0.75</v>
      </c>
      <c r="L75" s="60">
        <v>0.65</v>
      </c>
      <c r="M75" s="60">
        <v>0.65</v>
      </c>
      <c r="N75" s="60"/>
    </row>
    <row r="76" spans="1:14" hidden="1">
      <c r="A76" s="60">
        <v>37</v>
      </c>
      <c r="B76" s="60" t="s">
        <v>400</v>
      </c>
      <c r="C76" s="60" t="s">
        <v>23</v>
      </c>
      <c r="D76" s="24">
        <v>57</v>
      </c>
      <c r="E76" s="24">
        <v>66</v>
      </c>
      <c r="F76" s="24">
        <v>57</v>
      </c>
      <c r="G76" s="24">
        <v>66</v>
      </c>
      <c r="H76" s="60">
        <v>-13.64</v>
      </c>
      <c r="I76" s="60">
        <v>-13.64</v>
      </c>
      <c r="J76" s="60">
        <v>0.75</v>
      </c>
      <c r="K76" s="60">
        <v>0.75</v>
      </c>
      <c r="L76" s="60">
        <v>0.63</v>
      </c>
      <c r="M76" s="60">
        <v>0.63</v>
      </c>
      <c r="N76" s="60"/>
    </row>
    <row r="77" spans="1:14" hidden="1">
      <c r="A77" s="60">
        <v>38</v>
      </c>
      <c r="B77" s="60" t="s">
        <v>127</v>
      </c>
      <c r="C77" s="60" t="s">
        <v>23</v>
      </c>
      <c r="D77" s="24">
        <v>57</v>
      </c>
      <c r="E77" s="24">
        <v>62</v>
      </c>
      <c r="F77" s="24">
        <v>57</v>
      </c>
      <c r="G77" s="24">
        <v>62</v>
      </c>
      <c r="H77" s="60">
        <v>-8.06</v>
      </c>
      <c r="I77" s="60">
        <v>-8.06</v>
      </c>
      <c r="J77" s="60">
        <v>0.75</v>
      </c>
      <c r="K77" s="60">
        <v>0.75</v>
      </c>
      <c r="L77" s="60">
        <v>0.59</v>
      </c>
      <c r="M77" s="60">
        <v>0.59</v>
      </c>
      <c r="N77" s="60"/>
    </row>
    <row r="78" spans="1:14">
      <c r="A78" s="60">
        <v>39</v>
      </c>
      <c r="B78" s="60" t="s">
        <v>728</v>
      </c>
      <c r="C78" s="60" t="s">
        <v>24</v>
      </c>
      <c r="D78" s="24">
        <v>57</v>
      </c>
      <c r="E78" s="24">
        <v>0</v>
      </c>
      <c r="F78" s="24">
        <v>57</v>
      </c>
      <c r="G78" s="24">
        <v>0</v>
      </c>
      <c r="H78" s="60">
        <v>0</v>
      </c>
      <c r="I78" s="60">
        <v>0</v>
      </c>
      <c r="J78" s="60">
        <v>0.75</v>
      </c>
      <c r="K78" s="60">
        <v>0.75</v>
      </c>
      <c r="L78" s="60">
        <v>0</v>
      </c>
      <c r="M78" s="60">
        <v>0</v>
      </c>
      <c r="N78" s="60"/>
    </row>
    <row r="79" spans="1:14" hidden="1">
      <c r="A79" s="60">
        <v>40</v>
      </c>
      <c r="B79" s="60" t="s">
        <v>398</v>
      </c>
      <c r="C79" s="60" t="s">
        <v>23</v>
      </c>
      <c r="D79" s="24">
        <v>55</v>
      </c>
      <c r="E79" s="24">
        <v>107</v>
      </c>
      <c r="F79" s="24">
        <v>55</v>
      </c>
      <c r="G79" s="24">
        <v>107</v>
      </c>
      <c r="H79" s="60">
        <v>-48.6</v>
      </c>
      <c r="I79" s="60">
        <v>-48.6</v>
      </c>
      <c r="J79" s="60">
        <v>0.72</v>
      </c>
      <c r="K79" s="60">
        <v>0.72</v>
      </c>
      <c r="L79" s="60">
        <v>1.02</v>
      </c>
      <c r="M79" s="60">
        <v>1.02</v>
      </c>
      <c r="N79" s="60"/>
    </row>
    <row r="80" spans="1:14">
      <c r="A80" s="60">
        <v>41</v>
      </c>
      <c r="B80" s="60" t="s">
        <v>675</v>
      </c>
      <c r="C80" s="60" t="s">
        <v>24</v>
      </c>
      <c r="D80" s="24">
        <v>55</v>
      </c>
      <c r="E80" s="24">
        <v>19</v>
      </c>
      <c r="F80" s="24">
        <v>55</v>
      </c>
      <c r="G80" s="24">
        <v>19</v>
      </c>
      <c r="H80" s="60">
        <v>189.47</v>
      </c>
      <c r="I80" s="60">
        <v>189.47</v>
      </c>
      <c r="J80" s="60">
        <v>0.72</v>
      </c>
      <c r="K80" s="60">
        <v>0.72</v>
      </c>
      <c r="L80" s="60">
        <v>0.18</v>
      </c>
      <c r="M80" s="60">
        <v>0.18</v>
      </c>
      <c r="N80" s="60"/>
    </row>
    <row r="81" spans="1:14">
      <c r="A81" s="60">
        <v>42</v>
      </c>
      <c r="B81" s="60" t="s">
        <v>622</v>
      </c>
      <c r="C81" s="60" t="s">
        <v>24</v>
      </c>
      <c r="D81" s="24">
        <v>49</v>
      </c>
      <c r="E81" s="24">
        <v>48</v>
      </c>
      <c r="F81" s="24">
        <v>49</v>
      </c>
      <c r="G81" s="24">
        <v>48</v>
      </c>
      <c r="H81" s="60">
        <v>2.08</v>
      </c>
      <c r="I81" s="60">
        <v>2.08</v>
      </c>
      <c r="J81" s="60">
        <v>0.64</v>
      </c>
      <c r="K81" s="60">
        <v>0.64</v>
      </c>
      <c r="L81" s="60">
        <v>0.46</v>
      </c>
      <c r="M81" s="60">
        <v>0.46</v>
      </c>
      <c r="N81" s="60"/>
    </row>
    <row r="82" spans="1:14">
      <c r="A82" s="60">
        <v>43</v>
      </c>
      <c r="B82" s="60" t="s">
        <v>434</v>
      </c>
      <c r="C82" s="60" t="s">
        <v>24</v>
      </c>
      <c r="D82" s="24">
        <v>48</v>
      </c>
      <c r="E82" s="24">
        <v>57</v>
      </c>
      <c r="F82" s="24">
        <v>48</v>
      </c>
      <c r="G82" s="24">
        <v>57</v>
      </c>
      <c r="H82" s="60">
        <v>-15.79</v>
      </c>
      <c r="I82" s="60">
        <v>-15.79</v>
      </c>
      <c r="J82" s="60">
        <v>0.63</v>
      </c>
      <c r="K82" s="60">
        <v>0.63</v>
      </c>
      <c r="L82" s="60">
        <v>0.54</v>
      </c>
      <c r="M82" s="60">
        <v>0.54</v>
      </c>
      <c r="N82" s="60"/>
    </row>
    <row r="83" spans="1:14">
      <c r="A83" s="60">
        <v>44</v>
      </c>
      <c r="B83" s="60" t="s">
        <v>736</v>
      </c>
      <c r="C83" s="60" t="s">
        <v>24</v>
      </c>
      <c r="D83" s="24">
        <v>45</v>
      </c>
      <c r="E83" s="24">
        <v>0</v>
      </c>
      <c r="F83" s="24">
        <v>45</v>
      </c>
      <c r="G83" s="24">
        <v>0</v>
      </c>
      <c r="H83" s="60">
        <v>0</v>
      </c>
      <c r="I83" s="60">
        <v>0</v>
      </c>
      <c r="J83" s="60">
        <v>0.59</v>
      </c>
      <c r="K83" s="60">
        <v>0.59</v>
      </c>
      <c r="L83" s="60">
        <v>0</v>
      </c>
      <c r="M83" s="60">
        <v>0</v>
      </c>
      <c r="N83" s="60"/>
    </row>
    <row r="84" spans="1:14" hidden="1">
      <c r="A84" s="60">
        <v>45</v>
      </c>
      <c r="B84" s="60" t="s">
        <v>239</v>
      </c>
      <c r="C84" s="60" t="s">
        <v>23</v>
      </c>
      <c r="D84" s="24">
        <v>44</v>
      </c>
      <c r="E84" s="24">
        <v>258</v>
      </c>
      <c r="F84" s="24">
        <v>44</v>
      </c>
      <c r="G84" s="24">
        <v>258</v>
      </c>
      <c r="H84" s="60">
        <v>-82.95</v>
      </c>
      <c r="I84" s="60">
        <v>-82.95</v>
      </c>
      <c r="J84" s="60">
        <v>0.57999999999999996</v>
      </c>
      <c r="K84" s="60">
        <v>0.57999999999999996</v>
      </c>
      <c r="L84" s="60">
        <v>2.4500000000000002</v>
      </c>
      <c r="M84" s="60">
        <v>2.4500000000000002</v>
      </c>
      <c r="N84" s="60"/>
    </row>
    <row r="85" spans="1:14">
      <c r="A85" s="60">
        <v>46</v>
      </c>
      <c r="B85" s="60" t="s">
        <v>528</v>
      </c>
      <c r="C85" s="60" t="s">
        <v>24</v>
      </c>
      <c r="D85" s="24">
        <v>42</v>
      </c>
      <c r="E85" s="24">
        <v>31</v>
      </c>
      <c r="F85" s="24">
        <v>42</v>
      </c>
      <c r="G85" s="24">
        <v>31</v>
      </c>
      <c r="H85" s="60">
        <v>35.479999999999997</v>
      </c>
      <c r="I85" s="60">
        <v>35.479999999999997</v>
      </c>
      <c r="J85" s="60">
        <v>0.55000000000000004</v>
      </c>
      <c r="K85" s="60">
        <v>0.55000000000000004</v>
      </c>
      <c r="L85" s="60">
        <v>0.28999999999999998</v>
      </c>
      <c r="M85" s="60">
        <v>0.28999999999999998</v>
      </c>
      <c r="N85" s="60"/>
    </row>
    <row r="86" spans="1:14" hidden="1">
      <c r="A86" s="60">
        <v>47</v>
      </c>
      <c r="B86" s="60" t="s">
        <v>401</v>
      </c>
      <c r="C86" s="60" t="s">
        <v>23</v>
      </c>
      <c r="D86" s="24">
        <v>39</v>
      </c>
      <c r="E86" s="24">
        <v>484</v>
      </c>
      <c r="F86" s="24">
        <v>39</v>
      </c>
      <c r="G86" s="24">
        <v>484</v>
      </c>
      <c r="H86" s="60">
        <v>-91.94</v>
      </c>
      <c r="I86" s="60">
        <v>-91.94</v>
      </c>
      <c r="J86" s="60">
        <v>0.51</v>
      </c>
      <c r="K86" s="60">
        <v>0.51</v>
      </c>
      <c r="L86" s="60">
        <v>4.5999999999999996</v>
      </c>
      <c r="M86" s="60">
        <v>4.5999999999999996</v>
      </c>
      <c r="N86" s="60"/>
    </row>
    <row r="87" spans="1:14">
      <c r="A87" s="60">
        <v>48</v>
      </c>
      <c r="B87" s="60" t="s">
        <v>677</v>
      </c>
      <c r="C87" s="60" t="s">
        <v>24</v>
      </c>
      <c r="D87" s="24">
        <v>39</v>
      </c>
      <c r="E87" s="24">
        <v>2</v>
      </c>
      <c r="F87" s="24">
        <v>39</v>
      </c>
      <c r="G87" s="24">
        <v>2</v>
      </c>
      <c r="H87" s="60">
        <v>1850</v>
      </c>
      <c r="I87" s="60">
        <v>1850</v>
      </c>
      <c r="J87" s="60">
        <v>0.51</v>
      </c>
      <c r="K87" s="60">
        <v>0.51</v>
      </c>
      <c r="L87" s="60">
        <v>0.02</v>
      </c>
      <c r="M87" s="60">
        <v>0.02</v>
      </c>
      <c r="N87" s="60"/>
    </row>
    <row r="88" spans="1:14">
      <c r="A88" s="60">
        <v>49</v>
      </c>
      <c r="B88" s="60" t="s">
        <v>733</v>
      </c>
      <c r="C88" s="60" t="s">
        <v>24</v>
      </c>
      <c r="D88" s="24">
        <v>38</v>
      </c>
      <c r="E88" s="24">
        <v>0</v>
      </c>
      <c r="F88" s="24">
        <v>38</v>
      </c>
      <c r="G88" s="24">
        <v>0</v>
      </c>
      <c r="H88" s="60">
        <v>0</v>
      </c>
      <c r="I88" s="60">
        <v>0</v>
      </c>
      <c r="J88" s="60">
        <v>0.5</v>
      </c>
      <c r="K88" s="60">
        <v>0.5</v>
      </c>
      <c r="L88" s="60">
        <v>0</v>
      </c>
      <c r="M88" s="60">
        <v>0</v>
      </c>
      <c r="N88" s="60"/>
    </row>
    <row r="89" spans="1:14">
      <c r="A89" s="60">
        <v>50</v>
      </c>
      <c r="B89" s="60" t="s">
        <v>148</v>
      </c>
      <c r="C89" s="60" t="s">
        <v>24</v>
      </c>
      <c r="D89" s="24">
        <v>35</v>
      </c>
      <c r="E89" s="24">
        <v>78</v>
      </c>
      <c r="F89" s="24">
        <v>35</v>
      </c>
      <c r="G89" s="24">
        <v>78</v>
      </c>
      <c r="H89" s="60">
        <v>-55.13</v>
      </c>
      <c r="I89" s="60">
        <v>-55.13</v>
      </c>
      <c r="J89" s="60">
        <v>0.46</v>
      </c>
      <c r="K89" s="60">
        <v>0.46</v>
      </c>
      <c r="L89" s="60">
        <v>0.74</v>
      </c>
      <c r="M89" s="60">
        <v>0.74</v>
      </c>
      <c r="N89" s="60"/>
    </row>
    <row r="90" spans="1:14">
      <c r="A90" s="60">
        <v>51</v>
      </c>
      <c r="B90" s="60" t="s">
        <v>1052</v>
      </c>
      <c r="C90" s="60" t="s">
        <v>24</v>
      </c>
      <c r="D90" s="24">
        <v>33</v>
      </c>
      <c r="E90" s="24">
        <v>0</v>
      </c>
      <c r="F90" s="24">
        <v>33</v>
      </c>
      <c r="G90" s="24">
        <v>0</v>
      </c>
      <c r="H90" s="60">
        <v>0</v>
      </c>
      <c r="I90" s="60">
        <v>0</v>
      </c>
      <c r="J90" s="60">
        <v>0.43</v>
      </c>
      <c r="K90" s="60">
        <v>0.43</v>
      </c>
      <c r="L90" s="60">
        <v>0</v>
      </c>
      <c r="M90" s="60">
        <v>0</v>
      </c>
      <c r="N90" s="60"/>
    </row>
    <row r="91" spans="1:14" hidden="1">
      <c r="A91" s="60">
        <v>52</v>
      </c>
      <c r="B91" s="60" t="s">
        <v>443</v>
      </c>
      <c r="C91" s="60" t="s">
        <v>23</v>
      </c>
      <c r="D91" s="24">
        <v>30</v>
      </c>
      <c r="E91" s="24">
        <v>47</v>
      </c>
      <c r="F91" s="24">
        <v>30</v>
      </c>
      <c r="G91" s="24">
        <v>47</v>
      </c>
      <c r="H91" s="60">
        <v>-36.17</v>
      </c>
      <c r="I91" s="60">
        <v>-36.17</v>
      </c>
      <c r="J91" s="60">
        <v>0.39</v>
      </c>
      <c r="K91" s="60">
        <v>0.39</v>
      </c>
      <c r="L91" s="60">
        <v>0.45</v>
      </c>
      <c r="M91" s="60">
        <v>0.45</v>
      </c>
      <c r="N91" s="60"/>
    </row>
    <row r="92" spans="1:14" hidden="1">
      <c r="A92" s="60">
        <v>53</v>
      </c>
      <c r="B92" s="60" t="s">
        <v>399</v>
      </c>
      <c r="C92" s="60" t="s">
        <v>23</v>
      </c>
      <c r="D92" s="24">
        <v>30</v>
      </c>
      <c r="E92" s="24">
        <v>10</v>
      </c>
      <c r="F92" s="24">
        <v>30</v>
      </c>
      <c r="G92" s="24">
        <v>10</v>
      </c>
      <c r="H92" s="68">
        <v>200</v>
      </c>
      <c r="I92" s="68">
        <v>200</v>
      </c>
      <c r="J92" s="60">
        <v>0.39</v>
      </c>
      <c r="K92" s="60">
        <v>0.39</v>
      </c>
      <c r="L92" s="60">
        <v>0.1</v>
      </c>
      <c r="M92" s="60">
        <v>0.1</v>
      </c>
      <c r="N92" s="60"/>
    </row>
    <row r="93" spans="1:14" hidden="1">
      <c r="A93" s="60">
        <v>54</v>
      </c>
      <c r="B93" s="60" t="s">
        <v>425</v>
      </c>
      <c r="C93" s="60" t="s">
        <v>23</v>
      </c>
      <c r="D93" s="24">
        <v>29</v>
      </c>
      <c r="E93" s="24">
        <v>10</v>
      </c>
      <c r="F93" s="24">
        <v>29</v>
      </c>
      <c r="G93" s="24">
        <v>10</v>
      </c>
      <c r="H93" s="87">
        <v>190</v>
      </c>
      <c r="I93" s="87">
        <v>190</v>
      </c>
      <c r="J93" s="60">
        <v>0.38</v>
      </c>
      <c r="K93" s="60">
        <v>0.38</v>
      </c>
      <c r="L93" s="60">
        <v>0.1</v>
      </c>
      <c r="M93" s="60">
        <v>0.1</v>
      </c>
      <c r="N93" s="60"/>
    </row>
    <row r="94" spans="1:14">
      <c r="A94" s="60">
        <v>55</v>
      </c>
      <c r="B94" s="60" t="s">
        <v>594</v>
      </c>
      <c r="C94" s="60" t="s">
        <v>24</v>
      </c>
      <c r="D94" s="24">
        <v>28</v>
      </c>
      <c r="E94" s="24">
        <v>55</v>
      </c>
      <c r="F94" s="24">
        <v>28</v>
      </c>
      <c r="G94" s="24">
        <v>55</v>
      </c>
      <c r="H94" s="60">
        <v>-49.09</v>
      </c>
      <c r="I94" s="60">
        <v>-49.09</v>
      </c>
      <c r="J94" s="60">
        <v>0.37</v>
      </c>
      <c r="K94" s="60">
        <v>0.37</v>
      </c>
      <c r="L94" s="60">
        <v>0.52</v>
      </c>
      <c r="M94" s="60">
        <v>0.52</v>
      </c>
      <c r="N94" s="60"/>
    </row>
    <row r="95" spans="1:14">
      <c r="A95" s="60">
        <v>56</v>
      </c>
      <c r="B95" s="60" t="s">
        <v>429</v>
      </c>
      <c r="C95" s="60" t="s">
        <v>24</v>
      </c>
      <c r="D95" s="24">
        <v>27</v>
      </c>
      <c r="E95" s="24">
        <v>82</v>
      </c>
      <c r="F95" s="24">
        <v>27</v>
      </c>
      <c r="G95" s="24">
        <v>82</v>
      </c>
      <c r="H95" s="60">
        <v>-67.069999999999993</v>
      </c>
      <c r="I95" s="60">
        <v>-67.069999999999993</v>
      </c>
      <c r="J95" s="60">
        <v>0.35</v>
      </c>
      <c r="K95" s="60">
        <v>0.35</v>
      </c>
      <c r="L95" s="60">
        <v>0.78</v>
      </c>
      <c r="M95" s="60">
        <v>0.78</v>
      </c>
      <c r="N95" s="60"/>
    </row>
    <row r="96" spans="1:14" hidden="1">
      <c r="A96" s="60">
        <v>57</v>
      </c>
      <c r="B96" s="60" t="s">
        <v>690</v>
      </c>
      <c r="C96" s="60" t="s">
        <v>23</v>
      </c>
      <c r="D96" s="24">
        <v>26</v>
      </c>
      <c r="E96" s="24">
        <v>13</v>
      </c>
      <c r="F96" s="24">
        <v>26</v>
      </c>
      <c r="G96" s="24">
        <v>13</v>
      </c>
      <c r="H96" s="60">
        <v>100</v>
      </c>
      <c r="I96" s="60">
        <v>100</v>
      </c>
      <c r="J96" s="60">
        <v>0.34</v>
      </c>
      <c r="K96" s="60">
        <v>0.34</v>
      </c>
      <c r="L96" s="60">
        <v>0.12</v>
      </c>
      <c r="M96" s="60">
        <v>0.12</v>
      </c>
      <c r="N96" s="60"/>
    </row>
    <row r="97" spans="1:14">
      <c r="A97" s="60">
        <v>58</v>
      </c>
      <c r="B97" s="60" t="s">
        <v>1051</v>
      </c>
      <c r="C97" s="60" t="s">
        <v>24</v>
      </c>
      <c r="D97" s="24">
        <v>26</v>
      </c>
      <c r="E97" s="24">
        <v>0</v>
      </c>
      <c r="F97" s="24">
        <v>26</v>
      </c>
      <c r="G97" s="24">
        <v>0</v>
      </c>
      <c r="H97" s="60">
        <v>0</v>
      </c>
      <c r="I97" s="60">
        <v>0</v>
      </c>
      <c r="J97" s="60">
        <v>0.34</v>
      </c>
      <c r="K97" s="60">
        <v>0.34</v>
      </c>
      <c r="L97" s="60">
        <v>0</v>
      </c>
      <c r="M97" s="60">
        <v>0</v>
      </c>
      <c r="N97" s="60"/>
    </row>
    <row r="98" spans="1:14" hidden="1">
      <c r="A98" s="60">
        <v>59</v>
      </c>
      <c r="B98" s="60" t="s">
        <v>418</v>
      </c>
      <c r="C98" s="60" t="s">
        <v>23</v>
      </c>
      <c r="D98" s="24">
        <v>25</v>
      </c>
      <c r="E98" s="24">
        <v>123</v>
      </c>
      <c r="F98" s="24">
        <v>25</v>
      </c>
      <c r="G98" s="24">
        <v>123</v>
      </c>
      <c r="H98" s="60">
        <v>-79.67</v>
      </c>
      <c r="I98" s="60">
        <v>-79.67</v>
      </c>
      <c r="J98" s="60">
        <v>0.33</v>
      </c>
      <c r="K98" s="60">
        <v>0.33</v>
      </c>
      <c r="L98" s="60">
        <v>1.17</v>
      </c>
      <c r="M98" s="60">
        <v>1.17</v>
      </c>
      <c r="N98" s="60"/>
    </row>
    <row r="99" spans="1:14" hidden="1">
      <c r="A99" s="60">
        <v>60</v>
      </c>
      <c r="B99" s="60" t="s">
        <v>523</v>
      </c>
      <c r="C99" s="60" t="s">
        <v>23</v>
      </c>
      <c r="D99" s="24">
        <v>24</v>
      </c>
      <c r="E99" s="24">
        <v>209</v>
      </c>
      <c r="F99" s="24">
        <v>24</v>
      </c>
      <c r="G99" s="24">
        <v>209</v>
      </c>
      <c r="H99" s="60">
        <v>-88.52</v>
      </c>
      <c r="I99" s="60">
        <v>-88.52</v>
      </c>
      <c r="J99" s="60">
        <v>0.31</v>
      </c>
      <c r="K99" s="60">
        <v>0.31</v>
      </c>
      <c r="L99" s="60">
        <v>1.99</v>
      </c>
      <c r="M99" s="60">
        <v>1.99</v>
      </c>
      <c r="N99" s="60"/>
    </row>
    <row r="100" spans="1:14">
      <c r="A100" s="60">
        <v>61</v>
      </c>
      <c r="B100" s="60" t="s">
        <v>88</v>
      </c>
      <c r="C100" s="60" t="s">
        <v>24</v>
      </c>
      <c r="D100" s="24">
        <v>24</v>
      </c>
      <c r="E100" s="24">
        <v>48</v>
      </c>
      <c r="F100" s="24">
        <v>24</v>
      </c>
      <c r="G100" s="24">
        <v>48</v>
      </c>
      <c r="H100" s="60">
        <v>-50</v>
      </c>
      <c r="I100" s="60">
        <v>-50</v>
      </c>
      <c r="J100" s="60">
        <v>0.31</v>
      </c>
      <c r="K100" s="60">
        <v>0.31</v>
      </c>
      <c r="L100" s="60">
        <v>0.46</v>
      </c>
      <c r="M100" s="60">
        <v>0.46</v>
      </c>
      <c r="N100" s="60"/>
    </row>
    <row r="101" spans="1:14">
      <c r="A101" s="60">
        <v>62</v>
      </c>
      <c r="B101" s="60" t="s">
        <v>697</v>
      </c>
      <c r="C101" s="60" t="s">
        <v>24</v>
      </c>
      <c r="D101" s="24">
        <v>23</v>
      </c>
      <c r="E101" s="24">
        <v>53</v>
      </c>
      <c r="F101" s="24">
        <v>23</v>
      </c>
      <c r="G101" s="24">
        <v>53</v>
      </c>
      <c r="H101" s="60">
        <v>-56.6</v>
      </c>
      <c r="I101" s="60">
        <v>-56.6</v>
      </c>
      <c r="J101" s="60">
        <v>0.3</v>
      </c>
      <c r="K101" s="60">
        <v>0.3</v>
      </c>
      <c r="L101" s="60">
        <v>0.5</v>
      </c>
      <c r="M101" s="60">
        <v>0.5</v>
      </c>
      <c r="N101" s="60"/>
    </row>
    <row r="102" spans="1:14" hidden="1">
      <c r="A102" s="60">
        <v>63</v>
      </c>
      <c r="B102" s="60" t="s">
        <v>433</v>
      </c>
      <c r="C102" s="60" t="s">
        <v>23</v>
      </c>
      <c r="D102" s="24">
        <v>23</v>
      </c>
      <c r="E102" s="24">
        <v>13</v>
      </c>
      <c r="F102" s="24">
        <v>23</v>
      </c>
      <c r="G102" s="24">
        <v>13</v>
      </c>
      <c r="H102" s="60">
        <v>76.92</v>
      </c>
      <c r="I102" s="60">
        <v>76.92</v>
      </c>
      <c r="J102" s="60">
        <v>0.3</v>
      </c>
      <c r="K102" s="60">
        <v>0.3</v>
      </c>
      <c r="L102" s="60">
        <v>0.12</v>
      </c>
      <c r="M102" s="60">
        <v>0.12</v>
      </c>
      <c r="N102" s="60"/>
    </row>
    <row r="103" spans="1:14" hidden="1">
      <c r="A103" s="60">
        <v>64</v>
      </c>
      <c r="B103" s="60" t="s">
        <v>240</v>
      </c>
      <c r="C103" s="60" t="s">
        <v>23</v>
      </c>
      <c r="D103" s="24">
        <v>21</v>
      </c>
      <c r="E103" s="24">
        <v>74</v>
      </c>
      <c r="F103" s="24">
        <v>21</v>
      </c>
      <c r="G103" s="24">
        <v>74</v>
      </c>
      <c r="H103" s="60">
        <v>-71.62</v>
      </c>
      <c r="I103" s="60">
        <v>-71.62</v>
      </c>
      <c r="J103" s="60">
        <v>0.28000000000000003</v>
      </c>
      <c r="K103" s="60">
        <v>0.28000000000000003</v>
      </c>
      <c r="L103" s="60">
        <v>0.7</v>
      </c>
      <c r="M103" s="60">
        <v>0.7</v>
      </c>
      <c r="N103" s="60"/>
    </row>
    <row r="104" spans="1:14">
      <c r="A104" s="60">
        <v>65</v>
      </c>
      <c r="B104" s="60" t="s">
        <v>676</v>
      </c>
      <c r="C104" s="60" t="s">
        <v>24</v>
      </c>
      <c r="D104" s="24">
        <v>21</v>
      </c>
      <c r="E104" s="24">
        <v>0</v>
      </c>
      <c r="F104" s="24">
        <v>21</v>
      </c>
      <c r="G104" s="24">
        <v>0</v>
      </c>
      <c r="H104" s="60">
        <v>0</v>
      </c>
      <c r="I104" s="60">
        <v>0</v>
      </c>
      <c r="J104" s="60">
        <v>0.28000000000000003</v>
      </c>
      <c r="K104" s="60">
        <v>0.28000000000000003</v>
      </c>
      <c r="L104" s="60">
        <v>0</v>
      </c>
      <c r="M104" s="60">
        <v>0</v>
      </c>
      <c r="N104" s="60"/>
    </row>
    <row r="105" spans="1:14" hidden="1">
      <c r="A105" s="60">
        <v>66</v>
      </c>
      <c r="B105" s="60" t="s">
        <v>376</v>
      </c>
      <c r="C105" s="60" t="s">
        <v>23</v>
      </c>
      <c r="D105" s="24">
        <v>20</v>
      </c>
      <c r="E105" s="24">
        <v>34</v>
      </c>
      <c r="F105" s="24">
        <v>20</v>
      </c>
      <c r="G105" s="24">
        <v>34</v>
      </c>
      <c r="H105" s="60">
        <v>-41.18</v>
      </c>
      <c r="I105" s="60">
        <v>-41.18</v>
      </c>
      <c r="J105" s="60">
        <v>0.26</v>
      </c>
      <c r="K105" s="60">
        <v>0.26</v>
      </c>
      <c r="L105" s="60">
        <v>0.32</v>
      </c>
      <c r="M105" s="60">
        <v>0.32</v>
      </c>
      <c r="N105" s="60"/>
    </row>
    <row r="106" spans="1:14" hidden="1">
      <c r="A106" s="60">
        <v>67</v>
      </c>
      <c r="B106" s="60" t="s">
        <v>1032</v>
      </c>
      <c r="C106" s="60" t="s">
        <v>23</v>
      </c>
      <c r="D106" s="24">
        <v>20</v>
      </c>
      <c r="E106" s="24">
        <v>0</v>
      </c>
      <c r="F106" s="24">
        <v>20</v>
      </c>
      <c r="G106" s="24">
        <v>0</v>
      </c>
      <c r="H106" s="60">
        <v>0</v>
      </c>
      <c r="I106" s="60">
        <v>0</v>
      </c>
      <c r="J106" s="60">
        <v>0.26</v>
      </c>
      <c r="K106" s="60">
        <v>0.26</v>
      </c>
      <c r="L106" s="60">
        <v>0</v>
      </c>
      <c r="M106" s="60">
        <v>0</v>
      </c>
      <c r="N106" s="60"/>
    </row>
    <row r="107" spans="1:14">
      <c r="A107" s="60">
        <v>68</v>
      </c>
      <c r="B107" s="60" t="s">
        <v>149</v>
      </c>
      <c r="C107" s="60" t="s">
        <v>24</v>
      </c>
      <c r="D107" s="24">
        <v>20</v>
      </c>
      <c r="E107" s="24">
        <v>0</v>
      </c>
      <c r="F107" s="24">
        <v>20</v>
      </c>
      <c r="G107" s="24">
        <v>0</v>
      </c>
      <c r="H107" s="60">
        <v>0</v>
      </c>
      <c r="I107" s="60">
        <v>0</v>
      </c>
      <c r="J107" s="60">
        <v>0.26</v>
      </c>
      <c r="K107" s="60">
        <v>0.26</v>
      </c>
      <c r="L107" s="60">
        <v>0</v>
      </c>
      <c r="M107" s="60">
        <v>0</v>
      </c>
      <c r="N107" s="60"/>
    </row>
    <row r="108" spans="1:14" hidden="1">
      <c r="A108" s="60">
        <v>69</v>
      </c>
      <c r="B108" s="60" t="s">
        <v>1087</v>
      </c>
      <c r="C108" s="60" t="s">
        <v>23</v>
      </c>
      <c r="D108" s="24">
        <v>19</v>
      </c>
      <c r="E108" s="24">
        <v>0</v>
      </c>
      <c r="F108" s="24">
        <v>19</v>
      </c>
      <c r="G108" s="24">
        <v>0</v>
      </c>
      <c r="H108" s="60">
        <v>0</v>
      </c>
      <c r="I108" s="60">
        <v>0</v>
      </c>
      <c r="J108" s="60">
        <v>0.25</v>
      </c>
      <c r="K108" s="60">
        <v>0.25</v>
      </c>
      <c r="L108" s="60">
        <v>0</v>
      </c>
      <c r="M108" s="60">
        <v>0</v>
      </c>
      <c r="N108" s="60"/>
    </row>
    <row r="109" spans="1:14">
      <c r="A109" s="60">
        <v>70</v>
      </c>
      <c r="B109" s="60" t="s">
        <v>607</v>
      </c>
      <c r="C109" s="60" t="s">
        <v>24</v>
      </c>
      <c r="D109" s="24">
        <v>18</v>
      </c>
      <c r="E109" s="24">
        <v>110</v>
      </c>
      <c r="F109" s="24">
        <v>18</v>
      </c>
      <c r="G109" s="24">
        <v>110</v>
      </c>
      <c r="H109" s="60">
        <v>-83.64</v>
      </c>
      <c r="I109" s="60">
        <v>-83.64</v>
      </c>
      <c r="J109" s="60">
        <v>0.24</v>
      </c>
      <c r="K109" s="60">
        <v>0.24</v>
      </c>
      <c r="L109" s="60">
        <v>1.05</v>
      </c>
      <c r="M109" s="60">
        <v>1.05</v>
      </c>
      <c r="N109" s="60"/>
    </row>
    <row r="110" spans="1:14" hidden="1">
      <c r="A110" s="60">
        <v>71</v>
      </c>
      <c r="B110" s="60" t="s">
        <v>247</v>
      </c>
      <c r="C110" s="60" t="s">
        <v>23</v>
      </c>
      <c r="D110" s="24">
        <v>18</v>
      </c>
      <c r="E110" s="24">
        <v>2</v>
      </c>
      <c r="F110" s="24">
        <v>18</v>
      </c>
      <c r="G110" s="24">
        <v>2</v>
      </c>
      <c r="H110" s="60">
        <v>800</v>
      </c>
      <c r="I110" s="60">
        <v>800</v>
      </c>
      <c r="J110" s="60">
        <v>0.24</v>
      </c>
      <c r="K110" s="60">
        <v>0.24</v>
      </c>
      <c r="L110" s="60">
        <v>0.02</v>
      </c>
      <c r="M110" s="60">
        <v>0.02</v>
      </c>
      <c r="N110" s="60"/>
    </row>
    <row r="111" spans="1:14">
      <c r="A111" s="60">
        <v>72</v>
      </c>
      <c r="B111" s="60" t="s">
        <v>1059</v>
      </c>
      <c r="C111" s="60" t="s">
        <v>24</v>
      </c>
      <c r="D111" s="24">
        <v>18</v>
      </c>
      <c r="E111" s="24">
        <v>0</v>
      </c>
      <c r="F111" s="24">
        <v>18</v>
      </c>
      <c r="G111" s="24">
        <v>0</v>
      </c>
      <c r="H111" s="60">
        <v>0</v>
      </c>
      <c r="I111" s="60">
        <v>0</v>
      </c>
      <c r="J111" s="60">
        <v>0.24</v>
      </c>
      <c r="K111" s="60">
        <v>0.24</v>
      </c>
      <c r="L111" s="60">
        <v>0</v>
      </c>
      <c r="M111" s="60">
        <v>0</v>
      </c>
      <c r="N111" s="60"/>
    </row>
    <row r="112" spans="1:14">
      <c r="A112" s="60">
        <v>73</v>
      </c>
      <c r="B112" s="60" t="s">
        <v>636</v>
      </c>
      <c r="C112" s="60" t="s">
        <v>24</v>
      </c>
      <c r="D112" s="24">
        <v>17</v>
      </c>
      <c r="E112" s="24">
        <v>112</v>
      </c>
      <c r="F112" s="24">
        <v>17</v>
      </c>
      <c r="G112" s="24">
        <v>112</v>
      </c>
      <c r="H112" s="60">
        <v>-84.82</v>
      </c>
      <c r="I112" s="60">
        <v>-84.82</v>
      </c>
      <c r="J112" s="60">
        <v>0.22</v>
      </c>
      <c r="K112" s="60">
        <v>0.22</v>
      </c>
      <c r="L112" s="60">
        <v>1.06</v>
      </c>
      <c r="M112" s="60">
        <v>1.06</v>
      </c>
      <c r="N112" s="60"/>
    </row>
    <row r="113" spans="1:14" hidden="1">
      <c r="A113" s="60">
        <v>74</v>
      </c>
      <c r="B113" s="60" t="s">
        <v>384</v>
      </c>
      <c r="C113" s="60" t="s">
        <v>23</v>
      </c>
      <c r="D113" s="24">
        <v>17</v>
      </c>
      <c r="E113" s="24">
        <v>66</v>
      </c>
      <c r="F113" s="24">
        <v>17</v>
      </c>
      <c r="G113" s="24">
        <v>66</v>
      </c>
      <c r="H113" s="60">
        <v>-74.239999999999995</v>
      </c>
      <c r="I113" s="60">
        <v>-74.239999999999995</v>
      </c>
      <c r="J113" s="60">
        <v>0.22</v>
      </c>
      <c r="K113" s="60">
        <v>0.22</v>
      </c>
      <c r="L113" s="60">
        <v>0.63</v>
      </c>
      <c r="M113" s="60">
        <v>0.63</v>
      </c>
      <c r="N113" s="60"/>
    </row>
    <row r="114" spans="1:14">
      <c r="A114" s="60">
        <v>75</v>
      </c>
      <c r="B114" s="60" t="s">
        <v>649</v>
      </c>
      <c r="C114" s="60" t="s">
        <v>24</v>
      </c>
      <c r="D114" s="24">
        <v>17</v>
      </c>
      <c r="E114" s="24">
        <v>40</v>
      </c>
      <c r="F114" s="24">
        <v>17</v>
      </c>
      <c r="G114" s="24">
        <v>40</v>
      </c>
      <c r="H114" s="60">
        <v>-57.5</v>
      </c>
      <c r="I114" s="60">
        <v>-57.5</v>
      </c>
      <c r="J114" s="60">
        <v>0.22</v>
      </c>
      <c r="K114" s="60">
        <v>0.22</v>
      </c>
      <c r="L114" s="60">
        <v>0.38</v>
      </c>
      <c r="M114" s="60">
        <v>0.38</v>
      </c>
      <c r="N114" s="60"/>
    </row>
    <row r="115" spans="1:14" hidden="1">
      <c r="A115" s="60">
        <v>76</v>
      </c>
      <c r="B115" s="60" t="s">
        <v>453</v>
      </c>
      <c r="C115" s="60" t="s">
        <v>23</v>
      </c>
      <c r="D115" s="24">
        <v>15</v>
      </c>
      <c r="E115" s="24">
        <v>178</v>
      </c>
      <c r="F115" s="24">
        <v>15</v>
      </c>
      <c r="G115" s="24">
        <v>178</v>
      </c>
      <c r="H115" s="60">
        <v>-91.57</v>
      </c>
      <c r="I115" s="60">
        <v>-91.57</v>
      </c>
      <c r="J115" s="60">
        <v>0.2</v>
      </c>
      <c r="K115" s="60">
        <v>0.2</v>
      </c>
      <c r="L115" s="60">
        <v>1.69</v>
      </c>
      <c r="M115" s="60">
        <v>1.69</v>
      </c>
      <c r="N115" s="60"/>
    </row>
    <row r="116" spans="1:14" hidden="1">
      <c r="A116" s="60">
        <v>77</v>
      </c>
      <c r="B116" s="60" t="s">
        <v>84</v>
      </c>
      <c r="C116" s="60" t="s">
        <v>23</v>
      </c>
      <c r="D116" s="24">
        <v>15</v>
      </c>
      <c r="E116" s="24">
        <v>48</v>
      </c>
      <c r="F116" s="24">
        <v>15</v>
      </c>
      <c r="G116" s="24">
        <v>48</v>
      </c>
      <c r="H116" s="60">
        <v>-68.75</v>
      </c>
      <c r="I116" s="60">
        <v>-68.75</v>
      </c>
      <c r="J116" s="60">
        <v>0.2</v>
      </c>
      <c r="K116" s="60">
        <v>0.2</v>
      </c>
      <c r="L116" s="60">
        <v>0.46</v>
      </c>
      <c r="M116" s="60">
        <v>0.46</v>
      </c>
      <c r="N116" s="60"/>
    </row>
    <row r="117" spans="1:14" hidden="1">
      <c r="A117" s="60">
        <v>78</v>
      </c>
      <c r="B117" s="60" t="s">
        <v>667</v>
      </c>
      <c r="C117" s="60" t="s">
        <v>23</v>
      </c>
      <c r="D117" s="24">
        <v>13</v>
      </c>
      <c r="E117" s="24">
        <v>39</v>
      </c>
      <c r="F117" s="24">
        <v>13</v>
      </c>
      <c r="G117" s="24">
        <v>39</v>
      </c>
      <c r="H117" s="60">
        <v>-66.67</v>
      </c>
      <c r="I117" s="60">
        <v>-66.67</v>
      </c>
      <c r="J117" s="60">
        <v>0.17</v>
      </c>
      <c r="K117" s="60">
        <v>0.17</v>
      </c>
      <c r="L117" s="60">
        <v>0.37</v>
      </c>
      <c r="M117" s="60">
        <v>0.37</v>
      </c>
      <c r="N117" s="60"/>
    </row>
    <row r="118" spans="1:14">
      <c r="A118" s="60">
        <v>79</v>
      </c>
      <c r="B118" s="60" t="s">
        <v>472</v>
      </c>
      <c r="C118" s="60" t="s">
        <v>24</v>
      </c>
      <c r="D118" s="24">
        <v>13</v>
      </c>
      <c r="E118" s="24">
        <v>1</v>
      </c>
      <c r="F118" s="24">
        <v>13</v>
      </c>
      <c r="G118" s="24">
        <v>1</v>
      </c>
      <c r="H118" s="60">
        <v>1200</v>
      </c>
      <c r="I118" s="60">
        <v>1200</v>
      </c>
      <c r="J118" s="60">
        <v>0.17</v>
      </c>
      <c r="K118" s="60">
        <v>0.17</v>
      </c>
      <c r="L118" s="60">
        <v>0.01</v>
      </c>
      <c r="M118" s="60">
        <v>0.01</v>
      </c>
      <c r="N118" s="60"/>
    </row>
    <row r="119" spans="1:14">
      <c r="A119" s="60">
        <v>80</v>
      </c>
      <c r="B119" s="60" t="s">
        <v>1025</v>
      </c>
      <c r="C119" s="60" t="s">
        <v>24</v>
      </c>
      <c r="D119" s="24">
        <v>13</v>
      </c>
      <c r="E119" s="24">
        <v>0</v>
      </c>
      <c r="F119" s="24">
        <v>13</v>
      </c>
      <c r="G119" s="24">
        <v>0</v>
      </c>
      <c r="H119" s="60">
        <v>0</v>
      </c>
      <c r="I119" s="60">
        <v>0</v>
      </c>
      <c r="J119" s="60">
        <v>0.17</v>
      </c>
      <c r="K119" s="60">
        <v>0.17</v>
      </c>
      <c r="L119" s="60">
        <v>0</v>
      </c>
      <c r="M119" s="60">
        <v>0</v>
      </c>
      <c r="N119" s="60"/>
    </row>
    <row r="120" spans="1:14">
      <c r="A120" s="60">
        <v>81</v>
      </c>
      <c r="B120" s="60" t="s">
        <v>426</v>
      </c>
      <c r="C120" s="60" t="s">
        <v>24</v>
      </c>
      <c r="D120" s="24">
        <v>12</v>
      </c>
      <c r="E120" s="24">
        <v>68</v>
      </c>
      <c r="F120" s="24">
        <v>12</v>
      </c>
      <c r="G120" s="24">
        <v>68</v>
      </c>
      <c r="H120" s="60">
        <v>-82.35</v>
      </c>
      <c r="I120" s="60">
        <v>-82.35</v>
      </c>
      <c r="J120" s="60">
        <v>0.16</v>
      </c>
      <c r="K120" s="60">
        <v>0.16</v>
      </c>
      <c r="L120" s="60">
        <v>0.65</v>
      </c>
      <c r="M120" s="60">
        <v>0.65</v>
      </c>
      <c r="N120" s="60"/>
    </row>
    <row r="121" spans="1:14">
      <c r="A121" s="60">
        <v>82</v>
      </c>
      <c r="B121" s="60" t="s">
        <v>676</v>
      </c>
      <c r="C121" s="60" t="s">
        <v>24</v>
      </c>
      <c r="D121" s="24">
        <v>12</v>
      </c>
      <c r="E121" s="24">
        <v>20</v>
      </c>
      <c r="F121" s="24">
        <v>12</v>
      </c>
      <c r="G121" s="24">
        <v>20</v>
      </c>
      <c r="H121" s="60">
        <v>-40</v>
      </c>
      <c r="I121" s="60">
        <v>-40</v>
      </c>
      <c r="J121" s="60">
        <v>0.16</v>
      </c>
      <c r="K121" s="60">
        <v>0.16</v>
      </c>
      <c r="L121" s="60">
        <v>0.19</v>
      </c>
      <c r="M121" s="60">
        <v>0.19</v>
      </c>
      <c r="N121" s="60"/>
    </row>
    <row r="122" spans="1:14" hidden="1">
      <c r="A122" s="60">
        <v>83</v>
      </c>
      <c r="B122" s="60" t="s">
        <v>430</v>
      </c>
      <c r="C122" s="60" t="s">
        <v>23</v>
      </c>
      <c r="D122" s="24">
        <v>11</v>
      </c>
      <c r="E122" s="24">
        <v>114</v>
      </c>
      <c r="F122" s="24">
        <v>11</v>
      </c>
      <c r="G122" s="24">
        <v>114</v>
      </c>
      <c r="H122" s="60">
        <v>-90.35</v>
      </c>
      <c r="I122" s="60">
        <v>-90.35</v>
      </c>
      <c r="J122" s="60">
        <v>0.14000000000000001</v>
      </c>
      <c r="K122" s="60">
        <v>0.14000000000000001</v>
      </c>
      <c r="L122" s="60">
        <v>1.08</v>
      </c>
      <c r="M122" s="60">
        <v>1.08</v>
      </c>
      <c r="N122" s="60"/>
    </row>
    <row r="123" spans="1:14">
      <c r="A123" s="60">
        <v>84</v>
      </c>
      <c r="B123" s="60" t="s">
        <v>424</v>
      </c>
      <c r="C123" s="60" t="s">
        <v>24</v>
      </c>
      <c r="D123" s="24">
        <v>11</v>
      </c>
      <c r="E123" s="24">
        <v>72</v>
      </c>
      <c r="F123" s="24">
        <v>11</v>
      </c>
      <c r="G123" s="24">
        <v>72</v>
      </c>
      <c r="H123" s="60">
        <v>-84.72</v>
      </c>
      <c r="I123" s="60">
        <v>-84.72</v>
      </c>
      <c r="J123" s="60">
        <v>0.14000000000000001</v>
      </c>
      <c r="K123" s="60">
        <v>0.14000000000000001</v>
      </c>
      <c r="L123" s="60">
        <v>0.68</v>
      </c>
      <c r="M123" s="60">
        <v>0.68</v>
      </c>
      <c r="N123" s="60"/>
    </row>
    <row r="124" spans="1:14" hidden="1">
      <c r="A124" s="60">
        <v>85</v>
      </c>
      <c r="B124" s="60" t="s">
        <v>165</v>
      </c>
      <c r="C124" s="60" t="s">
        <v>23</v>
      </c>
      <c r="D124" s="24">
        <v>11</v>
      </c>
      <c r="E124" s="24">
        <v>21</v>
      </c>
      <c r="F124" s="24">
        <v>11</v>
      </c>
      <c r="G124" s="24">
        <v>21</v>
      </c>
      <c r="H124" s="60">
        <v>-47.62</v>
      </c>
      <c r="I124" s="60">
        <v>-47.62</v>
      </c>
      <c r="J124" s="60">
        <v>0.14000000000000001</v>
      </c>
      <c r="K124" s="60">
        <v>0.14000000000000001</v>
      </c>
      <c r="L124" s="60">
        <v>0.2</v>
      </c>
      <c r="M124" s="60">
        <v>0.2</v>
      </c>
      <c r="N124" s="60"/>
    </row>
    <row r="125" spans="1:14">
      <c r="A125" s="60">
        <v>86</v>
      </c>
      <c r="B125" s="60" t="s">
        <v>698</v>
      </c>
      <c r="C125" s="60" t="s">
        <v>24</v>
      </c>
      <c r="D125" s="24">
        <v>11</v>
      </c>
      <c r="E125" s="24">
        <v>8</v>
      </c>
      <c r="F125" s="24">
        <v>11</v>
      </c>
      <c r="G125" s="24">
        <v>8</v>
      </c>
      <c r="H125" s="60">
        <v>37.5</v>
      </c>
      <c r="I125" s="60">
        <v>37.5</v>
      </c>
      <c r="J125" s="60">
        <v>0.14000000000000001</v>
      </c>
      <c r="K125" s="60">
        <v>0.14000000000000001</v>
      </c>
      <c r="L125" s="60">
        <v>0.08</v>
      </c>
      <c r="M125" s="60">
        <v>0.08</v>
      </c>
      <c r="N125" s="60"/>
    </row>
    <row r="126" spans="1:14" hidden="1">
      <c r="A126" s="60">
        <v>87</v>
      </c>
      <c r="B126" s="60" t="s">
        <v>79</v>
      </c>
      <c r="C126" s="60" t="s">
        <v>23</v>
      </c>
      <c r="D126" s="24">
        <v>10</v>
      </c>
      <c r="E126" s="24">
        <v>58</v>
      </c>
      <c r="F126" s="24">
        <v>10</v>
      </c>
      <c r="G126" s="24">
        <v>58</v>
      </c>
      <c r="H126" s="60">
        <v>-82.76</v>
      </c>
      <c r="I126" s="60">
        <v>-82.76</v>
      </c>
      <c r="J126" s="60">
        <v>0.13</v>
      </c>
      <c r="K126" s="60">
        <v>0.13</v>
      </c>
      <c r="L126" s="60">
        <v>0.55000000000000004</v>
      </c>
      <c r="M126" s="60">
        <v>0.55000000000000004</v>
      </c>
      <c r="N126" s="60"/>
    </row>
    <row r="127" spans="1:14" hidden="1">
      <c r="A127" s="60">
        <v>88</v>
      </c>
      <c r="B127" s="60" t="s">
        <v>634</v>
      </c>
      <c r="C127" s="60" t="s">
        <v>23</v>
      </c>
      <c r="D127" s="24">
        <v>10</v>
      </c>
      <c r="E127" s="24">
        <v>13</v>
      </c>
      <c r="F127" s="24">
        <v>10</v>
      </c>
      <c r="G127" s="24">
        <v>13</v>
      </c>
      <c r="H127" s="60">
        <v>-23.08</v>
      </c>
      <c r="I127" s="60">
        <v>-23.08</v>
      </c>
      <c r="J127" s="60">
        <v>0.13</v>
      </c>
      <c r="K127" s="60">
        <v>0.13</v>
      </c>
      <c r="L127" s="60">
        <v>0.12</v>
      </c>
      <c r="M127" s="60">
        <v>0.12</v>
      </c>
      <c r="N127" s="60"/>
    </row>
    <row r="128" spans="1:14">
      <c r="A128" s="60">
        <v>89</v>
      </c>
      <c r="B128" s="60" t="s">
        <v>1073</v>
      </c>
      <c r="C128" s="60" t="s">
        <v>24</v>
      </c>
      <c r="D128" s="24">
        <v>10</v>
      </c>
      <c r="E128" s="24">
        <v>0</v>
      </c>
      <c r="F128" s="24">
        <v>10</v>
      </c>
      <c r="G128" s="24">
        <v>0</v>
      </c>
      <c r="H128" s="60">
        <v>0</v>
      </c>
      <c r="I128" s="60">
        <v>0</v>
      </c>
      <c r="J128" s="60">
        <v>0.13</v>
      </c>
      <c r="K128" s="60">
        <v>0.13</v>
      </c>
      <c r="L128" s="60">
        <v>0</v>
      </c>
      <c r="M128" s="60">
        <v>0</v>
      </c>
      <c r="N128" s="60"/>
    </row>
    <row r="129" spans="1:14" hidden="1">
      <c r="A129" s="60">
        <v>90</v>
      </c>
      <c r="B129" s="60" t="s">
        <v>184</v>
      </c>
      <c r="C129" s="60" t="s">
        <v>23</v>
      </c>
      <c r="D129" s="24">
        <v>9</v>
      </c>
      <c r="E129" s="24">
        <v>49</v>
      </c>
      <c r="F129" s="24">
        <v>9</v>
      </c>
      <c r="G129" s="24">
        <v>49</v>
      </c>
      <c r="H129" s="60">
        <v>-81.63</v>
      </c>
      <c r="I129" s="60">
        <v>-81.63</v>
      </c>
      <c r="J129" s="60">
        <v>0.12</v>
      </c>
      <c r="K129" s="60">
        <v>0.12</v>
      </c>
      <c r="L129" s="60">
        <v>0.47</v>
      </c>
      <c r="M129" s="60">
        <v>0.47</v>
      </c>
      <c r="N129" s="60"/>
    </row>
    <row r="130" spans="1:14" hidden="1">
      <c r="A130" s="60">
        <v>91</v>
      </c>
      <c r="B130" s="60" t="s">
        <v>411</v>
      </c>
      <c r="C130" s="60" t="s">
        <v>23</v>
      </c>
      <c r="D130" s="24">
        <v>9</v>
      </c>
      <c r="E130" s="24">
        <v>14</v>
      </c>
      <c r="F130" s="24">
        <v>9</v>
      </c>
      <c r="G130" s="24">
        <v>14</v>
      </c>
      <c r="H130" s="60">
        <v>-35.71</v>
      </c>
      <c r="I130" s="60">
        <v>-35.71</v>
      </c>
      <c r="J130" s="60">
        <v>0.12</v>
      </c>
      <c r="K130" s="60">
        <v>0.12</v>
      </c>
      <c r="L130" s="60">
        <v>0.13</v>
      </c>
      <c r="M130" s="60">
        <v>0.13</v>
      </c>
      <c r="N130" s="60"/>
    </row>
    <row r="131" spans="1:14">
      <c r="A131" s="60">
        <v>92</v>
      </c>
      <c r="B131" s="60" t="s">
        <v>530</v>
      </c>
      <c r="C131" s="60" t="s">
        <v>24</v>
      </c>
      <c r="D131" s="24">
        <v>9</v>
      </c>
      <c r="E131" s="24">
        <v>3</v>
      </c>
      <c r="F131" s="24">
        <v>9</v>
      </c>
      <c r="G131" s="24">
        <v>3</v>
      </c>
      <c r="H131" s="60">
        <v>200</v>
      </c>
      <c r="I131" s="60">
        <v>200</v>
      </c>
      <c r="J131" s="60">
        <v>0.12</v>
      </c>
      <c r="K131" s="60">
        <v>0.12</v>
      </c>
      <c r="L131" s="60">
        <v>0.03</v>
      </c>
      <c r="M131" s="60">
        <v>0.03</v>
      </c>
      <c r="N131" s="60"/>
    </row>
    <row r="132" spans="1:14" hidden="1">
      <c r="A132" s="60">
        <v>93</v>
      </c>
      <c r="B132" s="60" t="s">
        <v>1074</v>
      </c>
      <c r="C132" s="60" t="s">
        <v>23</v>
      </c>
      <c r="D132" s="24">
        <v>9</v>
      </c>
      <c r="E132" s="24">
        <v>0</v>
      </c>
      <c r="F132" s="24">
        <v>9</v>
      </c>
      <c r="G132" s="24">
        <v>0</v>
      </c>
      <c r="H132" s="60">
        <v>0</v>
      </c>
      <c r="I132" s="60">
        <v>0</v>
      </c>
      <c r="J132" s="60">
        <v>0.12</v>
      </c>
      <c r="K132" s="60">
        <v>0.12</v>
      </c>
      <c r="L132" s="60">
        <v>0</v>
      </c>
      <c r="M132" s="60">
        <v>0</v>
      </c>
      <c r="N132" s="60"/>
    </row>
    <row r="133" spans="1:14">
      <c r="A133" s="60">
        <v>94</v>
      </c>
      <c r="B133" s="60" t="s">
        <v>727</v>
      </c>
      <c r="C133" s="60" t="s">
        <v>24</v>
      </c>
      <c r="D133" s="24">
        <v>9</v>
      </c>
      <c r="E133" s="24">
        <v>0</v>
      </c>
      <c r="F133" s="24">
        <v>9</v>
      </c>
      <c r="G133" s="24">
        <v>0</v>
      </c>
      <c r="H133" s="60">
        <v>0</v>
      </c>
      <c r="I133" s="60">
        <v>0</v>
      </c>
      <c r="J133" s="60">
        <v>0.12</v>
      </c>
      <c r="K133" s="60">
        <v>0.12</v>
      </c>
      <c r="L133" s="60">
        <v>0</v>
      </c>
      <c r="M133" s="60">
        <v>0</v>
      </c>
      <c r="N133" s="60"/>
    </row>
    <row r="134" spans="1:14">
      <c r="A134" s="60">
        <v>95</v>
      </c>
      <c r="B134" s="60" t="s">
        <v>1069</v>
      </c>
      <c r="C134" s="60" t="s">
        <v>24</v>
      </c>
      <c r="D134" s="24">
        <v>9</v>
      </c>
      <c r="E134" s="24">
        <v>0</v>
      </c>
      <c r="F134" s="24">
        <v>9</v>
      </c>
      <c r="G134" s="24">
        <v>0</v>
      </c>
      <c r="H134" s="60">
        <v>0</v>
      </c>
      <c r="I134" s="60">
        <v>0</v>
      </c>
      <c r="J134" s="60">
        <v>0.12</v>
      </c>
      <c r="K134" s="60">
        <v>0.12</v>
      </c>
      <c r="L134" s="60">
        <v>0</v>
      </c>
      <c r="M134" s="60">
        <v>0</v>
      </c>
      <c r="N134" s="60"/>
    </row>
    <row r="135" spans="1:14" hidden="1">
      <c r="A135" s="60">
        <v>96</v>
      </c>
      <c r="B135" s="60" t="s">
        <v>531</v>
      </c>
      <c r="C135" s="60" t="s">
        <v>23</v>
      </c>
      <c r="D135" s="24">
        <v>8</v>
      </c>
      <c r="E135" s="24">
        <v>28</v>
      </c>
      <c r="F135" s="24">
        <v>8</v>
      </c>
      <c r="G135" s="24">
        <v>28</v>
      </c>
      <c r="H135" s="60">
        <v>-71.430000000000007</v>
      </c>
      <c r="I135" s="60">
        <v>-71.430000000000007</v>
      </c>
      <c r="J135" s="60">
        <v>0.1</v>
      </c>
      <c r="K135" s="60">
        <v>0.1</v>
      </c>
      <c r="L135" s="60">
        <v>0.27</v>
      </c>
      <c r="M135" s="60">
        <v>0.27</v>
      </c>
      <c r="N135" s="60"/>
    </row>
    <row r="136" spans="1:14" hidden="1">
      <c r="A136" s="60">
        <v>97</v>
      </c>
      <c r="B136" s="60" t="s">
        <v>442</v>
      </c>
      <c r="C136" s="60" t="s">
        <v>23</v>
      </c>
      <c r="D136" s="24">
        <v>8</v>
      </c>
      <c r="E136" s="24">
        <v>19</v>
      </c>
      <c r="F136" s="24">
        <v>8</v>
      </c>
      <c r="G136" s="24">
        <v>19</v>
      </c>
      <c r="H136" s="60">
        <v>-57.89</v>
      </c>
      <c r="I136" s="60">
        <v>-57.89</v>
      </c>
      <c r="J136" s="60">
        <v>0.1</v>
      </c>
      <c r="K136" s="60">
        <v>0.1</v>
      </c>
      <c r="L136" s="60">
        <v>0.18</v>
      </c>
      <c r="M136" s="60">
        <v>0.18</v>
      </c>
      <c r="N136" s="60"/>
    </row>
    <row r="137" spans="1:14" hidden="1">
      <c r="A137" s="60">
        <v>98</v>
      </c>
      <c r="B137" s="60" t="s">
        <v>456</v>
      </c>
      <c r="C137" s="60" t="s">
        <v>23</v>
      </c>
      <c r="D137" s="24">
        <v>8</v>
      </c>
      <c r="E137" s="24">
        <v>3</v>
      </c>
      <c r="F137" s="24">
        <v>8</v>
      </c>
      <c r="G137" s="24">
        <v>3</v>
      </c>
      <c r="H137" s="60">
        <v>166.67</v>
      </c>
      <c r="I137" s="60">
        <v>166.67</v>
      </c>
      <c r="J137" s="60">
        <v>0.1</v>
      </c>
      <c r="K137" s="60">
        <v>0.1</v>
      </c>
      <c r="L137" s="60">
        <v>0.03</v>
      </c>
      <c r="M137" s="60">
        <v>0.03</v>
      </c>
      <c r="N137" s="60"/>
    </row>
    <row r="138" spans="1:14">
      <c r="A138" s="60">
        <v>99</v>
      </c>
      <c r="B138" s="60" t="s">
        <v>1110</v>
      </c>
      <c r="C138" s="60" t="s">
        <v>24</v>
      </c>
      <c r="D138" s="24">
        <v>8</v>
      </c>
      <c r="E138" s="24">
        <v>0</v>
      </c>
      <c r="F138" s="24">
        <v>8</v>
      </c>
      <c r="G138" s="24">
        <v>0</v>
      </c>
      <c r="H138" s="60">
        <v>0</v>
      </c>
      <c r="I138" s="60">
        <v>0</v>
      </c>
      <c r="J138" s="60">
        <v>0.1</v>
      </c>
      <c r="K138" s="60">
        <v>0.1</v>
      </c>
      <c r="L138" s="60">
        <v>0</v>
      </c>
      <c r="M138" s="60">
        <v>0</v>
      </c>
      <c r="N138" s="60"/>
    </row>
    <row r="139" spans="1:14" hidden="1">
      <c r="A139" s="60">
        <v>100</v>
      </c>
      <c r="B139" s="60" t="s">
        <v>623</v>
      </c>
      <c r="C139" s="60" t="s">
        <v>23</v>
      </c>
      <c r="D139" s="24">
        <v>7</v>
      </c>
      <c r="E139" s="24">
        <v>321</v>
      </c>
      <c r="F139" s="24">
        <v>7</v>
      </c>
      <c r="G139" s="24">
        <v>321</v>
      </c>
      <c r="H139" s="60">
        <v>-97.82</v>
      </c>
      <c r="I139" s="60">
        <v>-97.82</v>
      </c>
      <c r="J139" s="60">
        <v>0.09</v>
      </c>
      <c r="K139" s="60">
        <v>0.09</v>
      </c>
      <c r="L139" s="60">
        <v>3.05</v>
      </c>
      <c r="M139" s="60">
        <v>3.05</v>
      </c>
      <c r="N139" s="60"/>
    </row>
    <row r="140" spans="1:14" hidden="1">
      <c r="A140" s="60">
        <v>101</v>
      </c>
      <c r="B140" s="60" t="s">
        <v>439</v>
      </c>
      <c r="C140" s="60" t="s">
        <v>23</v>
      </c>
      <c r="D140" s="24">
        <v>7</v>
      </c>
      <c r="E140" s="24">
        <v>62</v>
      </c>
      <c r="F140" s="24">
        <v>7</v>
      </c>
      <c r="G140" s="24">
        <v>62</v>
      </c>
      <c r="H140" s="60">
        <v>-88.71</v>
      </c>
      <c r="I140" s="60">
        <v>-88.71</v>
      </c>
      <c r="J140" s="60">
        <v>0.09</v>
      </c>
      <c r="K140" s="60">
        <v>0.09</v>
      </c>
      <c r="L140" s="60">
        <v>0.59</v>
      </c>
      <c r="M140" s="60">
        <v>0.59</v>
      </c>
      <c r="N140" s="60"/>
    </row>
    <row r="141" spans="1:14" hidden="1">
      <c r="A141" s="60">
        <v>102</v>
      </c>
      <c r="B141" s="60" t="s">
        <v>586</v>
      </c>
      <c r="C141" s="60" t="s">
        <v>23</v>
      </c>
      <c r="D141" s="24">
        <v>7</v>
      </c>
      <c r="E141" s="24">
        <v>15</v>
      </c>
      <c r="F141" s="24">
        <v>7</v>
      </c>
      <c r="G141" s="24">
        <v>15</v>
      </c>
      <c r="H141" s="60">
        <v>-53.33</v>
      </c>
      <c r="I141" s="60">
        <v>-53.33</v>
      </c>
      <c r="J141" s="60">
        <v>0.09</v>
      </c>
      <c r="K141" s="60">
        <v>0.09</v>
      </c>
      <c r="L141" s="60">
        <v>0.14000000000000001</v>
      </c>
      <c r="M141" s="60">
        <v>0.14000000000000001</v>
      </c>
      <c r="N141" s="60"/>
    </row>
    <row r="142" spans="1:14">
      <c r="A142" s="60">
        <v>103</v>
      </c>
      <c r="B142" s="60" t="s">
        <v>1085</v>
      </c>
      <c r="C142" s="60" t="s">
        <v>24</v>
      </c>
      <c r="D142" s="24">
        <v>7</v>
      </c>
      <c r="E142" s="24">
        <v>0</v>
      </c>
      <c r="F142" s="24">
        <v>7</v>
      </c>
      <c r="G142" s="24">
        <v>0</v>
      </c>
      <c r="H142" s="60">
        <v>0</v>
      </c>
      <c r="I142" s="60">
        <v>0</v>
      </c>
      <c r="J142" s="60">
        <v>0.09</v>
      </c>
      <c r="K142" s="60">
        <v>0.09</v>
      </c>
      <c r="L142" s="60">
        <v>0</v>
      </c>
      <c r="M142" s="60">
        <v>0</v>
      </c>
      <c r="N142" s="60"/>
    </row>
    <row r="143" spans="1:14">
      <c r="A143" s="60">
        <v>104</v>
      </c>
      <c r="B143" s="60" t="s">
        <v>1081</v>
      </c>
      <c r="C143" s="60" t="s">
        <v>24</v>
      </c>
      <c r="D143" s="24">
        <v>7</v>
      </c>
      <c r="E143" s="24">
        <v>0</v>
      </c>
      <c r="F143" s="24">
        <v>7</v>
      </c>
      <c r="G143" s="24">
        <v>0</v>
      </c>
      <c r="H143" s="60">
        <v>0</v>
      </c>
      <c r="I143" s="60">
        <v>0</v>
      </c>
      <c r="J143" s="60">
        <v>0.09</v>
      </c>
      <c r="K143" s="60">
        <v>0.09</v>
      </c>
      <c r="L143" s="60">
        <v>0</v>
      </c>
      <c r="M143" s="60">
        <v>0</v>
      </c>
      <c r="N143" s="60"/>
    </row>
    <row r="144" spans="1:14" hidden="1">
      <c r="A144" s="60">
        <v>105</v>
      </c>
      <c r="B144" s="60" t="s">
        <v>684</v>
      </c>
      <c r="C144" s="60" t="s">
        <v>23</v>
      </c>
      <c r="D144" s="24">
        <v>6</v>
      </c>
      <c r="E144" s="24">
        <v>60</v>
      </c>
      <c r="F144" s="24">
        <v>6</v>
      </c>
      <c r="G144" s="24">
        <v>60</v>
      </c>
      <c r="H144" s="60">
        <v>-90</v>
      </c>
      <c r="I144" s="60">
        <v>-90</v>
      </c>
      <c r="J144" s="60">
        <v>0.08</v>
      </c>
      <c r="K144" s="60">
        <v>0.08</v>
      </c>
      <c r="L144" s="60">
        <v>0.56999999999999995</v>
      </c>
      <c r="M144" s="60">
        <v>0.56999999999999995</v>
      </c>
      <c r="N144" s="60"/>
    </row>
    <row r="145" spans="1:14">
      <c r="A145" s="60">
        <v>106</v>
      </c>
      <c r="B145" s="60" t="s">
        <v>592</v>
      </c>
      <c r="C145" s="60" t="s">
        <v>24</v>
      </c>
      <c r="D145" s="24">
        <v>6</v>
      </c>
      <c r="E145" s="24">
        <v>8</v>
      </c>
      <c r="F145" s="24">
        <v>6</v>
      </c>
      <c r="G145" s="24">
        <v>8</v>
      </c>
      <c r="H145" s="60">
        <v>-25</v>
      </c>
      <c r="I145" s="60">
        <v>-25</v>
      </c>
      <c r="J145" s="60">
        <v>0.08</v>
      </c>
      <c r="K145" s="60">
        <v>0.08</v>
      </c>
      <c r="L145" s="60">
        <v>0.08</v>
      </c>
      <c r="M145" s="60">
        <v>0.08</v>
      </c>
      <c r="N145" s="60"/>
    </row>
    <row r="146" spans="1:14">
      <c r="A146" s="60">
        <v>107</v>
      </c>
      <c r="B146" s="60" t="s">
        <v>533</v>
      </c>
      <c r="C146" s="60" t="s">
        <v>24</v>
      </c>
      <c r="D146" s="24">
        <v>6</v>
      </c>
      <c r="E146" s="24">
        <v>2</v>
      </c>
      <c r="F146" s="24">
        <v>6</v>
      </c>
      <c r="G146" s="24">
        <v>2</v>
      </c>
      <c r="H146" s="60">
        <v>200</v>
      </c>
      <c r="I146" s="60">
        <v>200</v>
      </c>
      <c r="J146" s="60">
        <v>0.08</v>
      </c>
      <c r="K146" s="60">
        <v>0.08</v>
      </c>
      <c r="L146" s="60">
        <v>0.02</v>
      </c>
      <c r="M146" s="60">
        <v>0.02</v>
      </c>
      <c r="N146" s="60"/>
    </row>
    <row r="147" spans="1:14">
      <c r="A147" s="60">
        <v>108</v>
      </c>
      <c r="B147" s="60" t="s">
        <v>691</v>
      </c>
      <c r="C147" s="60" t="s">
        <v>24</v>
      </c>
      <c r="D147" s="24">
        <v>6</v>
      </c>
      <c r="E147" s="24">
        <v>1</v>
      </c>
      <c r="F147" s="24">
        <v>6</v>
      </c>
      <c r="G147" s="24">
        <v>1</v>
      </c>
      <c r="H147" s="60">
        <v>500</v>
      </c>
      <c r="I147" s="60">
        <v>500</v>
      </c>
      <c r="J147" s="60">
        <v>0.08</v>
      </c>
      <c r="K147" s="60">
        <v>0.08</v>
      </c>
      <c r="L147" s="60">
        <v>0.01</v>
      </c>
      <c r="M147" s="60">
        <v>0.01</v>
      </c>
      <c r="N147" s="60"/>
    </row>
    <row r="148" spans="1:14" hidden="1">
      <c r="A148" s="60">
        <v>109</v>
      </c>
      <c r="B148" s="60" t="s">
        <v>49</v>
      </c>
      <c r="C148" s="60" t="s">
        <v>23</v>
      </c>
      <c r="D148" s="24">
        <v>5</v>
      </c>
      <c r="E148" s="24">
        <v>6</v>
      </c>
      <c r="F148" s="24">
        <v>5</v>
      </c>
      <c r="G148" s="24">
        <v>6</v>
      </c>
      <c r="H148" s="60">
        <v>-16.670000000000002</v>
      </c>
      <c r="I148" s="60">
        <v>-16.670000000000002</v>
      </c>
      <c r="J148" s="60">
        <v>7.0000000000000007E-2</v>
      </c>
      <c r="K148" s="60">
        <v>7.0000000000000007E-2</v>
      </c>
      <c r="L148" s="60">
        <v>0.06</v>
      </c>
      <c r="M148" s="60">
        <v>0.06</v>
      </c>
      <c r="N148" s="60"/>
    </row>
    <row r="149" spans="1:14" hidden="1">
      <c r="A149" s="60">
        <v>110</v>
      </c>
      <c r="B149" s="60" t="s">
        <v>137</v>
      </c>
      <c r="C149" s="60" t="s">
        <v>23</v>
      </c>
      <c r="D149" s="24">
        <v>5</v>
      </c>
      <c r="E149" s="24">
        <v>4</v>
      </c>
      <c r="F149" s="24">
        <v>5</v>
      </c>
      <c r="G149" s="24">
        <v>4</v>
      </c>
      <c r="H149" s="60">
        <v>25</v>
      </c>
      <c r="I149" s="60">
        <v>25</v>
      </c>
      <c r="J149" s="60">
        <v>7.0000000000000007E-2</v>
      </c>
      <c r="K149" s="60">
        <v>7.0000000000000007E-2</v>
      </c>
      <c r="L149" s="60">
        <v>0.04</v>
      </c>
      <c r="M149" s="60">
        <v>0.04</v>
      </c>
      <c r="N149" s="60"/>
    </row>
    <row r="150" spans="1:14" hidden="1">
      <c r="A150" s="60">
        <v>111</v>
      </c>
      <c r="B150" s="60" t="s">
        <v>647</v>
      </c>
      <c r="C150" s="60" t="s">
        <v>23</v>
      </c>
      <c r="D150" s="24">
        <v>5</v>
      </c>
      <c r="E150" s="24">
        <v>4</v>
      </c>
      <c r="F150" s="24">
        <v>5</v>
      </c>
      <c r="G150" s="24">
        <v>4</v>
      </c>
      <c r="H150" s="60">
        <v>25</v>
      </c>
      <c r="I150" s="60">
        <v>25</v>
      </c>
      <c r="J150" s="60">
        <v>7.0000000000000007E-2</v>
      </c>
      <c r="K150" s="60">
        <v>7.0000000000000007E-2</v>
      </c>
      <c r="L150" s="60">
        <v>0.04</v>
      </c>
      <c r="M150" s="60">
        <v>0.04</v>
      </c>
      <c r="N150" s="60"/>
    </row>
    <row r="151" spans="1:14" hidden="1">
      <c r="A151" s="60">
        <v>112</v>
      </c>
      <c r="B151" s="60" t="s">
        <v>457</v>
      </c>
      <c r="C151" s="60" t="s">
        <v>23</v>
      </c>
      <c r="D151" s="24">
        <v>4</v>
      </c>
      <c r="E151" s="24">
        <v>16</v>
      </c>
      <c r="F151" s="24">
        <v>4</v>
      </c>
      <c r="G151" s="24">
        <v>16</v>
      </c>
      <c r="H151" s="60">
        <v>-75</v>
      </c>
      <c r="I151" s="60">
        <v>-75</v>
      </c>
      <c r="J151" s="60">
        <v>0.05</v>
      </c>
      <c r="K151" s="60">
        <v>0.05</v>
      </c>
      <c r="L151" s="60">
        <v>0.15</v>
      </c>
      <c r="M151" s="60">
        <v>0.15</v>
      </c>
      <c r="N151" s="60"/>
    </row>
    <row r="152" spans="1:14">
      <c r="A152" s="60">
        <v>113</v>
      </c>
      <c r="B152" s="60" t="s">
        <v>462</v>
      </c>
      <c r="C152" s="60" t="s">
        <v>24</v>
      </c>
      <c r="D152" s="24">
        <v>4</v>
      </c>
      <c r="E152" s="24">
        <v>13</v>
      </c>
      <c r="F152" s="24">
        <v>4</v>
      </c>
      <c r="G152" s="24">
        <v>13</v>
      </c>
      <c r="H152" s="68">
        <v>-69.23</v>
      </c>
      <c r="I152" s="68">
        <v>-69.23</v>
      </c>
      <c r="J152" s="60">
        <v>0.05</v>
      </c>
      <c r="K152" s="60">
        <v>0.05</v>
      </c>
      <c r="L152" s="60">
        <v>0.12</v>
      </c>
      <c r="M152" s="60">
        <v>0.12</v>
      </c>
      <c r="N152" s="60"/>
    </row>
    <row r="153" spans="1:14" hidden="1">
      <c r="A153" s="60">
        <v>114</v>
      </c>
      <c r="B153" s="60" t="s">
        <v>451</v>
      </c>
      <c r="C153" s="60" t="s">
        <v>23</v>
      </c>
      <c r="D153" s="24">
        <v>4</v>
      </c>
      <c r="E153" s="24">
        <v>13</v>
      </c>
      <c r="F153" s="24">
        <v>4</v>
      </c>
      <c r="G153" s="24">
        <v>13</v>
      </c>
      <c r="H153" s="60">
        <v>-69.23</v>
      </c>
      <c r="I153" s="60">
        <v>-69.23</v>
      </c>
      <c r="J153" s="60">
        <v>0.05</v>
      </c>
      <c r="K153" s="60">
        <v>0.05</v>
      </c>
      <c r="L153" s="60">
        <v>0.12</v>
      </c>
      <c r="M153" s="60">
        <v>0.12</v>
      </c>
      <c r="N153" s="60"/>
    </row>
    <row r="154" spans="1:14">
      <c r="A154" s="60">
        <v>115</v>
      </c>
      <c r="B154" s="60" t="s">
        <v>427</v>
      </c>
      <c r="C154" s="60" t="s">
        <v>24</v>
      </c>
      <c r="D154" s="24">
        <v>4</v>
      </c>
      <c r="E154" s="24">
        <v>10</v>
      </c>
      <c r="F154" s="24">
        <v>4</v>
      </c>
      <c r="G154" s="24">
        <v>10</v>
      </c>
      <c r="H154" s="60">
        <v>-60</v>
      </c>
      <c r="I154" s="60">
        <v>-60</v>
      </c>
      <c r="J154" s="60">
        <v>0.05</v>
      </c>
      <c r="K154" s="60">
        <v>0.05</v>
      </c>
      <c r="L154" s="60">
        <v>0.1</v>
      </c>
      <c r="M154" s="60">
        <v>0.1</v>
      </c>
      <c r="N154" s="60"/>
    </row>
    <row r="155" spans="1:14" hidden="1">
      <c r="A155" s="60">
        <v>116</v>
      </c>
      <c r="B155" s="60" t="s">
        <v>741</v>
      </c>
      <c r="C155" s="60" t="s">
        <v>23</v>
      </c>
      <c r="D155" s="24">
        <v>4</v>
      </c>
      <c r="E155" s="24">
        <v>0</v>
      </c>
      <c r="F155" s="24">
        <v>4</v>
      </c>
      <c r="G155" s="24">
        <v>0</v>
      </c>
      <c r="H155" s="60">
        <v>0</v>
      </c>
      <c r="I155" s="60">
        <v>0</v>
      </c>
      <c r="J155" s="60">
        <v>0.05</v>
      </c>
      <c r="K155" s="60">
        <v>0.05</v>
      </c>
      <c r="L155" s="60">
        <v>0</v>
      </c>
      <c r="M155" s="60">
        <v>0</v>
      </c>
      <c r="N155" s="60"/>
    </row>
    <row r="156" spans="1:14" hidden="1">
      <c r="A156" s="60">
        <v>117</v>
      </c>
      <c r="B156" s="60" t="s">
        <v>402</v>
      </c>
      <c r="C156" s="60" t="s">
        <v>23</v>
      </c>
      <c r="D156" s="24">
        <v>3</v>
      </c>
      <c r="E156" s="24">
        <v>17</v>
      </c>
      <c r="F156" s="24">
        <v>3</v>
      </c>
      <c r="G156" s="24">
        <v>17</v>
      </c>
      <c r="H156" s="60">
        <v>-82.35</v>
      </c>
      <c r="I156" s="60">
        <v>-82.35</v>
      </c>
      <c r="J156" s="60">
        <v>0.04</v>
      </c>
      <c r="K156" s="60">
        <v>0.04</v>
      </c>
      <c r="L156" s="60">
        <v>0.16</v>
      </c>
      <c r="M156" s="60">
        <v>0.16</v>
      </c>
      <c r="N156" s="60"/>
    </row>
    <row r="157" spans="1:14" hidden="1">
      <c r="A157" s="60">
        <v>118</v>
      </c>
      <c r="B157" s="60" t="s">
        <v>532</v>
      </c>
      <c r="C157" s="60" t="s">
        <v>23</v>
      </c>
      <c r="D157" s="24">
        <v>3</v>
      </c>
      <c r="E157" s="24">
        <v>2</v>
      </c>
      <c r="F157" s="24">
        <v>3</v>
      </c>
      <c r="G157" s="24">
        <v>2</v>
      </c>
      <c r="H157" s="60">
        <v>50</v>
      </c>
      <c r="I157" s="60">
        <v>50</v>
      </c>
      <c r="J157" s="60">
        <v>0.04</v>
      </c>
      <c r="K157" s="60">
        <v>0.04</v>
      </c>
      <c r="L157" s="60">
        <v>0.02</v>
      </c>
      <c r="M157" s="60">
        <v>0.02</v>
      </c>
      <c r="N157" s="60"/>
    </row>
    <row r="158" spans="1:14">
      <c r="A158" s="60">
        <v>119</v>
      </c>
      <c r="B158" s="60" t="s">
        <v>1088</v>
      </c>
      <c r="C158" s="60" t="s">
        <v>24</v>
      </c>
      <c r="D158" s="24">
        <v>3</v>
      </c>
      <c r="E158" s="24">
        <v>0</v>
      </c>
      <c r="F158" s="24">
        <v>3</v>
      </c>
      <c r="G158" s="24">
        <v>0</v>
      </c>
      <c r="H158" s="60">
        <v>0</v>
      </c>
      <c r="I158" s="60">
        <v>0</v>
      </c>
      <c r="J158" s="60">
        <v>0.04</v>
      </c>
      <c r="K158" s="60">
        <v>0.04</v>
      </c>
      <c r="L158" s="60">
        <v>0</v>
      </c>
      <c r="M158" s="60">
        <v>0</v>
      </c>
      <c r="N158" s="60"/>
    </row>
    <row r="159" spans="1:14" hidden="1">
      <c r="A159" s="60">
        <v>120</v>
      </c>
      <c r="B159" s="60" t="s">
        <v>737</v>
      </c>
      <c r="C159" s="60" t="s">
        <v>23</v>
      </c>
      <c r="D159" s="24">
        <v>3</v>
      </c>
      <c r="E159" s="24">
        <v>0</v>
      </c>
      <c r="F159" s="24">
        <v>3</v>
      </c>
      <c r="G159" s="24">
        <v>0</v>
      </c>
      <c r="H159" s="60">
        <v>0</v>
      </c>
      <c r="I159" s="60">
        <v>0</v>
      </c>
      <c r="J159" s="60">
        <v>0.04</v>
      </c>
      <c r="K159" s="60">
        <v>0.04</v>
      </c>
      <c r="L159" s="60">
        <v>0</v>
      </c>
      <c r="M159" s="60">
        <v>0</v>
      </c>
      <c r="N159" s="60"/>
    </row>
    <row r="160" spans="1:14">
      <c r="A160" s="60">
        <v>121</v>
      </c>
      <c r="B160" s="60" t="s">
        <v>1086</v>
      </c>
      <c r="C160" s="60" t="s">
        <v>24</v>
      </c>
      <c r="D160" s="24">
        <v>3</v>
      </c>
      <c r="E160" s="24">
        <v>0</v>
      </c>
      <c r="F160" s="24">
        <v>3</v>
      </c>
      <c r="G160" s="24">
        <v>0</v>
      </c>
      <c r="H160" s="60">
        <v>0</v>
      </c>
      <c r="I160" s="60">
        <v>0</v>
      </c>
      <c r="J160" s="60">
        <v>0.04</v>
      </c>
      <c r="K160" s="60">
        <v>0.04</v>
      </c>
      <c r="L160" s="60">
        <v>0</v>
      </c>
      <c r="M160" s="60">
        <v>0</v>
      </c>
      <c r="N160" s="60"/>
    </row>
    <row r="161" spans="1:14" hidden="1">
      <c r="A161" s="60">
        <v>122</v>
      </c>
      <c r="B161" s="60" t="s">
        <v>183</v>
      </c>
      <c r="C161" s="60" t="s">
        <v>23</v>
      </c>
      <c r="D161" s="24">
        <v>3</v>
      </c>
      <c r="E161" s="24">
        <v>0</v>
      </c>
      <c r="F161" s="24">
        <v>3</v>
      </c>
      <c r="G161" s="24">
        <v>0</v>
      </c>
      <c r="H161" s="60">
        <v>0</v>
      </c>
      <c r="I161" s="60">
        <v>0</v>
      </c>
      <c r="J161" s="60">
        <v>0.04</v>
      </c>
      <c r="K161" s="60">
        <v>0.04</v>
      </c>
      <c r="L161" s="60">
        <v>0</v>
      </c>
      <c r="M161" s="60">
        <v>0</v>
      </c>
      <c r="N161" s="60"/>
    </row>
    <row r="162" spans="1:14">
      <c r="A162" s="60">
        <v>173</v>
      </c>
      <c r="B162" s="60" t="s">
        <v>467</v>
      </c>
      <c r="C162" s="60" t="s">
        <v>24</v>
      </c>
      <c r="D162" s="24">
        <v>3</v>
      </c>
      <c r="E162" s="24">
        <v>29</v>
      </c>
      <c r="F162" s="24">
        <v>3</v>
      </c>
      <c r="G162" s="24">
        <v>29</v>
      </c>
      <c r="H162" s="60">
        <v>-89.66</v>
      </c>
      <c r="I162" s="60">
        <v>-89.66</v>
      </c>
      <c r="J162" s="60">
        <v>0.04</v>
      </c>
      <c r="K162" s="60">
        <v>0.04</v>
      </c>
      <c r="L162" s="60">
        <v>0.28000000000000003</v>
      </c>
      <c r="M162" s="60">
        <v>0.28000000000000003</v>
      </c>
      <c r="N162" s="60"/>
    </row>
    <row r="163" spans="1:14">
      <c r="A163" s="60">
        <v>123</v>
      </c>
      <c r="B163" s="60" t="s">
        <v>415</v>
      </c>
      <c r="C163" s="60" t="s">
        <v>24</v>
      </c>
      <c r="D163" s="24">
        <v>2</v>
      </c>
      <c r="E163" s="24">
        <v>17</v>
      </c>
      <c r="F163" s="24">
        <v>2</v>
      </c>
      <c r="G163" s="24">
        <v>17</v>
      </c>
      <c r="H163" s="60">
        <v>-88.24</v>
      </c>
      <c r="I163" s="60">
        <v>-88.24</v>
      </c>
      <c r="J163" s="60">
        <v>0.03</v>
      </c>
      <c r="K163" s="60">
        <v>0.03</v>
      </c>
      <c r="L163" s="60">
        <v>0.16</v>
      </c>
      <c r="M163" s="60">
        <v>0.16</v>
      </c>
      <c r="N163" s="60"/>
    </row>
    <row r="164" spans="1:14" hidden="1">
      <c r="A164" s="60">
        <v>124</v>
      </c>
      <c r="B164" s="60" t="s">
        <v>141</v>
      </c>
      <c r="C164" s="60" t="s">
        <v>23</v>
      </c>
      <c r="D164" s="24">
        <v>2</v>
      </c>
      <c r="E164" s="24">
        <v>11</v>
      </c>
      <c r="F164" s="24">
        <v>2</v>
      </c>
      <c r="G164" s="24">
        <v>11</v>
      </c>
      <c r="H164" s="60">
        <v>-81.819999999999993</v>
      </c>
      <c r="I164" s="60">
        <v>-81.819999999999993</v>
      </c>
      <c r="J164" s="60">
        <v>0.03</v>
      </c>
      <c r="K164" s="60">
        <v>0.03</v>
      </c>
      <c r="L164" s="60">
        <v>0.1</v>
      </c>
      <c r="M164" s="60">
        <v>0.1</v>
      </c>
      <c r="N164" s="60"/>
    </row>
    <row r="165" spans="1:14" hidden="1">
      <c r="A165" s="60">
        <v>125</v>
      </c>
      <c r="B165" s="60" t="s">
        <v>151</v>
      </c>
      <c r="C165" s="60" t="s">
        <v>23</v>
      </c>
      <c r="D165" s="24">
        <v>2</v>
      </c>
      <c r="E165" s="24">
        <v>8</v>
      </c>
      <c r="F165" s="24">
        <v>2</v>
      </c>
      <c r="G165" s="24">
        <v>8</v>
      </c>
      <c r="H165" s="60">
        <v>-75</v>
      </c>
      <c r="I165" s="60">
        <v>-75</v>
      </c>
      <c r="J165" s="60">
        <v>0.03</v>
      </c>
      <c r="K165" s="60">
        <v>0.03</v>
      </c>
      <c r="L165" s="60">
        <v>0.08</v>
      </c>
      <c r="M165" s="60">
        <v>0.08</v>
      </c>
      <c r="N165" s="60"/>
    </row>
    <row r="166" spans="1:14" hidden="1">
      <c r="A166" s="60">
        <v>126</v>
      </c>
      <c r="B166" s="60" t="s">
        <v>526</v>
      </c>
      <c r="C166" s="60" t="s">
        <v>23</v>
      </c>
      <c r="D166" s="24">
        <v>2</v>
      </c>
      <c r="E166" s="24">
        <v>8</v>
      </c>
      <c r="F166" s="24">
        <v>2</v>
      </c>
      <c r="G166" s="24">
        <v>8</v>
      </c>
      <c r="H166" s="60">
        <v>-75</v>
      </c>
      <c r="I166" s="60">
        <v>-75</v>
      </c>
      <c r="J166" s="60">
        <v>0.03</v>
      </c>
      <c r="K166" s="60">
        <v>0.03</v>
      </c>
      <c r="L166" s="60">
        <v>0.08</v>
      </c>
      <c r="M166" s="60">
        <v>0.08</v>
      </c>
      <c r="N166" s="60"/>
    </row>
    <row r="167" spans="1:14" hidden="1">
      <c r="A167" s="60">
        <v>127</v>
      </c>
      <c r="B167" s="60" t="s">
        <v>458</v>
      </c>
      <c r="C167" s="60" t="s">
        <v>23</v>
      </c>
      <c r="D167" s="24">
        <v>2</v>
      </c>
      <c r="E167" s="24">
        <v>7</v>
      </c>
      <c r="F167" s="24">
        <v>2</v>
      </c>
      <c r="G167" s="24">
        <v>7</v>
      </c>
      <c r="H167" s="60">
        <v>-71.430000000000007</v>
      </c>
      <c r="I167" s="60">
        <v>-71.430000000000007</v>
      </c>
      <c r="J167" s="60">
        <v>0.03</v>
      </c>
      <c r="K167" s="60">
        <v>0.03</v>
      </c>
      <c r="L167" s="60">
        <v>7.0000000000000007E-2</v>
      </c>
      <c r="M167" s="60">
        <v>7.0000000000000007E-2</v>
      </c>
      <c r="N167" s="60"/>
    </row>
    <row r="168" spans="1:14" hidden="1">
      <c r="A168" s="60">
        <v>128</v>
      </c>
      <c r="B168" s="60" t="s">
        <v>449</v>
      </c>
      <c r="C168" s="60" t="s">
        <v>23</v>
      </c>
      <c r="D168" s="24">
        <v>2</v>
      </c>
      <c r="E168" s="24">
        <v>5</v>
      </c>
      <c r="F168" s="24">
        <v>2</v>
      </c>
      <c r="G168" s="24">
        <v>5</v>
      </c>
      <c r="H168" s="60">
        <v>-60</v>
      </c>
      <c r="I168" s="60">
        <v>-60</v>
      </c>
      <c r="J168" s="60">
        <v>0.03</v>
      </c>
      <c r="K168" s="60">
        <v>0.03</v>
      </c>
      <c r="L168" s="60">
        <v>0.05</v>
      </c>
      <c r="M168" s="60">
        <v>0.05</v>
      </c>
      <c r="N168" s="60"/>
    </row>
    <row r="169" spans="1:14" hidden="1">
      <c r="A169" s="60">
        <v>129</v>
      </c>
      <c r="B169" s="60" t="s">
        <v>250</v>
      </c>
      <c r="C169" s="60" t="s">
        <v>23</v>
      </c>
      <c r="D169" s="24">
        <v>2</v>
      </c>
      <c r="E169" s="24">
        <v>3</v>
      </c>
      <c r="F169" s="24">
        <v>2</v>
      </c>
      <c r="G169" s="24">
        <v>3</v>
      </c>
      <c r="H169" s="60">
        <v>-33.33</v>
      </c>
      <c r="I169" s="60">
        <v>-33.33</v>
      </c>
      <c r="J169" s="60">
        <v>0.03</v>
      </c>
      <c r="K169" s="60">
        <v>0.03</v>
      </c>
      <c r="L169" s="60">
        <v>0.03</v>
      </c>
      <c r="M169" s="60">
        <v>0.03</v>
      </c>
      <c r="N169" s="60"/>
    </row>
    <row r="170" spans="1:14">
      <c r="A170" s="60">
        <v>130</v>
      </c>
      <c r="B170" s="60" t="s">
        <v>746</v>
      </c>
      <c r="C170" s="60" t="s">
        <v>24</v>
      </c>
      <c r="D170" s="24">
        <v>2</v>
      </c>
      <c r="E170" s="24">
        <v>0</v>
      </c>
      <c r="F170" s="24">
        <v>2</v>
      </c>
      <c r="G170" s="24">
        <v>0</v>
      </c>
      <c r="H170" s="60">
        <v>0</v>
      </c>
      <c r="I170" s="60">
        <v>0</v>
      </c>
      <c r="J170" s="60">
        <v>0.03</v>
      </c>
      <c r="K170" s="60">
        <v>0.03</v>
      </c>
      <c r="L170" s="60">
        <v>0</v>
      </c>
      <c r="M170" s="60">
        <v>0</v>
      </c>
      <c r="N170" s="60"/>
    </row>
    <row r="171" spans="1:14" hidden="1">
      <c r="A171" s="60">
        <v>131</v>
      </c>
      <c r="B171" s="60" t="s">
        <v>708</v>
      </c>
      <c r="C171" s="60" t="s">
        <v>23</v>
      </c>
      <c r="D171" s="24">
        <v>2</v>
      </c>
      <c r="E171" s="24">
        <v>0</v>
      </c>
      <c r="F171" s="24">
        <v>2</v>
      </c>
      <c r="G171" s="24">
        <v>0</v>
      </c>
      <c r="H171" s="60">
        <v>0</v>
      </c>
      <c r="I171" s="60">
        <v>0</v>
      </c>
      <c r="J171" s="60">
        <v>0.03</v>
      </c>
      <c r="K171" s="60">
        <v>0.03</v>
      </c>
      <c r="L171" s="60">
        <v>0</v>
      </c>
      <c r="M171" s="60">
        <v>0</v>
      </c>
      <c r="N171" s="60"/>
    </row>
    <row r="172" spans="1:14" hidden="1">
      <c r="A172" s="60">
        <v>132</v>
      </c>
      <c r="B172" s="60" t="s">
        <v>525</v>
      </c>
      <c r="C172" s="60" t="s">
        <v>23</v>
      </c>
      <c r="D172" s="24">
        <v>2</v>
      </c>
      <c r="E172" s="24">
        <v>0</v>
      </c>
      <c r="F172" s="24">
        <v>2</v>
      </c>
      <c r="G172" s="24">
        <v>0</v>
      </c>
      <c r="H172" s="60">
        <v>0</v>
      </c>
      <c r="I172" s="60">
        <v>0</v>
      </c>
      <c r="J172" s="60">
        <v>0.03</v>
      </c>
      <c r="K172" s="60">
        <v>0.03</v>
      </c>
      <c r="L172" s="60">
        <v>0</v>
      </c>
      <c r="M172" s="60">
        <v>0</v>
      </c>
      <c r="N172" s="60"/>
    </row>
    <row r="173" spans="1:14">
      <c r="A173" s="60">
        <v>133</v>
      </c>
      <c r="B173" s="60" t="s">
        <v>743</v>
      </c>
      <c r="C173" s="60" t="s">
        <v>24</v>
      </c>
      <c r="D173" s="24">
        <v>2</v>
      </c>
      <c r="E173" s="24">
        <v>0</v>
      </c>
      <c r="F173" s="24">
        <v>2</v>
      </c>
      <c r="G173" s="24">
        <v>0</v>
      </c>
      <c r="H173" s="60">
        <v>0</v>
      </c>
      <c r="I173" s="60">
        <v>0</v>
      </c>
      <c r="J173" s="60">
        <v>0.03</v>
      </c>
      <c r="K173" s="60">
        <v>0.03</v>
      </c>
      <c r="L173" s="60">
        <v>0</v>
      </c>
      <c r="M173" s="60">
        <v>0</v>
      </c>
      <c r="N173" s="60"/>
    </row>
    <row r="174" spans="1:14">
      <c r="A174" s="60">
        <v>134</v>
      </c>
      <c r="B174" s="60" t="s">
        <v>242</v>
      </c>
      <c r="C174" s="60" t="s">
        <v>24</v>
      </c>
      <c r="D174" s="24">
        <v>1</v>
      </c>
      <c r="E174" s="24">
        <v>219</v>
      </c>
      <c r="F174" s="24">
        <v>1</v>
      </c>
      <c r="G174" s="24">
        <v>219</v>
      </c>
      <c r="H174" s="60">
        <v>-99.54</v>
      </c>
      <c r="I174" s="60">
        <v>-99.54</v>
      </c>
      <c r="J174" s="60">
        <v>0.01</v>
      </c>
      <c r="K174" s="60">
        <v>0.01</v>
      </c>
      <c r="L174" s="60">
        <v>2.08</v>
      </c>
      <c r="M174" s="60">
        <v>2.08</v>
      </c>
      <c r="N174" s="60"/>
    </row>
    <row r="175" spans="1:14" hidden="1">
      <c r="A175" s="60">
        <v>135</v>
      </c>
      <c r="B175" s="60" t="s">
        <v>461</v>
      </c>
      <c r="C175" s="60" t="s">
        <v>23</v>
      </c>
      <c r="D175" s="24">
        <v>1</v>
      </c>
      <c r="E175" s="24">
        <v>59</v>
      </c>
      <c r="F175" s="24">
        <v>1</v>
      </c>
      <c r="G175" s="24">
        <v>59</v>
      </c>
      <c r="H175" s="60">
        <v>-98.31</v>
      </c>
      <c r="I175" s="60">
        <v>-98.31</v>
      </c>
      <c r="J175" s="60">
        <v>0.01</v>
      </c>
      <c r="K175" s="60">
        <v>0.01</v>
      </c>
      <c r="L175" s="60">
        <v>0.56000000000000005</v>
      </c>
      <c r="M175" s="60">
        <v>0.56000000000000005</v>
      </c>
      <c r="N175" s="60"/>
    </row>
    <row r="176" spans="1:14">
      <c r="A176" s="60">
        <v>136</v>
      </c>
      <c r="B176" s="60" t="s">
        <v>596</v>
      </c>
      <c r="C176" s="60" t="s">
        <v>24</v>
      </c>
      <c r="D176" s="24">
        <v>1</v>
      </c>
      <c r="E176" s="24">
        <v>17</v>
      </c>
      <c r="F176" s="24">
        <v>1</v>
      </c>
      <c r="G176" s="24">
        <v>17</v>
      </c>
      <c r="H176" s="60">
        <v>-94.12</v>
      </c>
      <c r="I176" s="60">
        <v>-94.12</v>
      </c>
      <c r="J176" s="60">
        <v>0.01</v>
      </c>
      <c r="K176" s="60">
        <v>0.01</v>
      </c>
      <c r="L176" s="60">
        <v>0.16</v>
      </c>
      <c r="M176" s="60">
        <v>0.16</v>
      </c>
      <c r="N176" s="60"/>
    </row>
    <row r="177" spans="1:14" hidden="1">
      <c r="A177" s="60">
        <v>137</v>
      </c>
      <c r="B177" s="60" t="s">
        <v>450</v>
      </c>
      <c r="C177" s="60" t="s">
        <v>23</v>
      </c>
      <c r="D177" s="24">
        <v>1</v>
      </c>
      <c r="E177" s="24">
        <v>6</v>
      </c>
      <c r="F177" s="24">
        <v>1</v>
      </c>
      <c r="G177" s="24">
        <v>6</v>
      </c>
      <c r="H177" s="60">
        <v>-83.33</v>
      </c>
      <c r="I177" s="60">
        <v>-83.33</v>
      </c>
      <c r="J177" s="60">
        <v>0.01</v>
      </c>
      <c r="K177" s="60">
        <v>0.01</v>
      </c>
      <c r="L177" s="60">
        <v>0.06</v>
      </c>
      <c r="M177" s="60">
        <v>0.06</v>
      </c>
      <c r="N177" s="60"/>
    </row>
    <row r="178" spans="1:14" hidden="1">
      <c r="A178" s="60">
        <v>138</v>
      </c>
      <c r="B178" s="60" t="s">
        <v>521</v>
      </c>
      <c r="C178" s="60" t="s">
        <v>1033</v>
      </c>
      <c r="D178" s="24">
        <v>1</v>
      </c>
      <c r="E178" s="24">
        <v>2</v>
      </c>
      <c r="F178" s="24">
        <v>1</v>
      </c>
      <c r="G178" s="24">
        <v>2</v>
      </c>
      <c r="H178" s="68">
        <v>-50</v>
      </c>
      <c r="I178" s="68">
        <v>-50</v>
      </c>
      <c r="J178" s="60">
        <v>0.01</v>
      </c>
      <c r="K178" s="60">
        <v>0.01</v>
      </c>
      <c r="L178" s="60">
        <v>0.02</v>
      </c>
      <c r="M178" s="60">
        <v>0.02</v>
      </c>
      <c r="N178" s="60"/>
    </row>
    <row r="179" spans="1:14" hidden="1">
      <c r="A179" s="60">
        <v>139</v>
      </c>
      <c r="B179" s="60" t="s">
        <v>465</v>
      </c>
      <c r="C179" s="60" t="s">
        <v>23</v>
      </c>
      <c r="D179" s="24">
        <v>1</v>
      </c>
      <c r="E179" s="24">
        <v>1</v>
      </c>
      <c r="F179" s="24">
        <v>1</v>
      </c>
      <c r="G179" s="24">
        <v>1</v>
      </c>
      <c r="H179" s="60">
        <v>0</v>
      </c>
      <c r="I179" s="60">
        <v>0</v>
      </c>
      <c r="J179" s="60">
        <v>0.01</v>
      </c>
      <c r="K179" s="60">
        <v>0.01</v>
      </c>
      <c r="L179" s="60">
        <v>0.01</v>
      </c>
      <c r="M179" s="60">
        <v>0.01</v>
      </c>
      <c r="N179" s="60"/>
    </row>
    <row r="180" spans="1:14" hidden="1">
      <c r="A180" s="60">
        <v>140</v>
      </c>
      <c r="B180" s="60" t="s">
        <v>383</v>
      </c>
      <c r="C180" s="60" t="s">
        <v>23</v>
      </c>
      <c r="D180" s="24">
        <v>1</v>
      </c>
      <c r="E180" s="24">
        <v>1</v>
      </c>
      <c r="F180" s="24">
        <v>1</v>
      </c>
      <c r="G180" s="24">
        <v>1</v>
      </c>
      <c r="H180" s="68">
        <v>0</v>
      </c>
      <c r="I180" s="68">
        <v>0</v>
      </c>
      <c r="J180" s="60">
        <v>0.01</v>
      </c>
      <c r="K180" s="60">
        <v>0.01</v>
      </c>
      <c r="L180" s="60">
        <v>0.01</v>
      </c>
      <c r="M180" s="60">
        <v>0.01</v>
      </c>
      <c r="N180" s="60"/>
    </row>
    <row r="181" spans="1:14" hidden="1">
      <c r="A181" s="60">
        <v>141</v>
      </c>
      <c r="B181" s="60" t="s">
        <v>527</v>
      </c>
      <c r="C181" s="60" t="s">
        <v>23</v>
      </c>
      <c r="D181" s="24">
        <v>1</v>
      </c>
      <c r="E181" s="24">
        <v>1</v>
      </c>
      <c r="F181" s="24">
        <v>1</v>
      </c>
      <c r="G181" s="24">
        <v>1</v>
      </c>
      <c r="H181" s="60">
        <v>0</v>
      </c>
      <c r="I181" s="60">
        <v>0</v>
      </c>
      <c r="J181" s="60">
        <v>0.01</v>
      </c>
      <c r="K181" s="60">
        <v>0.01</v>
      </c>
      <c r="L181" s="60">
        <v>0.01</v>
      </c>
      <c r="M181" s="60">
        <v>0.01</v>
      </c>
      <c r="N181" s="60"/>
    </row>
    <row r="182" spans="1:14" hidden="1">
      <c r="A182" s="60">
        <v>142</v>
      </c>
      <c r="B182" s="60" t="s">
        <v>729</v>
      </c>
      <c r="C182" s="60" t="s">
        <v>23</v>
      </c>
      <c r="D182" s="24">
        <v>1</v>
      </c>
      <c r="E182" s="24">
        <v>0</v>
      </c>
      <c r="F182" s="24">
        <v>1</v>
      </c>
      <c r="G182" s="24">
        <v>0</v>
      </c>
      <c r="H182" s="60">
        <v>0</v>
      </c>
      <c r="I182" s="60">
        <v>0</v>
      </c>
      <c r="J182" s="60">
        <v>0.01</v>
      </c>
      <c r="K182" s="60">
        <v>0.01</v>
      </c>
      <c r="L182" s="60">
        <v>0</v>
      </c>
      <c r="M182" s="60">
        <v>0</v>
      </c>
      <c r="N182" s="60"/>
    </row>
    <row r="183" spans="1:14" hidden="1">
      <c r="A183" s="60">
        <v>143</v>
      </c>
      <c r="B183" s="60" t="s">
        <v>1114</v>
      </c>
      <c r="C183" s="60" t="s">
        <v>23</v>
      </c>
      <c r="D183" s="24">
        <v>1</v>
      </c>
      <c r="E183" s="24">
        <v>0</v>
      </c>
      <c r="F183" s="24">
        <v>1</v>
      </c>
      <c r="G183" s="24">
        <v>0</v>
      </c>
      <c r="H183" s="60">
        <v>0</v>
      </c>
      <c r="I183" s="60">
        <v>0</v>
      </c>
      <c r="J183" s="60">
        <v>0.01</v>
      </c>
      <c r="K183" s="60">
        <v>0.01</v>
      </c>
      <c r="L183" s="60">
        <v>0</v>
      </c>
      <c r="M183" s="60">
        <v>0</v>
      </c>
      <c r="N183" s="60"/>
    </row>
    <row r="184" spans="1:14">
      <c r="A184" s="60">
        <v>144</v>
      </c>
      <c r="B184" s="60" t="s">
        <v>1060</v>
      </c>
      <c r="C184" s="60" t="s">
        <v>24</v>
      </c>
      <c r="D184" s="24">
        <v>1</v>
      </c>
      <c r="E184" s="24">
        <v>0</v>
      </c>
      <c r="F184" s="24">
        <v>1</v>
      </c>
      <c r="G184" s="24">
        <v>0</v>
      </c>
      <c r="H184" s="60">
        <v>0</v>
      </c>
      <c r="I184" s="60">
        <v>0</v>
      </c>
      <c r="J184" s="60">
        <v>0.01</v>
      </c>
      <c r="K184" s="60">
        <v>0.01</v>
      </c>
      <c r="L184" s="60">
        <v>0</v>
      </c>
      <c r="M184" s="60">
        <v>0</v>
      </c>
      <c r="N184" s="60"/>
    </row>
    <row r="185" spans="1:14">
      <c r="A185" s="60">
        <v>145</v>
      </c>
      <c r="B185" s="60" t="s">
        <v>1113</v>
      </c>
      <c r="C185" s="60" t="s">
        <v>24</v>
      </c>
      <c r="D185" s="24">
        <v>1</v>
      </c>
      <c r="E185" s="24">
        <v>0</v>
      </c>
      <c r="F185" s="24">
        <v>1</v>
      </c>
      <c r="G185" s="24">
        <v>0</v>
      </c>
      <c r="H185" s="60">
        <v>0</v>
      </c>
      <c r="I185" s="60">
        <v>0</v>
      </c>
      <c r="J185" s="60">
        <v>0.01</v>
      </c>
      <c r="K185" s="60">
        <v>0.01</v>
      </c>
      <c r="L185" s="60">
        <v>0</v>
      </c>
      <c r="M185" s="60">
        <v>0</v>
      </c>
      <c r="N185" s="60"/>
    </row>
    <row r="186" spans="1:14" hidden="1">
      <c r="A186" s="60">
        <v>146</v>
      </c>
      <c r="B186" s="60" t="s">
        <v>1031</v>
      </c>
      <c r="C186" s="60" t="s">
        <v>23</v>
      </c>
      <c r="D186" s="24">
        <v>1</v>
      </c>
      <c r="E186" s="24">
        <v>0</v>
      </c>
      <c r="F186" s="24">
        <v>1</v>
      </c>
      <c r="G186" s="24">
        <v>0</v>
      </c>
      <c r="H186" s="60">
        <v>0</v>
      </c>
      <c r="I186" s="60">
        <v>0</v>
      </c>
      <c r="J186" s="60">
        <v>0.01</v>
      </c>
      <c r="K186" s="60">
        <v>0.01</v>
      </c>
      <c r="L186" s="60">
        <v>0</v>
      </c>
      <c r="M186" s="60">
        <v>0</v>
      </c>
      <c r="N186" s="60"/>
    </row>
    <row r="187" spans="1:14" hidden="1">
      <c r="A187" s="60">
        <v>147</v>
      </c>
      <c r="B187" s="60" t="s">
        <v>1115</v>
      </c>
      <c r="C187" s="60" t="s">
        <v>1033</v>
      </c>
      <c r="D187" s="24">
        <v>1</v>
      </c>
      <c r="E187" s="24">
        <v>0</v>
      </c>
      <c r="F187" s="24">
        <v>1</v>
      </c>
      <c r="G187" s="24">
        <v>0</v>
      </c>
      <c r="H187" s="60">
        <v>0</v>
      </c>
      <c r="I187" s="60">
        <v>0</v>
      </c>
      <c r="J187" s="60">
        <v>0.01</v>
      </c>
      <c r="K187" s="60">
        <v>0.01</v>
      </c>
      <c r="L187" s="60">
        <v>0</v>
      </c>
      <c r="M187" s="60">
        <v>0</v>
      </c>
      <c r="N187" s="60"/>
    </row>
    <row r="188" spans="1:14">
      <c r="A188" s="60">
        <v>148</v>
      </c>
      <c r="B188" s="60" t="s">
        <v>629</v>
      </c>
      <c r="C188" s="60" t="s">
        <v>24</v>
      </c>
      <c r="D188" s="24">
        <v>0</v>
      </c>
      <c r="E188" s="24">
        <v>119</v>
      </c>
      <c r="F188" s="24">
        <v>0</v>
      </c>
      <c r="G188" s="24">
        <v>119</v>
      </c>
      <c r="H188" s="60">
        <v>-100</v>
      </c>
      <c r="I188" s="60">
        <v>-100</v>
      </c>
      <c r="J188" s="60">
        <v>0</v>
      </c>
      <c r="K188" s="60">
        <v>0</v>
      </c>
      <c r="L188" s="60">
        <v>1.1299999999999999</v>
      </c>
      <c r="M188" s="60">
        <v>1.1299999999999999</v>
      </c>
      <c r="N188" s="60"/>
    </row>
    <row r="189" spans="1:14" hidden="1">
      <c r="A189" s="60">
        <v>149</v>
      </c>
      <c r="B189" s="60" t="s">
        <v>632</v>
      </c>
      <c r="C189" s="60" t="s">
        <v>23</v>
      </c>
      <c r="D189" s="24">
        <v>0</v>
      </c>
      <c r="E189" s="24">
        <v>33</v>
      </c>
      <c r="F189" s="24">
        <v>0</v>
      </c>
      <c r="G189" s="24">
        <v>33</v>
      </c>
      <c r="H189" s="60">
        <v>-100</v>
      </c>
      <c r="I189" s="60">
        <v>-100</v>
      </c>
      <c r="J189" s="60">
        <v>0</v>
      </c>
      <c r="K189" s="60">
        <v>0</v>
      </c>
      <c r="L189" s="60">
        <v>0.31</v>
      </c>
      <c r="M189" s="60">
        <v>0.31</v>
      </c>
      <c r="N189" s="60"/>
    </row>
    <row r="190" spans="1:14" hidden="1">
      <c r="A190" s="60">
        <v>150</v>
      </c>
      <c r="B190" s="60" t="s">
        <v>159</v>
      </c>
      <c r="C190" s="60" t="s">
        <v>23</v>
      </c>
      <c r="D190" s="24">
        <v>0</v>
      </c>
      <c r="E190" s="24">
        <v>21</v>
      </c>
      <c r="F190" s="24">
        <v>0</v>
      </c>
      <c r="G190" s="24">
        <v>21</v>
      </c>
      <c r="H190" s="60">
        <v>-100</v>
      </c>
      <c r="I190" s="60">
        <v>-100</v>
      </c>
      <c r="J190" s="60">
        <v>0</v>
      </c>
      <c r="K190" s="60">
        <v>0</v>
      </c>
      <c r="L190" s="60">
        <v>0.2</v>
      </c>
      <c r="M190" s="60">
        <v>0.2</v>
      </c>
      <c r="N190" s="60"/>
    </row>
    <row r="191" spans="1:14" hidden="1">
      <c r="A191" s="60">
        <v>151</v>
      </c>
      <c r="B191" s="60" t="s">
        <v>466</v>
      </c>
      <c r="C191" s="60" t="s">
        <v>23</v>
      </c>
      <c r="D191" s="24">
        <v>0</v>
      </c>
      <c r="E191" s="24">
        <v>14</v>
      </c>
      <c r="F191" s="24">
        <v>0</v>
      </c>
      <c r="G191" s="24">
        <v>14</v>
      </c>
      <c r="H191" s="60">
        <v>-100</v>
      </c>
      <c r="I191" s="60">
        <v>-100</v>
      </c>
      <c r="J191" s="60">
        <v>0</v>
      </c>
      <c r="K191" s="60">
        <v>0</v>
      </c>
      <c r="L191" s="60">
        <v>0.13</v>
      </c>
      <c r="M191" s="60">
        <v>0.13</v>
      </c>
      <c r="N191" s="60"/>
    </row>
    <row r="192" spans="1:14" hidden="1">
      <c r="A192" s="60">
        <v>152</v>
      </c>
      <c r="B192" s="60" t="s">
        <v>377</v>
      </c>
      <c r="C192" s="60" t="s">
        <v>23</v>
      </c>
      <c r="D192" s="24">
        <v>0</v>
      </c>
      <c r="E192" s="24">
        <v>8</v>
      </c>
      <c r="F192" s="24">
        <v>0</v>
      </c>
      <c r="G192" s="24">
        <v>8</v>
      </c>
      <c r="H192" s="60">
        <v>-100</v>
      </c>
      <c r="I192" s="60">
        <v>-100</v>
      </c>
      <c r="J192" s="60">
        <v>0</v>
      </c>
      <c r="K192" s="60">
        <v>0</v>
      </c>
      <c r="L192" s="60">
        <v>0.08</v>
      </c>
      <c r="M192" s="60">
        <v>0.08</v>
      </c>
      <c r="N192" s="60"/>
    </row>
    <row r="193" spans="1:14" hidden="1">
      <c r="A193" s="60">
        <v>153</v>
      </c>
      <c r="B193" s="60" t="s">
        <v>152</v>
      </c>
      <c r="C193" s="60" t="s">
        <v>23</v>
      </c>
      <c r="D193" s="24">
        <v>0</v>
      </c>
      <c r="E193" s="24">
        <v>7</v>
      </c>
      <c r="F193" s="24">
        <v>0</v>
      </c>
      <c r="G193" s="24">
        <v>7</v>
      </c>
      <c r="H193" s="60">
        <v>-100</v>
      </c>
      <c r="I193" s="60">
        <v>-100</v>
      </c>
      <c r="J193" s="60">
        <v>0</v>
      </c>
      <c r="K193" s="60">
        <v>0</v>
      </c>
      <c r="L193" s="60">
        <v>7.0000000000000007E-2</v>
      </c>
      <c r="M193" s="60">
        <v>7.0000000000000007E-2</v>
      </c>
      <c r="N193" s="60"/>
    </row>
    <row r="194" spans="1:14" hidden="1">
      <c r="A194" s="60">
        <v>154</v>
      </c>
      <c r="B194" s="60" t="s">
        <v>447</v>
      </c>
      <c r="C194" s="60" t="s">
        <v>23</v>
      </c>
      <c r="D194" s="24">
        <v>0</v>
      </c>
      <c r="E194" s="24">
        <v>7</v>
      </c>
      <c r="F194" s="24">
        <v>0</v>
      </c>
      <c r="G194" s="24">
        <v>7</v>
      </c>
      <c r="H194" s="68">
        <v>-100</v>
      </c>
      <c r="I194" s="68">
        <v>-100</v>
      </c>
      <c r="J194" s="68">
        <v>0</v>
      </c>
      <c r="K194" s="68">
        <v>0</v>
      </c>
      <c r="L194" s="68">
        <v>7.0000000000000007E-2</v>
      </c>
      <c r="M194" s="68">
        <v>7.0000000000000007E-2</v>
      </c>
      <c r="N194" s="60"/>
    </row>
    <row r="195" spans="1:14" hidden="1">
      <c r="A195" s="60">
        <v>155</v>
      </c>
      <c r="B195" s="60" t="s">
        <v>448</v>
      </c>
      <c r="C195" s="60" t="s">
        <v>23</v>
      </c>
      <c r="D195" s="24">
        <v>0</v>
      </c>
      <c r="E195" s="24">
        <v>6</v>
      </c>
      <c r="F195" s="24">
        <v>0</v>
      </c>
      <c r="G195" s="24">
        <v>6</v>
      </c>
      <c r="H195" s="60">
        <v>-100</v>
      </c>
      <c r="I195" s="60">
        <v>-100</v>
      </c>
      <c r="J195" s="60">
        <v>0</v>
      </c>
      <c r="K195" s="60">
        <v>0</v>
      </c>
      <c r="L195" s="60">
        <v>0.06</v>
      </c>
      <c r="M195" s="60">
        <v>0.06</v>
      </c>
      <c r="N195" s="60"/>
    </row>
    <row r="196" spans="1:14">
      <c r="A196" s="60">
        <v>156</v>
      </c>
      <c r="B196" s="60" t="s">
        <v>682</v>
      </c>
      <c r="C196" s="60" t="s">
        <v>24</v>
      </c>
      <c r="D196" s="24">
        <v>0</v>
      </c>
      <c r="E196" s="24">
        <v>6</v>
      </c>
      <c r="F196" s="24">
        <v>0</v>
      </c>
      <c r="G196" s="24">
        <v>6</v>
      </c>
      <c r="H196" s="60">
        <v>-100</v>
      </c>
      <c r="I196" s="60">
        <v>-100</v>
      </c>
      <c r="J196" s="60">
        <v>0</v>
      </c>
      <c r="K196" s="60">
        <v>0</v>
      </c>
      <c r="L196" s="60">
        <v>0.06</v>
      </c>
      <c r="M196" s="60">
        <v>0.06</v>
      </c>
      <c r="N196" s="60"/>
    </row>
    <row r="197" spans="1:14" hidden="1">
      <c r="A197" s="60">
        <v>157</v>
      </c>
      <c r="B197" s="60" t="s">
        <v>633</v>
      </c>
      <c r="C197" s="60" t="s">
        <v>23</v>
      </c>
      <c r="D197" s="24">
        <v>0</v>
      </c>
      <c r="E197" s="24">
        <v>5</v>
      </c>
      <c r="F197" s="24">
        <v>0</v>
      </c>
      <c r="G197" s="24">
        <v>5</v>
      </c>
      <c r="H197" s="60">
        <v>-100</v>
      </c>
      <c r="I197" s="60">
        <v>-100</v>
      </c>
      <c r="J197" s="60">
        <v>0</v>
      </c>
      <c r="K197" s="60">
        <v>0</v>
      </c>
      <c r="L197" s="60">
        <v>0.05</v>
      </c>
      <c r="M197" s="60">
        <v>0.05</v>
      </c>
      <c r="N197" s="60"/>
    </row>
    <row r="198" spans="1:14" hidden="1">
      <c r="A198" s="60">
        <v>158</v>
      </c>
      <c r="B198" s="60" t="s">
        <v>529</v>
      </c>
      <c r="C198" s="60" t="s">
        <v>23</v>
      </c>
      <c r="D198" s="24">
        <v>0</v>
      </c>
      <c r="E198" s="24">
        <v>4</v>
      </c>
      <c r="F198" s="24">
        <v>0</v>
      </c>
      <c r="G198" s="24">
        <v>4</v>
      </c>
      <c r="H198" s="60">
        <v>-100</v>
      </c>
      <c r="I198" s="60">
        <v>-100</v>
      </c>
      <c r="J198" s="60">
        <v>0</v>
      </c>
      <c r="K198" s="60">
        <v>0</v>
      </c>
      <c r="L198" s="60">
        <v>0.04</v>
      </c>
      <c r="M198" s="60">
        <v>0.04</v>
      </c>
      <c r="N198" s="60"/>
    </row>
    <row r="199" spans="1:14" hidden="1">
      <c r="A199" s="60">
        <v>159</v>
      </c>
      <c r="B199" s="60" t="s">
        <v>245</v>
      </c>
      <c r="C199" s="60" t="s">
        <v>23</v>
      </c>
      <c r="D199" s="24">
        <v>0</v>
      </c>
      <c r="E199" s="24">
        <v>4</v>
      </c>
      <c r="F199" s="24">
        <v>0</v>
      </c>
      <c r="G199" s="24">
        <v>4</v>
      </c>
      <c r="H199" s="60">
        <v>-100</v>
      </c>
      <c r="I199" s="60">
        <v>-100</v>
      </c>
      <c r="J199" s="60">
        <v>0</v>
      </c>
      <c r="K199" s="60">
        <v>0</v>
      </c>
      <c r="L199" s="60">
        <v>0.04</v>
      </c>
      <c r="M199" s="60">
        <v>0.04</v>
      </c>
      <c r="N199" s="60"/>
    </row>
    <row r="200" spans="1:14" hidden="1">
      <c r="A200" s="60">
        <v>160</v>
      </c>
      <c r="B200" s="60" t="s">
        <v>244</v>
      </c>
      <c r="C200" s="60" t="s">
        <v>23</v>
      </c>
      <c r="D200" s="24">
        <v>0</v>
      </c>
      <c r="E200" s="24">
        <v>4</v>
      </c>
      <c r="F200" s="24">
        <v>0</v>
      </c>
      <c r="G200" s="24">
        <v>4</v>
      </c>
      <c r="H200" s="60">
        <v>-100</v>
      </c>
      <c r="I200" s="60">
        <v>-100</v>
      </c>
      <c r="J200" s="60">
        <v>0</v>
      </c>
      <c r="K200" s="60">
        <v>0</v>
      </c>
      <c r="L200" s="60">
        <v>0.04</v>
      </c>
      <c r="M200" s="60">
        <v>0.04</v>
      </c>
      <c r="N200" s="60"/>
    </row>
    <row r="201" spans="1:14" hidden="1">
      <c r="A201" s="60">
        <v>161</v>
      </c>
      <c r="B201" s="60" t="s">
        <v>371</v>
      </c>
      <c r="C201" s="60" t="s">
        <v>23</v>
      </c>
      <c r="D201" s="24">
        <v>0</v>
      </c>
      <c r="E201" s="24">
        <v>4</v>
      </c>
      <c r="F201" s="24">
        <v>0</v>
      </c>
      <c r="G201" s="24">
        <v>4</v>
      </c>
      <c r="H201" s="60">
        <v>-100</v>
      </c>
      <c r="I201" s="60">
        <v>-100</v>
      </c>
      <c r="J201" s="60">
        <v>0</v>
      </c>
      <c r="K201" s="60">
        <v>0</v>
      </c>
      <c r="L201" s="60">
        <v>0.04</v>
      </c>
      <c r="M201" s="60">
        <v>0.04</v>
      </c>
      <c r="N201" s="60"/>
    </row>
    <row r="202" spans="1:14" hidden="1">
      <c r="A202" s="60">
        <v>162</v>
      </c>
      <c r="B202" s="60" t="s">
        <v>249</v>
      </c>
      <c r="C202" s="60" t="s">
        <v>23</v>
      </c>
      <c r="D202" s="24">
        <v>0</v>
      </c>
      <c r="E202" s="24">
        <v>4</v>
      </c>
      <c r="F202" s="24">
        <v>0</v>
      </c>
      <c r="G202" s="24">
        <v>4</v>
      </c>
      <c r="H202" s="60">
        <v>-100</v>
      </c>
      <c r="I202" s="60">
        <v>-100</v>
      </c>
      <c r="J202" s="60">
        <v>0</v>
      </c>
      <c r="K202" s="60">
        <v>0</v>
      </c>
      <c r="L202" s="60">
        <v>0.04</v>
      </c>
      <c r="M202" s="60">
        <v>0.04</v>
      </c>
      <c r="N202" s="60"/>
    </row>
    <row r="203" spans="1:14">
      <c r="A203" s="60">
        <v>163</v>
      </c>
      <c r="B203" s="60" t="s">
        <v>459</v>
      </c>
      <c r="C203" s="60" t="s">
        <v>24</v>
      </c>
      <c r="D203" s="24">
        <v>0</v>
      </c>
      <c r="E203" s="24">
        <v>3</v>
      </c>
      <c r="F203" s="24">
        <v>0</v>
      </c>
      <c r="G203" s="24">
        <v>3</v>
      </c>
      <c r="H203" s="60">
        <v>-100</v>
      </c>
      <c r="I203" s="60">
        <v>-100</v>
      </c>
      <c r="J203" s="60">
        <v>0</v>
      </c>
      <c r="K203" s="60">
        <v>0</v>
      </c>
      <c r="L203" s="60">
        <v>0.03</v>
      </c>
      <c r="M203" s="60">
        <v>0.03</v>
      </c>
      <c r="N203" s="60"/>
    </row>
    <row r="204" spans="1:14" hidden="1">
      <c r="A204" s="162">
        <v>164</v>
      </c>
      <c r="B204" s="162" t="s">
        <v>410</v>
      </c>
      <c r="C204" s="162" t="s">
        <v>23</v>
      </c>
      <c r="D204" s="169">
        <v>0</v>
      </c>
      <c r="E204" s="169">
        <v>3</v>
      </c>
      <c r="F204" s="169">
        <v>0</v>
      </c>
      <c r="G204" s="169">
        <v>3</v>
      </c>
      <c r="H204" s="162">
        <v>-100</v>
      </c>
      <c r="I204" s="162">
        <v>-100</v>
      </c>
      <c r="J204" s="162">
        <v>0</v>
      </c>
      <c r="K204" s="162">
        <v>0</v>
      </c>
      <c r="L204" s="162">
        <v>0.03</v>
      </c>
      <c r="M204" s="162">
        <v>0.03</v>
      </c>
      <c r="N204" s="60"/>
    </row>
    <row r="205" spans="1:14" hidden="1">
      <c r="A205" s="162">
        <v>165</v>
      </c>
      <c r="B205" s="162" t="s">
        <v>524</v>
      </c>
      <c r="C205" s="162" t="s">
        <v>23</v>
      </c>
      <c r="D205" s="169">
        <v>0</v>
      </c>
      <c r="E205" s="169">
        <v>3</v>
      </c>
      <c r="F205" s="169">
        <v>0</v>
      </c>
      <c r="G205" s="169">
        <v>3</v>
      </c>
      <c r="H205" s="162">
        <v>-100</v>
      </c>
      <c r="I205" s="162">
        <v>-100</v>
      </c>
      <c r="J205" s="162">
        <v>0</v>
      </c>
      <c r="K205" s="162">
        <v>0</v>
      </c>
      <c r="L205" s="162">
        <v>0.03</v>
      </c>
      <c r="M205" s="162">
        <v>0.03</v>
      </c>
      <c r="N205" s="60"/>
    </row>
    <row r="206" spans="1:14">
      <c r="A206" s="162">
        <v>166</v>
      </c>
      <c r="B206" s="162" t="s">
        <v>595</v>
      </c>
      <c r="C206" s="162" t="s">
        <v>24</v>
      </c>
      <c r="D206" s="169">
        <v>0</v>
      </c>
      <c r="E206" s="169">
        <v>3</v>
      </c>
      <c r="F206" s="169">
        <v>0</v>
      </c>
      <c r="G206" s="169">
        <v>3</v>
      </c>
      <c r="H206" s="162">
        <v>-100</v>
      </c>
      <c r="I206" s="162">
        <v>-100</v>
      </c>
      <c r="J206" s="162">
        <v>0</v>
      </c>
      <c r="K206" s="162">
        <v>0</v>
      </c>
      <c r="L206" s="162">
        <v>0.03</v>
      </c>
      <c r="M206" s="162">
        <v>0.03</v>
      </c>
      <c r="N206" s="60"/>
    </row>
    <row r="207" spans="1:14">
      <c r="A207" s="162">
        <v>167</v>
      </c>
      <c r="B207" s="162" t="s">
        <v>648</v>
      </c>
      <c r="C207" s="162" t="s">
        <v>24</v>
      </c>
      <c r="D207" s="169">
        <v>0</v>
      </c>
      <c r="E207" s="169">
        <v>2</v>
      </c>
      <c r="F207" s="169">
        <v>0</v>
      </c>
      <c r="G207" s="169">
        <v>2</v>
      </c>
      <c r="H207" s="162">
        <v>-100</v>
      </c>
      <c r="I207" s="162">
        <v>-100</v>
      </c>
      <c r="J207" s="162">
        <v>0</v>
      </c>
      <c r="K207" s="162">
        <v>0</v>
      </c>
      <c r="L207" s="162">
        <v>0.02</v>
      </c>
      <c r="M207" s="162">
        <v>0.02</v>
      </c>
      <c r="N207" s="60"/>
    </row>
    <row r="208" spans="1:14">
      <c r="A208" s="162">
        <v>168</v>
      </c>
      <c r="B208" s="162" t="s">
        <v>609</v>
      </c>
      <c r="C208" s="162" t="s">
        <v>24</v>
      </c>
      <c r="D208" s="169">
        <v>0</v>
      </c>
      <c r="E208" s="169">
        <v>1</v>
      </c>
      <c r="F208" s="169">
        <v>0</v>
      </c>
      <c r="G208" s="169">
        <v>1</v>
      </c>
      <c r="H208" s="162">
        <v>-100</v>
      </c>
      <c r="I208" s="162">
        <v>-100</v>
      </c>
      <c r="J208" s="162">
        <v>0</v>
      </c>
      <c r="K208" s="162">
        <v>0</v>
      </c>
      <c r="L208" s="162">
        <v>0.01</v>
      </c>
      <c r="M208" s="162">
        <v>0.01</v>
      </c>
      <c r="N208" s="60"/>
    </row>
    <row r="209" spans="1:14" hidden="1">
      <c r="A209" s="162">
        <v>169</v>
      </c>
      <c r="B209" s="162" t="s">
        <v>431</v>
      </c>
      <c r="C209" s="162" t="s">
        <v>1116</v>
      </c>
      <c r="D209" s="169">
        <v>0</v>
      </c>
      <c r="E209" s="169">
        <v>1</v>
      </c>
      <c r="F209" s="169">
        <v>0</v>
      </c>
      <c r="G209" s="169">
        <v>1</v>
      </c>
      <c r="H209" s="162">
        <v>-100</v>
      </c>
      <c r="I209" s="162">
        <v>-100</v>
      </c>
      <c r="J209" s="162">
        <v>0</v>
      </c>
      <c r="K209" s="162">
        <v>0</v>
      </c>
      <c r="L209" s="162">
        <v>0.01</v>
      </c>
      <c r="M209" s="162">
        <v>0.01</v>
      </c>
      <c r="N209" s="60"/>
    </row>
    <row r="210" spans="1:14" hidden="1">
      <c r="A210" s="162">
        <v>170</v>
      </c>
      <c r="B210" s="162" t="s">
        <v>182</v>
      </c>
      <c r="C210" s="162" t="s">
        <v>23</v>
      </c>
      <c r="D210" s="169">
        <v>0</v>
      </c>
      <c r="E210" s="169">
        <v>1</v>
      </c>
      <c r="F210" s="169">
        <v>0</v>
      </c>
      <c r="G210" s="169">
        <v>1</v>
      </c>
      <c r="H210" s="162">
        <v>-100</v>
      </c>
      <c r="I210" s="162">
        <v>-100</v>
      </c>
      <c r="J210" s="162">
        <v>0</v>
      </c>
      <c r="K210" s="162">
        <v>0</v>
      </c>
      <c r="L210" s="162">
        <v>0.01</v>
      </c>
      <c r="M210" s="162">
        <v>0.01</v>
      </c>
      <c r="N210" s="60"/>
    </row>
    <row r="211" spans="1:14" hidden="1">
      <c r="A211" s="162">
        <v>171</v>
      </c>
      <c r="B211" s="162" t="s">
        <v>587</v>
      </c>
      <c r="C211" s="162" t="s">
        <v>23</v>
      </c>
      <c r="D211" s="169">
        <v>0</v>
      </c>
      <c r="E211" s="169">
        <v>1</v>
      </c>
      <c r="F211" s="169">
        <v>0</v>
      </c>
      <c r="G211" s="169">
        <v>1</v>
      </c>
      <c r="H211" s="162">
        <v>-100</v>
      </c>
      <c r="I211" s="162">
        <v>-100</v>
      </c>
      <c r="J211" s="162">
        <v>0</v>
      </c>
      <c r="K211" s="162">
        <v>0</v>
      </c>
      <c r="L211" s="162">
        <v>0.01</v>
      </c>
      <c r="M211" s="162">
        <v>0.01</v>
      </c>
      <c r="N211" s="60"/>
    </row>
    <row r="212" spans="1:14" hidden="1">
      <c r="A212" s="162">
        <v>172</v>
      </c>
      <c r="B212" s="162" t="s">
        <v>463</v>
      </c>
      <c r="C212" s="162" t="s">
        <v>23</v>
      </c>
      <c r="D212" s="169">
        <v>0</v>
      </c>
      <c r="E212" s="169">
        <v>1</v>
      </c>
      <c r="F212" s="169">
        <v>0</v>
      </c>
      <c r="G212" s="169">
        <v>1</v>
      </c>
      <c r="H212" s="162">
        <v>-100</v>
      </c>
      <c r="I212" s="162">
        <v>-100</v>
      </c>
      <c r="J212" s="162">
        <v>0</v>
      </c>
      <c r="K212" s="162">
        <v>0</v>
      </c>
      <c r="L212" s="162">
        <v>0.01</v>
      </c>
      <c r="M212" s="162">
        <v>0.01</v>
      </c>
      <c r="N212" s="60"/>
    </row>
    <row r="213" spans="1:14">
      <c r="A213" s="162"/>
      <c r="B213" s="162" t="s">
        <v>485</v>
      </c>
      <c r="C213" s="162"/>
      <c r="D213" s="169">
        <f>SUBTOTAL(109,getAggRechargeModels6[antalPerioden])</f>
        <v>4203</v>
      </c>
      <c r="E213" s="169">
        <f>SUBTOTAL(109,getAggRechargeModels6[antalFGPeriod])</f>
        <v>5159</v>
      </c>
      <c r="F213" s="169">
        <f>SUBTOTAL(109,getAggRechargeModels6[antalÅret])</f>
        <v>4203</v>
      </c>
      <c r="G213" s="169">
        <f>SUBTOTAL(109,getAggRechargeModels6[antalFGAr])</f>
        <v>5159</v>
      </c>
      <c r="H213" s="164">
        <f>IF(getAggRechargeModels6[[#Totals],[antalFGPeriod]] &gt;0,(getAggRechargeModels6[[#Totals],[antalPerioden]] - getAggRechargeModels6[[#Totals],[antalFGPeriod]] ) / getAggRechargeModels6[[#Totals],[antalFGPeriod]] *100,0)</f>
        <v>-18.530723008334949</v>
      </c>
      <c r="I213" s="164">
        <f>IF(getAggRechargeModels6[[#Totals],[antalFGAr]] &gt; 0,( getAggRechargeModels6[[#Totals],[antalÅret]] - getAggRechargeModels6[[#Totals],[antalFGAr]] ) / getAggRechargeModels6[[#Totals],[antalFGAr]] * 100,0)</f>
        <v>-18.530723008334949</v>
      </c>
      <c r="J213" s="170">
        <f>IF(getAggModelsPB[[#Totals],[antalPerioden]] &gt; 0,getAggRechargeModels6[[#Totals],[antalPerioden]]  / getAggModelsPB[[#Totals],[antalPerioden]] * 100,0)</f>
        <v>28.785699609615779</v>
      </c>
      <c r="K213" s="170">
        <f>IF(getAggModelsPB[[#Totals],[antalÅret]] &gt; 0,getAggRechargeModels6[[#Totals],[antalÅret]]  / getAggModelsPB[[#Totals],[antalÅret]] * 100,0)</f>
        <v>28.785699609615779</v>
      </c>
      <c r="L213" s="170">
        <f>IF(getAggModelsPB[[#Totals],[antalFGPeriod]] &gt; 0,getAggRechargeModels6[[#Totals],[antalFGPeriod]]  / getAggModelsPB[[#Totals],[antalFGPeriod]] * 100,0)</f>
        <v>25.93374553863168</v>
      </c>
      <c r="M213" s="170">
        <f>IF(getAggModelsPB[[#Totals],[antalFGAr]] &gt; 0,getAggRechargeModels6[[#Totals],[antalFGAr]]  / getAggModelsPB[[#Totals],[antalFGAr]] * 100,0)</f>
        <v>25.93374553863168</v>
      </c>
      <c r="N213" s="60"/>
    </row>
    <row r="214" spans="1:14">
      <c r="A214" s="162"/>
      <c r="B214" s="162"/>
      <c r="C214" s="162"/>
      <c r="D214" s="169"/>
      <c r="E214" s="169"/>
      <c r="F214" s="169"/>
      <c r="G214" s="169"/>
      <c r="H214" s="164"/>
      <c r="I214" s="164"/>
      <c r="J214" s="170"/>
      <c r="K214" s="170"/>
      <c r="L214" s="170"/>
      <c r="M214" s="170"/>
      <c r="N214" s="60"/>
    </row>
    <row r="215" spans="1:14">
      <c r="A215" s="162"/>
      <c r="B215" s="162"/>
      <c r="C215" s="162"/>
      <c r="D215" s="169"/>
      <c r="E215" s="169"/>
      <c r="F215" s="169"/>
      <c r="G215" s="169"/>
      <c r="H215" s="162"/>
      <c r="I215" s="162"/>
      <c r="J215" s="162"/>
      <c r="K215" s="162"/>
      <c r="L215" s="162"/>
      <c r="M215" s="162"/>
      <c r="N215" s="60"/>
    </row>
    <row r="216" spans="1:14">
      <c r="A216" t="s">
        <v>716</v>
      </c>
      <c r="B216" s="162"/>
      <c r="C216" s="162"/>
      <c r="D216" s="169"/>
      <c r="E216" s="169"/>
      <c r="F216" s="169"/>
      <c r="G216" s="169"/>
      <c r="H216" s="162"/>
      <c r="I216" s="162"/>
      <c r="J216" s="162"/>
      <c r="K216" s="162"/>
      <c r="L216" s="162"/>
      <c r="M216" s="162"/>
      <c r="N216" s="60"/>
    </row>
    <row r="217" spans="1:14">
      <c r="A217" s="162"/>
      <c r="B217" s="162"/>
      <c r="C217" s="162"/>
      <c r="D217" s="169"/>
      <c r="E217" s="169"/>
      <c r="F217" s="169"/>
      <c r="G217" s="169"/>
      <c r="H217" s="162"/>
      <c r="I217" s="162"/>
      <c r="J217" s="162"/>
      <c r="K217" s="162"/>
      <c r="L217" s="162"/>
      <c r="M217" s="162"/>
      <c r="N217" s="60"/>
    </row>
    <row r="218" spans="1:14">
      <c r="A218" s="162"/>
      <c r="B218" s="162"/>
      <c r="C218" s="162"/>
      <c r="D218" s="169"/>
      <c r="E218" s="169"/>
      <c r="F218" s="169"/>
      <c r="G218" s="169"/>
      <c r="H218" s="162"/>
      <c r="I218" s="162"/>
      <c r="J218" s="162"/>
      <c r="K218" s="162"/>
      <c r="L218" s="162"/>
      <c r="M218" s="162"/>
      <c r="N218" s="60"/>
    </row>
    <row r="219" spans="1:14">
      <c r="A219" s="162"/>
      <c r="B219" s="162"/>
      <c r="C219" s="162"/>
      <c r="D219" s="169"/>
      <c r="E219" s="169"/>
      <c r="F219" s="169"/>
      <c r="G219" s="169"/>
      <c r="H219" s="162"/>
      <c r="I219" s="162"/>
      <c r="J219" s="162"/>
      <c r="K219" s="162"/>
      <c r="L219" s="162"/>
      <c r="M219" s="162"/>
      <c r="N219" s="60"/>
    </row>
    <row r="220" spans="1:14">
      <c r="A220" s="162"/>
      <c r="B220" s="162"/>
      <c r="C220" s="162"/>
      <c r="D220" s="169"/>
      <c r="E220" s="169"/>
      <c r="F220" s="169"/>
      <c r="G220" s="169"/>
      <c r="H220" s="162"/>
      <c r="I220" s="162"/>
      <c r="J220" s="162"/>
      <c r="K220" s="162"/>
      <c r="L220" s="162"/>
      <c r="M220" s="162"/>
      <c r="N220" s="60"/>
    </row>
    <row r="221" spans="1:14">
      <c r="A221" s="162"/>
      <c r="B221" s="162"/>
      <c r="C221" s="162"/>
      <c r="D221" s="169"/>
      <c r="E221" s="169"/>
      <c r="F221" s="169"/>
      <c r="G221" s="169"/>
      <c r="H221" s="162"/>
      <c r="I221" s="162"/>
      <c r="J221" s="162"/>
      <c r="K221" s="162"/>
      <c r="L221" s="162"/>
      <c r="M221" s="162"/>
      <c r="N221" s="60"/>
    </row>
    <row r="222" spans="1:14">
      <c r="A222" s="162"/>
      <c r="B222" s="162"/>
      <c r="C222" s="162"/>
      <c r="D222" s="169"/>
      <c r="E222" s="169"/>
      <c r="F222" s="169"/>
      <c r="G222" s="169"/>
      <c r="H222" s="162"/>
      <c r="I222" s="162"/>
      <c r="J222" s="162"/>
      <c r="K222" s="162"/>
      <c r="L222" s="162"/>
      <c r="M222" s="162"/>
      <c r="N222" s="60"/>
    </row>
    <row r="223" spans="1:14">
      <c r="A223" s="162"/>
      <c r="B223" s="162"/>
      <c r="C223" s="162"/>
      <c r="D223" s="169"/>
      <c r="E223" s="169"/>
      <c r="F223" s="169"/>
      <c r="G223" s="169"/>
      <c r="H223" s="162"/>
      <c r="I223" s="162"/>
      <c r="J223" s="162"/>
      <c r="K223" s="162"/>
      <c r="L223" s="162"/>
      <c r="M223" s="162"/>
      <c r="N223" s="60"/>
    </row>
    <row r="224" spans="1:14">
      <c r="A224" s="162"/>
      <c r="B224" s="162"/>
      <c r="C224" s="162"/>
      <c r="D224" s="169"/>
      <c r="E224" s="169"/>
      <c r="F224" s="169"/>
      <c r="G224" s="169"/>
      <c r="H224" s="162"/>
      <c r="I224" s="162"/>
      <c r="J224" s="162"/>
      <c r="K224" s="162"/>
      <c r="L224" s="162"/>
      <c r="M224" s="162"/>
      <c r="N224" s="60"/>
    </row>
    <row r="225" spans="1:14">
      <c r="A225" s="162"/>
      <c r="B225" s="162"/>
      <c r="C225" s="162"/>
      <c r="D225" s="169"/>
      <c r="E225" s="169"/>
      <c r="F225" s="169"/>
      <c r="G225" s="169"/>
      <c r="H225" s="162"/>
      <c r="I225" s="162"/>
      <c r="J225" s="162"/>
      <c r="K225" s="162"/>
      <c r="L225" s="162"/>
      <c r="M225" s="162"/>
      <c r="N225" s="60"/>
    </row>
    <row r="226" spans="1:14">
      <c r="A226" s="162"/>
      <c r="B226" s="162"/>
      <c r="C226" s="162"/>
      <c r="D226" s="169"/>
      <c r="E226" s="169"/>
      <c r="F226" s="169"/>
      <c r="G226" s="169"/>
      <c r="H226" s="162"/>
      <c r="I226" s="162"/>
      <c r="J226" s="162"/>
      <c r="K226" s="162"/>
      <c r="L226" s="162"/>
      <c r="M226" s="162"/>
      <c r="N226" s="60"/>
    </row>
    <row r="227" spans="1:14">
      <c r="A227" s="162"/>
      <c r="B227" s="162"/>
      <c r="C227" s="162"/>
      <c r="D227" s="169"/>
      <c r="E227" s="169"/>
      <c r="F227" s="169"/>
      <c r="G227" s="169"/>
      <c r="H227" s="162"/>
      <c r="I227" s="162"/>
      <c r="J227" s="162"/>
      <c r="K227" s="162"/>
      <c r="L227" s="162"/>
      <c r="M227" s="162"/>
      <c r="N227" s="60"/>
    </row>
    <row r="228" spans="1:14">
      <c r="A228" s="162"/>
      <c r="B228" s="162"/>
      <c r="C228" s="162"/>
      <c r="D228" s="169"/>
      <c r="E228" s="169"/>
      <c r="F228" s="169"/>
      <c r="G228" s="169"/>
      <c r="H228" s="162"/>
      <c r="I228" s="162"/>
      <c r="J228" s="162"/>
      <c r="K228" s="162"/>
      <c r="L228" s="162"/>
      <c r="M228" s="162"/>
      <c r="N228" s="60"/>
    </row>
    <row r="229" spans="1:14">
      <c r="A229" s="162"/>
      <c r="B229" s="162"/>
      <c r="C229" s="162"/>
      <c r="D229" s="169"/>
      <c r="E229" s="169"/>
      <c r="F229" s="169"/>
      <c r="G229" s="169"/>
      <c r="H229" s="162"/>
      <c r="I229" s="162"/>
      <c r="J229" s="162"/>
      <c r="K229" s="162"/>
      <c r="L229" s="162"/>
      <c r="M229" s="162"/>
      <c r="N229" s="60"/>
    </row>
    <row r="230" spans="1:14">
      <c r="A230" s="162"/>
      <c r="B230" s="162"/>
      <c r="C230" s="162"/>
      <c r="D230" s="169"/>
      <c r="E230" s="169"/>
      <c r="F230" s="169"/>
      <c r="G230" s="169"/>
      <c r="H230" s="162"/>
      <c r="I230" s="162"/>
      <c r="J230" s="162"/>
      <c r="K230" s="162"/>
      <c r="L230" s="162"/>
      <c r="M230" s="162"/>
      <c r="N230" s="60"/>
    </row>
    <row r="231" spans="1:14">
      <c r="A231" s="162"/>
      <c r="B231" s="162"/>
      <c r="C231" s="162"/>
      <c r="D231" s="169"/>
      <c r="E231" s="169"/>
      <c r="F231" s="169"/>
      <c r="G231" s="169"/>
      <c r="H231" s="162"/>
      <c r="I231" s="162"/>
      <c r="J231" s="162"/>
      <c r="K231" s="162"/>
      <c r="L231" s="162"/>
      <c r="M231" s="162"/>
      <c r="N231" s="60"/>
    </row>
    <row r="232" spans="1:14">
      <c r="A232" s="162"/>
      <c r="B232" s="162"/>
      <c r="C232" s="162"/>
      <c r="D232" s="169"/>
      <c r="E232" s="169"/>
      <c r="F232" s="169"/>
      <c r="G232" s="169"/>
      <c r="H232" s="162"/>
      <c r="I232" s="162"/>
      <c r="J232" s="162"/>
      <c r="K232" s="162"/>
      <c r="L232" s="162"/>
      <c r="M232" s="162"/>
      <c r="N232" s="60"/>
    </row>
    <row r="233" spans="1:14">
      <c r="A233" s="162"/>
      <c r="B233" s="162"/>
      <c r="C233" s="162"/>
      <c r="D233" s="169"/>
      <c r="E233" s="169"/>
      <c r="F233" s="169"/>
      <c r="G233" s="169"/>
      <c r="H233" s="162"/>
      <c r="I233" s="162"/>
      <c r="J233" s="162"/>
      <c r="K233" s="162"/>
      <c r="L233" s="162"/>
      <c r="M233" s="162"/>
      <c r="N233" s="60"/>
    </row>
    <row r="234" spans="1:14">
      <c r="A234" s="162"/>
      <c r="B234" s="162"/>
      <c r="C234" s="162"/>
      <c r="D234" s="169"/>
      <c r="E234" s="169"/>
      <c r="F234" s="169"/>
      <c r="G234" s="169"/>
      <c r="H234" s="162"/>
      <c r="I234" s="162"/>
      <c r="J234" s="162"/>
      <c r="K234" s="162"/>
      <c r="L234" s="162"/>
      <c r="M234" s="162"/>
      <c r="N234" s="60"/>
    </row>
    <row r="235" spans="1:14">
      <c r="A235" s="162"/>
      <c r="B235" s="162"/>
      <c r="C235" s="162"/>
      <c r="D235" s="169"/>
      <c r="E235" s="169"/>
      <c r="F235" s="169"/>
      <c r="G235" s="169"/>
      <c r="H235" s="162"/>
      <c r="I235" s="162"/>
      <c r="J235" s="162"/>
      <c r="K235" s="162"/>
      <c r="L235" s="162"/>
      <c r="M235" s="162"/>
    </row>
    <row r="236" spans="1:14">
      <c r="A236" s="162"/>
      <c r="B236" s="162"/>
      <c r="C236" s="162"/>
      <c r="D236" s="169"/>
      <c r="E236" s="169"/>
      <c r="F236" s="169"/>
      <c r="G236" s="169"/>
      <c r="H236" s="162"/>
      <c r="I236" s="162"/>
      <c r="J236" s="162"/>
      <c r="K236" s="162"/>
      <c r="L236" s="162"/>
      <c r="M236" s="162"/>
    </row>
    <row r="237" spans="1:14">
      <c r="A237" s="162"/>
      <c r="B237" s="162"/>
      <c r="C237" s="162"/>
      <c r="D237" s="169"/>
      <c r="E237" s="169"/>
      <c r="F237" s="169"/>
      <c r="G237" s="169"/>
      <c r="H237" s="162"/>
      <c r="I237" s="162"/>
      <c r="J237" s="162"/>
      <c r="K237" s="162"/>
      <c r="L237" s="162"/>
      <c r="M237" s="162"/>
    </row>
    <row r="238" spans="1:14">
      <c r="A238" s="162"/>
      <c r="B238" s="162"/>
      <c r="C238" s="162"/>
      <c r="D238" s="169"/>
      <c r="E238" s="169"/>
      <c r="F238" s="169"/>
      <c r="G238" s="169"/>
      <c r="H238" s="162"/>
      <c r="I238" s="162"/>
      <c r="J238" s="162"/>
      <c r="K238" s="162"/>
      <c r="L238" s="162"/>
      <c r="M238" s="162"/>
    </row>
    <row r="239" spans="1:14">
      <c r="A239" s="162"/>
      <c r="B239" s="162"/>
      <c r="C239" s="162"/>
      <c r="D239" s="169"/>
      <c r="E239" s="169"/>
      <c r="F239" s="169"/>
      <c r="G239" s="169"/>
      <c r="H239" s="162"/>
      <c r="I239" s="162"/>
      <c r="J239" s="162"/>
      <c r="K239" s="162"/>
      <c r="L239" s="162"/>
      <c r="M239" s="162"/>
    </row>
    <row r="240" spans="1:14">
      <c r="A240" s="162"/>
      <c r="B240" s="162"/>
      <c r="C240" s="162"/>
      <c r="D240" s="169"/>
      <c r="E240" s="169"/>
      <c r="F240" s="169"/>
      <c r="G240" s="169"/>
      <c r="H240" s="162"/>
      <c r="I240" s="162"/>
      <c r="J240" s="162"/>
      <c r="K240" s="162"/>
      <c r="L240" s="162"/>
      <c r="M240" s="162"/>
    </row>
    <row r="241" spans="1:13">
      <c r="A241" s="162"/>
      <c r="B241" s="162"/>
      <c r="C241" s="162"/>
      <c r="D241" s="169"/>
      <c r="E241" s="169"/>
      <c r="F241" s="169"/>
      <c r="G241" s="169"/>
      <c r="H241" s="162"/>
      <c r="I241" s="162"/>
      <c r="J241" s="162"/>
      <c r="K241" s="162"/>
      <c r="L241" s="162"/>
      <c r="M241" s="162"/>
    </row>
    <row r="242" spans="1:13">
      <c r="A242" s="162"/>
      <c r="B242" s="162"/>
      <c r="C242" s="162"/>
      <c r="D242" s="169"/>
      <c r="E242" s="169"/>
      <c r="F242" s="169"/>
      <c r="G242" s="169"/>
      <c r="H242" s="162"/>
      <c r="I242" s="162"/>
      <c r="J242" s="162"/>
      <c r="K242" s="162"/>
      <c r="L242" s="162"/>
      <c r="M242" s="162"/>
    </row>
    <row r="243" spans="1:13">
      <c r="A243" s="162"/>
      <c r="B243" s="162"/>
      <c r="C243" s="162"/>
      <c r="D243" s="169"/>
      <c r="E243" s="169"/>
      <c r="F243" s="169"/>
      <c r="G243" s="169"/>
      <c r="H243" s="162"/>
      <c r="I243" s="162"/>
      <c r="J243" s="162"/>
      <c r="K243" s="162"/>
      <c r="L243" s="162"/>
      <c r="M243" s="162"/>
    </row>
    <row r="244" spans="1:13">
      <c r="A244" s="162"/>
      <c r="B244" s="162"/>
      <c r="C244" s="162"/>
      <c r="D244" s="169"/>
      <c r="E244" s="169"/>
      <c r="F244" s="169"/>
      <c r="G244" s="169"/>
      <c r="H244" s="162"/>
      <c r="I244" s="162"/>
      <c r="J244" s="162"/>
      <c r="K244" s="162"/>
      <c r="L244" s="162"/>
      <c r="M244" s="162"/>
    </row>
    <row r="245" spans="1:13">
      <c r="A245" s="162"/>
      <c r="B245" s="162"/>
      <c r="C245" s="162"/>
      <c r="D245" s="169"/>
      <c r="E245" s="169"/>
      <c r="F245" s="169"/>
      <c r="G245" s="169"/>
      <c r="H245" s="162"/>
      <c r="I245" s="162"/>
      <c r="J245" s="162"/>
      <c r="K245" s="162"/>
      <c r="L245" s="162"/>
      <c r="M245" s="162"/>
    </row>
    <row r="246" spans="1:13">
      <c r="A246" s="162"/>
      <c r="B246" s="162"/>
      <c r="C246" s="162"/>
      <c r="D246" s="169"/>
      <c r="E246" s="169"/>
      <c r="F246" s="169"/>
      <c r="G246" s="169"/>
      <c r="H246" s="162"/>
      <c r="I246" s="162"/>
      <c r="J246" s="162"/>
      <c r="K246" s="162"/>
      <c r="L246" s="162"/>
      <c r="M246" s="162"/>
    </row>
    <row r="247" spans="1:13">
      <c r="A247" s="162"/>
      <c r="B247" s="162"/>
      <c r="C247" s="162"/>
      <c r="D247" s="169"/>
      <c r="E247" s="169"/>
      <c r="F247" s="169"/>
      <c r="G247" s="169"/>
      <c r="H247" s="162"/>
      <c r="I247" s="162"/>
      <c r="J247" s="162"/>
      <c r="K247" s="162"/>
      <c r="L247" s="162"/>
      <c r="M247" s="162"/>
    </row>
    <row r="248" spans="1:13">
      <c r="A248" s="162"/>
      <c r="B248" s="162"/>
      <c r="C248" s="162"/>
      <c r="D248" s="169"/>
      <c r="E248" s="169"/>
      <c r="F248" s="169"/>
      <c r="G248" s="169"/>
      <c r="H248" s="162"/>
      <c r="I248" s="162"/>
      <c r="J248" s="162"/>
      <c r="K248" s="162"/>
      <c r="L248" s="162"/>
      <c r="M248" s="162"/>
    </row>
    <row r="249" spans="1:13">
      <c r="A249" s="162"/>
      <c r="B249" s="162"/>
      <c r="C249" s="162"/>
      <c r="D249" s="169"/>
      <c r="E249" s="169"/>
      <c r="F249" s="169"/>
      <c r="G249" s="169"/>
      <c r="H249" s="162"/>
      <c r="I249" s="162"/>
      <c r="J249" s="162"/>
      <c r="K249" s="162"/>
      <c r="L249" s="162"/>
      <c r="M249" s="162"/>
    </row>
    <row r="250" spans="1:13">
      <c r="A250" s="162"/>
      <c r="B250" s="162"/>
      <c r="C250" s="162"/>
      <c r="D250" s="169"/>
      <c r="E250" s="169"/>
      <c r="F250" s="169"/>
      <c r="G250" s="169"/>
      <c r="H250" s="162"/>
      <c r="I250" s="162"/>
      <c r="J250" s="162"/>
      <c r="K250" s="162"/>
      <c r="L250" s="162"/>
      <c r="M250" s="162"/>
    </row>
    <row r="251" spans="1:13">
      <c r="A251" s="162"/>
      <c r="B251" s="162"/>
      <c r="C251" s="162"/>
      <c r="D251" s="169"/>
      <c r="E251" s="169"/>
      <c r="F251" s="169"/>
      <c r="G251" s="169"/>
      <c r="H251" s="162"/>
      <c r="I251" s="162"/>
      <c r="J251" s="162"/>
      <c r="K251" s="162"/>
      <c r="L251" s="162"/>
      <c r="M251" s="162"/>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52"/>
  <sheetViews>
    <sheetView workbookViewId="0">
      <selection activeCell="Q38" sqref="Q38"/>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74" t="s">
        <v>654</v>
      </c>
      <c r="P2" s="74"/>
      <c r="Q2" s="74"/>
      <c r="R2" s="74"/>
      <c r="S2" s="74"/>
      <c r="T2" s="74"/>
    </row>
    <row r="3" spans="15:21">
      <c r="O3" s="27" t="s">
        <v>653</v>
      </c>
      <c r="P3" s="27"/>
      <c r="Q3" s="27"/>
      <c r="R3" s="27"/>
      <c r="S3" s="27"/>
      <c r="T3" s="27"/>
      <c r="U3" s="27"/>
    </row>
    <row r="4" spans="15:21">
      <c r="O4" s="7"/>
      <c r="P4" s="7"/>
      <c r="Q4" s="17"/>
      <c r="R4" s="17"/>
      <c r="S4" s="17"/>
      <c r="T4" s="17"/>
      <c r="U4" s="27"/>
    </row>
    <row r="5" spans="15:21" ht="16" thickBot="1">
      <c r="O5" s="20" t="s">
        <v>486</v>
      </c>
      <c r="P5" s="20">
        <v>2021</v>
      </c>
      <c r="Q5" s="20">
        <v>2022</v>
      </c>
      <c r="R5" s="20">
        <v>2023</v>
      </c>
      <c r="S5" s="27"/>
      <c r="T5" s="27"/>
      <c r="U5" s="27"/>
    </row>
    <row r="6" spans="15:21">
      <c r="O6" s="17" t="s">
        <v>2</v>
      </c>
      <c r="P6" s="38">
        <v>5787</v>
      </c>
      <c r="Q6" s="38">
        <v>5363</v>
      </c>
      <c r="R6" s="38">
        <v>3401</v>
      </c>
      <c r="S6" s="27"/>
      <c r="T6" s="27"/>
      <c r="U6" s="27"/>
    </row>
    <row r="7" spans="15:21">
      <c r="O7" s="17" t="s">
        <v>3</v>
      </c>
      <c r="P7" s="39">
        <v>6559</v>
      </c>
      <c r="Q7" s="39">
        <v>5495</v>
      </c>
      <c r="R7" s="39"/>
      <c r="S7" s="27"/>
      <c r="T7" s="27"/>
      <c r="U7" s="27"/>
    </row>
    <row r="8" spans="15:21">
      <c r="O8" s="17" t="s">
        <v>4</v>
      </c>
      <c r="P8" s="39">
        <v>14934</v>
      </c>
      <c r="Q8" s="39">
        <v>6809</v>
      </c>
      <c r="R8" s="39"/>
      <c r="S8" s="27"/>
      <c r="T8" s="27"/>
      <c r="U8" s="27"/>
    </row>
    <row r="9" spans="15:21">
      <c r="O9" s="17" t="s">
        <v>5</v>
      </c>
      <c r="P9" s="39">
        <v>4563</v>
      </c>
      <c r="Q9" s="39">
        <v>5146</v>
      </c>
      <c r="R9" s="39"/>
      <c r="S9" s="27"/>
      <c r="T9" s="27"/>
      <c r="U9" s="27"/>
    </row>
    <row r="10" spans="15:21">
      <c r="O10" s="17" t="s">
        <v>6</v>
      </c>
      <c r="P10" s="39">
        <v>5547</v>
      </c>
      <c r="Q10" s="39">
        <v>6138</v>
      </c>
      <c r="R10" s="39"/>
      <c r="S10" s="27"/>
      <c r="T10" s="27"/>
      <c r="U10" s="27"/>
    </row>
    <row r="11" spans="15:21">
      <c r="O11" s="17" t="s">
        <v>7</v>
      </c>
      <c r="P11" s="39">
        <v>9142</v>
      </c>
      <c r="Q11" s="39">
        <v>6137</v>
      </c>
      <c r="R11" s="39"/>
      <c r="S11" s="27"/>
      <c r="T11" s="27"/>
      <c r="U11" s="27"/>
    </row>
    <row r="12" spans="15:21">
      <c r="O12" s="17" t="s">
        <v>8</v>
      </c>
      <c r="P12" s="39">
        <v>3777</v>
      </c>
      <c r="Q12" s="39">
        <v>4239</v>
      </c>
      <c r="R12" s="39"/>
      <c r="S12" s="27"/>
      <c r="T12" s="27"/>
      <c r="U12" s="27"/>
    </row>
    <row r="13" spans="15:21">
      <c r="O13" s="17" t="s">
        <v>9</v>
      </c>
      <c r="P13" s="39">
        <v>4541</v>
      </c>
      <c r="Q13" s="39">
        <v>3649</v>
      </c>
      <c r="R13" s="39"/>
      <c r="S13" s="27"/>
      <c r="T13" s="27"/>
      <c r="U13" s="27"/>
    </row>
    <row r="14" spans="15:21">
      <c r="O14" s="17" t="s">
        <v>10</v>
      </c>
      <c r="P14" s="39">
        <v>4754</v>
      </c>
      <c r="Q14" s="39">
        <v>4370</v>
      </c>
      <c r="R14" s="39"/>
      <c r="S14" s="27"/>
      <c r="T14" s="27"/>
      <c r="U14" s="27"/>
    </row>
    <row r="15" spans="15:21">
      <c r="O15" s="17" t="s">
        <v>11</v>
      </c>
      <c r="P15" s="39">
        <v>5583</v>
      </c>
      <c r="Q15" s="39">
        <v>5359</v>
      </c>
      <c r="R15" s="39"/>
      <c r="S15" s="27"/>
      <c r="T15" s="27"/>
      <c r="U15" s="27"/>
    </row>
    <row r="16" spans="15:21">
      <c r="O16" s="17" t="s">
        <v>12</v>
      </c>
      <c r="P16" s="39">
        <v>5962</v>
      </c>
      <c r="Q16" s="39">
        <v>5650</v>
      </c>
      <c r="R16" s="39"/>
      <c r="S16" s="27"/>
      <c r="T16" s="27"/>
      <c r="U16" s="27"/>
    </row>
    <row r="17" spans="15:21" ht="16" thickBot="1">
      <c r="O17" s="28" t="s">
        <v>13</v>
      </c>
      <c r="P17" s="159">
        <v>6692</v>
      </c>
      <c r="Q17" s="159">
        <v>8259</v>
      </c>
      <c r="R17" s="159"/>
      <c r="S17" s="27"/>
      <c r="T17" s="27"/>
      <c r="U17" s="27"/>
    </row>
    <row r="18" spans="15:21">
      <c r="O18" s="7" t="s">
        <v>570</v>
      </c>
      <c r="P18" s="37">
        <f>SUMIF(R6:R17,"&gt;0",P6:P17)</f>
        <v>5787</v>
      </c>
      <c r="Q18" s="37">
        <f>SUMIF(R6:R17,"&gt;0",Q6:Q17)</f>
        <v>5363</v>
      </c>
      <c r="R18" s="37">
        <f>SUM(R6:R17)</f>
        <v>3401</v>
      </c>
      <c r="S18" s="27"/>
      <c r="T18" s="27"/>
      <c r="U18" s="27"/>
    </row>
    <row r="19" spans="15:21">
      <c r="O19" s="7" t="s">
        <v>569</v>
      </c>
      <c r="P19" s="34">
        <f>SUM(P6:P17)</f>
        <v>77841</v>
      </c>
      <c r="Q19" s="34">
        <f>SUM(Q6:Q17)</f>
        <v>66614</v>
      </c>
      <c r="R19" s="27"/>
      <c r="S19" s="27"/>
      <c r="T19" s="27"/>
      <c r="U19" s="27"/>
    </row>
    <row r="35" spans="1:15" ht="21" thickBot="1">
      <c r="A35" s="74" t="s">
        <v>700</v>
      </c>
      <c r="B35" s="74"/>
      <c r="C35" s="10"/>
      <c r="D35" s="305" t="s">
        <v>1183</v>
      </c>
    </row>
    <row r="36" spans="1:15" ht="20">
      <c r="A36" s="10"/>
    </row>
    <row r="37" spans="1:15">
      <c r="A37" s="8" t="s">
        <v>482</v>
      </c>
      <c r="B37" s="60"/>
      <c r="C37" s="60"/>
      <c r="D37" s="60"/>
      <c r="E37" s="60"/>
      <c r="F37" s="60"/>
      <c r="G37" s="60"/>
      <c r="H37" s="287" t="s">
        <v>483</v>
      </c>
      <c r="I37" s="287"/>
      <c r="J37" s="287"/>
      <c r="K37" s="287"/>
      <c r="L37" s="287"/>
      <c r="M37" s="287"/>
      <c r="N37" s="60"/>
      <c r="O37" s="60"/>
    </row>
    <row r="38" spans="1:15">
      <c r="A38" s="119"/>
      <c r="B38" s="130"/>
      <c r="C38" s="130"/>
      <c r="D38" s="288" t="s">
        <v>571</v>
      </c>
      <c r="E38" s="289"/>
      <c r="F38" s="290" t="s">
        <v>571</v>
      </c>
      <c r="G38" s="291"/>
      <c r="H38" s="290" t="s">
        <v>572</v>
      </c>
      <c r="I38" s="291"/>
      <c r="J38" s="290" t="s">
        <v>573</v>
      </c>
      <c r="K38" s="291"/>
      <c r="L38" s="290" t="s">
        <v>573</v>
      </c>
      <c r="M38" s="291"/>
      <c r="N38" s="60"/>
      <c r="O38" s="60"/>
    </row>
    <row r="39" spans="1:15">
      <c r="A39" s="119"/>
      <c r="B39" s="131" t="s">
        <v>484</v>
      </c>
      <c r="C39" s="132" t="s">
        <v>575</v>
      </c>
      <c r="D39" s="133" t="str">
        <f>Innehåll!D79</f>
        <v xml:space="preserve"> 2023-01</v>
      </c>
      <c r="E39" s="133" t="str">
        <f>Innehåll!D80</f>
        <v xml:space="preserve"> 2022-01</v>
      </c>
      <c r="F39" s="133" t="str">
        <f>Innehåll!D81</f>
        <v>YTD  2023</v>
      </c>
      <c r="G39" s="133" t="str">
        <f>Innehåll!D82</f>
        <v>YTD  2022</v>
      </c>
      <c r="H39" s="133" t="str">
        <f>D39</f>
        <v xml:space="preserve"> 2023-01</v>
      </c>
      <c r="I39" s="134" t="str">
        <f>F39</f>
        <v>YTD  2023</v>
      </c>
      <c r="J39" s="133" t="str">
        <f>D39</f>
        <v xml:space="preserve"> 2023-01</v>
      </c>
      <c r="K39" s="135" t="str">
        <f>F39</f>
        <v>YTD  2023</v>
      </c>
      <c r="L39" s="136" t="str">
        <f>E39</f>
        <v xml:space="preserve"> 2022-01</v>
      </c>
      <c r="M39" s="136" t="str">
        <f>G39</f>
        <v>YTD  2022</v>
      </c>
      <c r="N39" s="60"/>
      <c r="O39" s="60"/>
    </row>
    <row r="40" spans="1:15" ht="15" hidden="1" customHeight="1">
      <c r="A40" s="60" t="s">
        <v>33</v>
      </c>
      <c r="B40" s="60" t="s">
        <v>237</v>
      </c>
      <c r="C40" s="60" t="s">
        <v>238</v>
      </c>
      <c r="D40" s="60" t="s">
        <v>35</v>
      </c>
      <c r="E40" s="60" t="s">
        <v>36</v>
      </c>
      <c r="F40" s="60" t="s">
        <v>37</v>
      </c>
      <c r="G40" s="60" t="s">
        <v>38</v>
      </c>
      <c r="H40" s="60" t="s">
        <v>39</v>
      </c>
      <c r="I40" s="60" t="s">
        <v>40</v>
      </c>
      <c r="J40" s="60" t="s">
        <v>41</v>
      </c>
      <c r="K40" s="60" t="s">
        <v>42</v>
      </c>
      <c r="L40" s="60" t="s">
        <v>43</v>
      </c>
      <c r="M40" s="60" t="s">
        <v>44</v>
      </c>
      <c r="N40" s="60"/>
      <c r="O40" s="60"/>
    </row>
    <row r="41" spans="1:15" hidden="1">
      <c r="A41" s="60">
        <v>1</v>
      </c>
      <c r="B41" s="60" t="s">
        <v>452</v>
      </c>
      <c r="C41" s="60" t="s">
        <v>24</v>
      </c>
      <c r="D41" s="24">
        <v>698</v>
      </c>
      <c r="E41" s="24">
        <v>467</v>
      </c>
      <c r="F41" s="24">
        <v>698</v>
      </c>
      <c r="G41" s="24">
        <v>467</v>
      </c>
      <c r="H41" s="60">
        <v>49.46</v>
      </c>
      <c r="I41" s="60">
        <v>49.46</v>
      </c>
      <c r="J41" s="60">
        <v>9.15</v>
      </c>
      <c r="K41" s="60">
        <v>9.15</v>
      </c>
      <c r="L41" s="60">
        <v>4.4400000000000004</v>
      </c>
      <c r="M41" s="60">
        <v>4.4400000000000004</v>
      </c>
      <c r="N41" s="60"/>
      <c r="O41" s="60"/>
    </row>
    <row r="42" spans="1:15">
      <c r="A42" s="60">
        <v>2</v>
      </c>
      <c r="B42" s="60" t="s">
        <v>421</v>
      </c>
      <c r="C42" s="60" t="s">
        <v>23</v>
      </c>
      <c r="D42" s="24">
        <v>610</v>
      </c>
      <c r="E42" s="24">
        <v>588</v>
      </c>
      <c r="F42" s="24">
        <v>610</v>
      </c>
      <c r="G42" s="24">
        <v>588</v>
      </c>
      <c r="H42" s="60">
        <v>3.74</v>
      </c>
      <c r="I42" s="60">
        <v>3.74</v>
      </c>
      <c r="J42" s="60">
        <v>8</v>
      </c>
      <c r="K42" s="60">
        <v>8</v>
      </c>
      <c r="L42" s="60">
        <v>5.59</v>
      </c>
      <c r="M42" s="60">
        <v>5.59</v>
      </c>
      <c r="N42" s="60"/>
      <c r="O42" s="60"/>
    </row>
    <row r="43" spans="1:15" hidden="1">
      <c r="A43" s="60">
        <v>3</v>
      </c>
      <c r="B43" s="60" t="s">
        <v>666</v>
      </c>
      <c r="C43" s="60" t="s">
        <v>24</v>
      </c>
      <c r="D43" s="24">
        <v>425</v>
      </c>
      <c r="E43" s="24">
        <v>293</v>
      </c>
      <c r="F43" s="24">
        <v>425</v>
      </c>
      <c r="G43" s="24">
        <v>293</v>
      </c>
      <c r="H43" s="60">
        <v>45.05</v>
      </c>
      <c r="I43" s="60">
        <v>45.05</v>
      </c>
      <c r="J43" s="60">
        <v>5.57</v>
      </c>
      <c r="K43" s="60">
        <v>5.57</v>
      </c>
      <c r="L43" s="60">
        <v>2.78</v>
      </c>
      <c r="M43" s="60">
        <v>2.78</v>
      </c>
      <c r="N43" s="60"/>
      <c r="O43" s="60"/>
    </row>
    <row r="44" spans="1:15">
      <c r="A44" s="60">
        <v>4</v>
      </c>
      <c r="B44" s="60" t="s">
        <v>438</v>
      </c>
      <c r="C44" s="60" t="s">
        <v>23</v>
      </c>
      <c r="D44" s="24">
        <v>400</v>
      </c>
      <c r="E44" s="24">
        <v>256</v>
      </c>
      <c r="F44" s="24">
        <v>400</v>
      </c>
      <c r="G44" s="24">
        <v>256</v>
      </c>
      <c r="H44" s="60">
        <v>56.25</v>
      </c>
      <c r="I44" s="60">
        <v>56.25</v>
      </c>
      <c r="J44" s="60">
        <v>5.24</v>
      </c>
      <c r="K44" s="60">
        <v>5.24</v>
      </c>
      <c r="L44" s="60">
        <v>2.4300000000000002</v>
      </c>
      <c r="M44" s="60">
        <v>2.4300000000000002</v>
      </c>
      <c r="N44" s="60"/>
      <c r="O44" s="60"/>
    </row>
    <row r="45" spans="1:15" hidden="1">
      <c r="A45" s="60">
        <v>5</v>
      </c>
      <c r="B45" s="60" t="s">
        <v>674</v>
      </c>
      <c r="C45" s="60" t="s">
        <v>24</v>
      </c>
      <c r="D45" s="24">
        <v>372</v>
      </c>
      <c r="E45" s="24">
        <v>67</v>
      </c>
      <c r="F45" s="24">
        <v>372</v>
      </c>
      <c r="G45" s="24">
        <v>67</v>
      </c>
      <c r="H45" s="60">
        <v>455.22</v>
      </c>
      <c r="I45" s="60">
        <v>455.22</v>
      </c>
      <c r="J45" s="60">
        <v>4.88</v>
      </c>
      <c r="K45" s="60">
        <v>4.88</v>
      </c>
      <c r="L45" s="60">
        <v>0.64</v>
      </c>
      <c r="M45" s="60">
        <v>0.64</v>
      </c>
      <c r="N45" s="60"/>
      <c r="O45" s="60"/>
    </row>
    <row r="46" spans="1:15" hidden="1">
      <c r="A46" s="60">
        <v>6</v>
      </c>
      <c r="B46" s="60" t="s">
        <v>513</v>
      </c>
      <c r="C46" s="60" t="s">
        <v>24</v>
      </c>
      <c r="D46" s="24">
        <v>276</v>
      </c>
      <c r="E46" s="24">
        <v>683</v>
      </c>
      <c r="F46" s="24">
        <v>276</v>
      </c>
      <c r="G46" s="24">
        <v>683</v>
      </c>
      <c r="H46" s="60">
        <v>-59.59</v>
      </c>
      <c r="I46" s="60">
        <v>-59.59</v>
      </c>
      <c r="J46" s="60">
        <v>3.62</v>
      </c>
      <c r="K46" s="60">
        <v>3.62</v>
      </c>
      <c r="L46" s="60">
        <v>6.49</v>
      </c>
      <c r="M46" s="60">
        <v>6.49</v>
      </c>
      <c r="N46" s="60"/>
      <c r="O46" s="60"/>
    </row>
    <row r="47" spans="1:15">
      <c r="A47" s="60">
        <v>7</v>
      </c>
      <c r="B47" s="60" t="s">
        <v>726</v>
      </c>
      <c r="C47" s="60" t="s">
        <v>23</v>
      </c>
      <c r="D47" s="24">
        <v>247</v>
      </c>
      <c r="E47" s="24">
        <v>0</v>
      </c>
      <c r="F47" s="24">
        <v>247</v>
      </c>
      <c r="G47" s="24">
        <v>0</v>
      </c>
      <c r="H47" s="60">
        <v>0</v>
      </c>
      <c r="I47" s="60">
        <v>0</v>
      </c>
      <c r="J47" s="60">
        <v>3.24</v>
      </c>
      <c r="K47" s="60">
        <v>3.24</v>
      </c>
      <c r="L47" s="60">
        <v>0</v>
      </c>
      <c r="M47" s="60">
        <v>0</v>
      </c>
      <c r="N47" s="60"/>
      <c r="O47" s="60"/>
    </row>
    <row r="48" spans="1:15" hidden="1">
      <c r="A48" s="60">
        <v>8</v>
      </c>
      <c r="B48" s="60" t="s">
        <v>241</v>
      </c>
      <c r="C48" s="60" t="s">
        <v>24</v>
      </c>
      <c r="D48" s="24">
        <v>204</v>
      </c>
      <c r="E48" s="24">
        <v>996</v>
      </c>
      <c r="F48" s="24">
        <v>204</v>
      </c>
      <c r="G48" s="24">
        <v>996</v>
      </c>
      <c r="H48" s="60">
        <v>-79.52</v>
      </c>
      <c r="I48" s="60">
        <v>-79.52</v>
      </c>
      <c r="J48" s="60">
        <v>2.67</v>
      </c>
      <c r="K48" s="60">
        <v>2.67</v>
      </c>
      <c r="L48" s="60">
        <v>9.4600000000000009</v>
      </c>
      <c r="M48" s="60">
        <v>9.4600000000000009</v>
      </c>
      <c r="N48" s="60"/>
      <c r="O48" s="60"/>
    </row>
    <row r="49" spans="1:15" hidden="1">
      <c r="A49" s="60">
        <v>9</v>
      </c>
      <c r="B49" s="60" t="s">
        <v>516</v>
      </c>
      <c r="C49" s="60" t="s">
        <v>24</v>
      </c>
      <c r="D49" s="24">
        <v>178</v>
      </c>
      <c r="E49" s="24">
        <v>8</v>
      </c>
      <c r="F49" s="24">
        <v>178</v>
      </c>
      <c r="G49" s="24">
        <v>8</v>
      </c>
      <c r="H49" s="60">
        <v>2125</v>
      </c>
      <c r="I49" s="60">
        <v>2125</v>
      </c>
      <c r="J49" s="60">
        <v>2.33</v>
      </c>
      <c r="K49" s="60">
        <v>2.33</v>
      </c>
      <c r="L49" s="60">
        <v>0.08</v>
      </c>
      <c r="M49" s="60">
        <v>0.08</v>
      </c>
      <c r="N49" s="60"/>
      <c r="O49" s="60"/>
    </row>
    <row r="50" spans="1:15">
      <c r="A50" s="60">
        <v>10</v>
      </c>
      <c r="B50" s="60" t="s">
        <v>397</v>
      </c>
      <c r="C50" s="60" t="s">
        <v>23</v>
      </c>
      <c r="D50" s="24">
        <v>171</v>
      </c>
      <c r="E50" s="24">
        <v>529</v>
      </c>
      <c r="F50" s="24">
        <v>171</v>
      </c>
      <c r="G50" s="24">
        <v>529</v>
      </c>
      <c r="H50" s="60">
        <v>-67.67</v>
      </c>
      <c r="I50" s="60">
        <v>-67.67</v>
      </c>
      <c r="J50" s="60">
        <v>2.2400000000000002</v>
      </c>
      <c r="K50" s="60">
        <v>2.2400000000000002</v>
      </c>
      <c r="L50" s="60">
        <v>5.03</v>
      </c>
      <c r="M50" s="60">
        <v>5.03</v>
      </c>
      <c r="N50" s="60"/>
      <c r="O50" s="60"/>
    </row>
    <row r="51" spans="1:15" hidden="1">
      <c r="A51" s="60">
        <v>11</v>
      </c>
      <c r="B51" s="60" t="s">
        <v>603</v>
      </c>
      <c r="C51" s="60" t="s">
        <v>24</v>
      </c>
      <c r="D51" s="24">
        <v>153</v>
      </c>
      <c r="E51" s="24">
        <v>200</v>
      </c>
      <c r="F51" s="24">
        <v>153</v>
      </c>
      <c r="G51" s="24">
        <v>200</v>
      </c>
      <c r="H51" s="60">
        <v>-23.5</v>
      </c>
      <c r="I51" s="60">
        <v>-23.5</v>
      </c>
      <c r="J51" s="60">
        <v>2.0099999999999998</v>
      </c>
      <c r="K51" s="60">
        <v>2.0099999999999998</v>
      </c>
      <c r="L51" s="60">
        <v>1.9</v>
      </c>
      <c r="M51" s="60">
        <v>1.9</v>
      </c>
      <c r="N51" s="60"/>
      <c r="O51" s="60"/>
    </row>
    <row r="52" spans="1:15">
      <c r="A52" s="60">
        <v>12</v>
      </c>
      <c r="B52" s="60" t="s">
        <v>423</v>
      </c>
      <c r="C52" s="60" t="s">
        <v>23</v>
      </c>
      <c r="D52" s="24">
        <v>138</v>
      </c>
      <c r="E52" s="24">
        <v>348</v>
      </c>
      <c r="F52" s="24">
        <v>138</v>
      </c>
      <c r="G52" s="24">
        <v>348</v>
      </c>
      <c r="H52" s="60">
        <v>-60.34</v>
      </c>
      <c r="I52" s="60">
        <v>-60.34</v>
      </c>
      <c r="J52" s="60">
        <v>1.81</v>
      </c>
      <c r="K52" s="60">
        <v>1.81</v>
      </c>
      <c r="L52" s="60">
        <v>3.31</v>
      </c>
      <c r="M52" s="60">
        <v>3.31</v>
      </c>
      <c r="N52" s="60"/>
      <c r="O52" s="60"/>
    </row>
    <row r="53" spans="1:15">
      <c r="A53" s="60">
        <v>13</v>
      </c>
      <c r="B53" s="60" t="s">
        <v>608</v>
      </c>
      <c r="C53" s="60" t="s">
        <v>23</v>
      </c>
      <c r="D53" s="24">
        <v>126</v>
      </c>
      <c r="E53" s="24">
        <v>107</v>
      </c>
      <c r="F53" s="24">
        <v>126</v>
      </c>
      <c r="G53" s="24">
        <v>107</v>
      </c>
      <c r="H53" s="60">
        <v>17.760000000000002</v>
      </c>
      <c r="I53" s="60">
        <v>17.760000000000002</v>
      </c>
      <c r="J53" s="60">
        <v>1.65</v>
      </c>
      <c r="K53" s="60">
        <v>1.65</v>
      </c>
      <c r="L53" s="60">
        <v>1.02</v>
      </c>
      <c r="M53" s="60">
        <v>1.02</v>
      </c>
      <c r="N53" s="60"/>
      <c r="O53" s="60"/>
    </row>
    <row r="54" spans="1:15">
      <c r="A54" s="60">
        <v>14</v>
      </c>
      <c r="B54" s="60" t="s">
        <v>441</v>
      </c>
      <c r="C54" s="60" t="s">
        <v>23</v>
      </c>
      <c r="D54" s="24">
        <v>123</v>
      </c>
      <c r="E54" s="24">
        <v>126</v>
      </c>
      <c r="F54" s="24">
        <v>123</v>
      </c>
      <c r="G54" s="24">
        <v>126</v>
      </c>
      <c r="H54" s="60">
        <v>-2.38</v>
      </c>
      <c r="I54" s="60">
        <v>-2.38</v>
      </c>
      <c r="J54" s="60">
        <v>1.61</v>
      </c>
      <c r="K54" s="60">
        <v>1.61</v>
      </c>
      <c r="L54" s="60">
        <v>1.2</v>
      </c>
      <c r="M54" s="60">
        <v>1.2</v>
      </c>
      <c r="N54" s="60"/>
      <c r="O54" s="60"/>
    </row>
    <row r="55" spans="1:15" hidden="1">
      <c r="A55" s="60">
        <v>15</v>
      </c>
      <c r="B55" s="60" t="s">
        <v>1072</v>
      </c>
      <c r="C55" s="60" t="s">
        <v>24</v>
      </c>
      <c r="D55" s="24">
        <v>110</v>
      </c>
      <c r="E55" s="24">
        <v>0</v>
      </c>
      <c r="F55" s="24">
        <v>110</v>
      </c>
      <c r="G55" s="24">
        <v>0</v>
      </c>
      <c r="H55" s="60">
        <v>0</v>
      </c>
      <c r="I55" s="60">
        <v>0</v>
      </c>
      <c r="J55" s="60">
        <v>1.44</v>
      </c>
      <c r="K55" s="60">
        <v>1.44</v>
      </c>
      <c r="L55" s="60">
        <v>0</v>
      </c>
      <c r="M55" s="60">
        <v>0</v>
      </c>
      <c r="N55" s="60"/>
      <c r="O55" s="60"/>
    </row>
    <row r="56" spans="1:15">
      <c r="A56" s="60">
        <v>16</v>
      </c>
      <c r="B56" s="60" t="s">
        <v>408</v>
      </c>
      <c r="C56" s="60" t="s">
        <v>23</v>
      </c>
      <c r="D56" s="24">
        <v>105</v>
      </c>
      <c r="E56" s="24">
        <v>60</v>
      </c>
      <c r="F56" s="24">
        <v>105</v>
      </c>
      <c r="G56" s="24">
        <v>60</v>
      </c>
      <c r="H56" s="60">
        <v>75</v>
      </c>
      <c r="I56" s="60">
        <v>75</v>
      </c>
      <c r="J56" s="60">
        <v>1.38</v>
      </c>
      <c r="K56" s="60">
        <v>1.38</v>
      </c>
      <c r="L56" s="60">
        <v>0.56999999999999995</v>
      </c>
      <c r="M56" s="60">
        <v>0.56999999999999995</v>
      </c>
      <c r="N56" s="60"/>
      <c r="O56" s="60"/>
    </row>
    <row r="57" spans="1:15" hidden="1">
      <c r="A57" s="60">
        <v>17</v>
      </c>
      <c r="B57" s="60" t="s">
        <v>630</v>
      </c>
      <c r="C57" s="60" t="s">
        <v>24</v>
      </c>
      <c r="D57" s="24">
        <v>102</v>
      </c>
      <c r="E57" s="24">
        <v>156</v>
      </c>
      <c r="F57" s="24">
        <v>102</v>
      </c>
      <c r="G57" s="24">
        <v>156</v>
      </c>
      <c r="H57" s="60">
        <v>-34.619999999999997</v>
      </c>
      <c r="I57" s="60">
        <v>-34.619999999999997</v>
      </c>
      <c r="J57" s="60">
        <v>1.34</v>
      </c>
      <c r="K57" s="60">
        <v>1.34</v>
      </c>
      <c r="L57" s="60">
        <v>1.48</v>
      </c>
      <c r="M57" s="60">
        <v>1.48</v>
      </c>
      <c r="N57" s="60"/>
      <c r="O57" s="60"/>
    </row>
    <row r="58" spans="1:15">
      <c r="A58" s="60">
        <v>18</v>
      </c>
      <c r="B58" s="60" t="s">
        <v>243</v>
      </c>
      <c r="C58" s="60" t="s">
        <v>23</v>
      </c>
      <c r="D58" s="24">
        <v>102</v>
      </c>
      <c r="E58" s="24">
        <v>130</v>
      </c>
      <c r="F58" s="24">
        <v>102</v>
      </c>
      <c r="G58" s="24">
        <v>130</v>
      </c>
      <c r="H58" s="60">
        <v>-21.54</v>
      </c>
      <c r="I58" s="60">
        <v>-21.54</v>
      </c>
      <c r="J58" s="60">
        <v>1.34</v>
      </c>
      <c r="K58" s="60">
        <v>1.34</v>
      </c>
      <c r="L58" s="60">
        <v>1.24</v>
      </c>
      <c r="M58" s="60">
        <v>1.24</v>
      </c>
      <c r="N58" s="60"/>
      <c r="O58" s="60"/>
    </row>
    <row r="59" spans="1:15" hidden="1">
      <c r="A59" s="60">
        <v>19</v>
      </c>
      <c r="B59" s="60" t="s">
        <v>387</v>
      </c>
      <c r="C59" s="60" t="s">
        <v>24</v>
      </c>
      <c r="D59" s="24">
        <v>102</v>
      </c>
      <c r="E59" s="24">
        <v>96</v>
      </c>
      <c r="F59" s="24">
        <v>102</v>
      </c>
      <c r="G59" s="24">
        <v>96</v>
      </c>
      <c r="H59" s="60">
        <v>6.25</v>
      </c>
      <c r="I59" s="60">
        <v>6.25</v>
      </c>
      <c r="J59" s="60">
        <v>1.34</v>
      </c>
      <c r="K59" s="60">
        <v>1.34</v>
      </c>
      <c r="L59" s="60">
        <v>0.91</v>
      </c>
      <c r="M59" s="60">
        <v>0.91</v>
      </c>
      <c r="N59" s="60"/>
      <c r="O59" s="60"/>
    </row>
    <row r="60" spans="1:15" hidden="1">
      <c r="A60" s="60">
        <v>20</v>
      </c>
      <c r="B60" s="60" t="s">
        <v>638</v>
      </c>
      <c r="C60" s="60" t="s">
        <v>24</v>
      </c>
      <c r="D60" s="24">
        <v>102</v>
      </c>
      <c r="E60" s="24">
        <v>8</v>
      </c>
      <c r="F60" s="24">
        <v>102</v>
      </c>
      <c r="G60" s="24">
        <v>8</v>
      </c>
      <c r="H60" s="60">
        <v>1175</v>
      </c>
      <c r="I60" s="60">
        <v>1175</v>
      </c>
      <c r="J60" s="60">
        <v>1.34</v>
      </c>
      <c r="K60" s="60">
        <v>1.34</v>
      </c>
      <c r="L60" s="60">
        <v>0.08</v>
      </c>
      <c r="M60" s="60">
        <v>0.08</v>
      </c>
      <c r="N60" s="60"/>
      <c r="O60" s="60"/>
    </row>
    <row r="61" spans="1:15">
      <c r="A61" s="60">
        <v>21</v>
      </c>
      <c r="B61" s="60" t="s">
        <v>428</v>
      </c>
      <c r="C61" s="60" t="s">
        <v>23</v>
      </c>
      <c r="D61" s="24">
        <v>101</v>
      </c>
      <c r="E61" s="24">
        <v>96</v>
      </c>
      <c r="F61" s="24">
        <v>101</v>
      </c>
      <c r="G61" s="24">
        <v>96</v>
      </c>
      <c r="H61" s="60">
        <v>5.21</v>
      </c>
      <c r="I61" s="60">
        <v>5.21</v>
      </c>
      <c r="J61" s="60">
        <v>1.32</v>
      </c>
      <c r="K61" s="60">
        <v>1.32</v>
      </c>
      <c r="L61" s="60">
        <v>0.91</v>
      </c>
      <c r="M61" s="60">
        <v>0.91</v>
      </c>
      <c r="N61" s="60"/>
      <c r="O61" s="60"/>
    </row>
    <row r="62" spans="1:15" hidden="1">
      <c r="A62" s="60">
        <v>22</v>
      </c>
      <c r="B62" s="60" t="s">
        <v>432</v>
      </c>
      <c r="C62" s="60" t="s">
        <v>24</v>
      </c>
      <c r="D62" s="24">
        <v>97</v>
      </c>
      <c r="E62" s="24">
        <v>247</v>
      </c>
      <c r="F62" s="24">
        <v>97</v>
      </c>
      <c r="G62" s="24">
        <v>247</v>
      </c>
      <c r="H62" s="60">
        <v>-60.73</v>
      </c>
      <c r="I62" s="60">
        <v>-60.73</v>
      </c>
      <c r="J62" s="60">
        <v>1.27</v>
      </c>
      <c r="K62" s="60">
        <v>1.27</v>
      </c>
      <c r="L62" s="60">
        <v>2.35</v>
      </c>
      <c r="M62" s="60">
        <v>2.35</v>
      </c>
      <c r="N62" s="60"/>
      <c r="O62" s="60"/>
    </row>
    <row r="63" spans="1:15" hidden="1">
      <c r="A63" s="60">
        <v>23</v>
      </c>
      <c r="B63" s="60" t="s">
        <v>64</v>
      </c>
      <c r="C63" s="60" t="s">
        <v>24</v>
      </c>
      <c r="D63" s="24">
        <v>96</v>
      </c>
      <c r="E63" s="24">
        <v>3</v>
      </c>
      <c r="F63" s="24">
        <v>96</v>
      </c>
      <c r="G63" s="24">
        <v>3</v>
      </c>
      <c r="H63" s="60">
        <v>3100</v>
      </c>
      <c r="I63" s="60">
        <v>3100</v>
      </c>
      <c r="J63" s="60">
        <v>1.26</v>
      </c>
      <c r="K63" s="60">
        <v>1.26</v>
      </c>
      <c r="L63" s="60">
        <v>0.03</v>
      </c>
      <c r="M63" s="60">
        <v>0.03</v>
      </c>
      <c r="N63" s="60"/>
      <c r="O63" s="60"/>
    </row>
    <row r="64" spans="1:15">
      <c r="A64" s="60">
        <v>24</v>
      </c>
      <c r="B64" s="60" t="s">
        <v>1023</v>
      </c>
      <c r="C64" s="60" t="s">
        <v>23</v>
      </c>
      <c r="D64" s="24">
        <v>85</v>
      </c>
      <c r="E64" s="24">
        <v>0</v>
      </c>
      <c r="F64" s="24">
        <v>85</v>
      </c>
      <c r="G64" s="24">
        <v>0</v>
      </c>
      <c r="H64" s="60">
        <v>0</v>
      </c>
      <c r="I64" s="60">
        <v>0</v>
      </c>
      <c r="J64" s="60">
        <v>1.1100000000000001</v>
      </c>
      <c r="K64" s="60">
        <v>1.1100000000000001</v>
      </c>
      <c r="L64" s="60">
        <v>0</v>
      </c>
      <c r="M64" s="60">
        <v>0</v>
      </c>
      <c r="N64" s="60"/>
      <c r="O64" s="60"/>
    </row>
    <row r="65" spans="1:15">
      <c r="A65" s="60">
        <v>25</v>
      </c>
      <c r="B65" s="60" t="s">
        <v>460</v>
      </c>
      <c r="C65" s="60" t="s">
        <v>23</v>
      </c>
      <c r="D65" s="24">
        <v>84</v>
      </c>
      <c r="E65" s="24">
        <v>64</v>
      </c>
      <c r="F65" s="24">
        <v>84</v>
      </c>
      <c r="G65" s="24">
        <v>64</v>
      </c>
      <c r="H65" s="60">
        <v>31.25</v>
      </c>
      <c r="I65" s="60">
        <v>31.25</v>
      </c>
      <c r="J65" s="60">
        <v>1.1000000000000001</v>
      </c>
      <c r="K65" s="60">
        <v>1.1000000000000001</v>
      </c>
      <c r="L65" s="60">
        <v>0.61</v>
      </c>
      <c r="M65" s="60">
        <v>0.61</v>
      </c>
      <c r="N65" s="60"/>
      <c r="O65" s="60"/>
    </row>
    <row r="66" spans="1:15" hidden="1">
      <c r="A66" s="60">
        <v>26</v>
      </c>
      <c r="B66" s="60" t="s">
        <v>683</v>
      </c>
      <c r="C66" s="60" t="s">
        <v>24</v>
      </c>
      <c r="D66" s="24">
        <v>84</v>
      </c>
      <c r="E66" s="24">
        <v>2</v>
      </c>
      <c r="F66" s="24">
        <v>84</v>
      </c>
      <c r="G66" s="24">
        <v>2</v>
      </c>
      <c r="H66" s="60">
        <v>4100</v>
      </c>
      <c r="I66" s="60">
        <v>4100</v>
      </c>
      <c r="J66" s="60">
        <v>1.1000000000000001</v>
      </c>
      <c r="K66" s="60">
        <v>1.1000000000000001</v>
      </c>
      <c r="L66" s="60">
        <v>0.02</v>
      </c>
      <c r="M66" s="60">
        <v>0.02</v>
      </c>
      <c r="N66" s="60"/>
      <c r="O66" s="60"/>
    </row>
    <row r="67" spans="1:15">
      <c r="A67" s="60">
        <v>27</v>
      </c>
      <c r="B67" s="60" t="s">
        <v>422</v>
      </c>
      <c r="C67" s="60" t="s">
        <v>23</v>
      </c>
      <c r="D67" s="24">
        <v>82</v>
      </c>
      <c r="E67" s="24">
        <v>106</v>
      </c>
      <c r="F67" s="24">
        <v>82</v>
      </c>
      <c r="G67" s="24">
        <v>106</v>
      </c>
      <c r="H67" s="60">
        <v>-22.64</v>
      </c>
      <c r="I67" s="60">
        <v>-22.64</v>
      </c>
      <c r="J67" s="60">
        <v>1.07</v>
      </c>
      <c r="K67" s="60">
        <v>1.07</v>
      </c>
      <c r="L67" s="60">
        <v>1.01</v>
      </c>
      <c r="M67" s="60">
        <v>1.01</v>
      </c>
      <c r="N67" s="60"/>
      <c r="O67" s="60"/>
    </row>
    <row r="68" spans="1:15">
      <c r="A68" s="60">
        <v>28</v>
      </c>
      <c r="B68" s="60" t="s">
        <v>522</v>
      </c>
      <c r="C68" s="60" t="s">
        <v>23</v>
      </c>
      <c r="D68" s="24">
        <v>81</v>
      </c>
      <c r="E68" s="24">
        <v>21</v>
      </c>
      <c r="F68" s="24">
        <v>81</v>
      </c>
      <c r="G68" s="24">
        <v>21</v>
      </c>
      <c r="H68" s="60">
        <v>285.70999999999998</v>
      </c>
      <c r="I68" s="60">
        <v>285.70999999999998</v>
      </c>
      <c r="J68" s="60">
        <v>1.06</v>
      </c>
      <c r="K68" s="60">
        <v>1.06</v>
      </c>
      <c r="L68" s="60">
        <v>0.2</v>
      </c>
      <c r="M68" s="60">
        <v>0.2</v>
      </c>
      <c r="N68" s="60"/>
      <c r="O68" s="60"/>
    </row>
    <row r="69" spans="1:15" hidden="1">
      <c r="A69" s="60">
        <v>29</v>
      </c>
      <c r="B69" s="60" t="s">
        <v>731</v>
      </c>
      <c r="C69" s="60" t="s">
        <v>24</v>
      </c>
      <c r="D69" s="24">
        <v>81</v>
      </c>
      <c r="E69" s="24">
        <v>0</v>
      </c>
      <c r="F69" s="24">
        <v>81</v>
      </c>
      <c r="G69" s="24">
        <v>0</v>
      </c>
      <c r="H69" s="60">
        <v>0</v>
      </c>
      <c r="I69" s="60">
        <v>0</v>
      </c>
      <c r="J69" s="60">
        <v>1.06</v>
      </c>
      <c r="K69" s="60">
        <v>1.06</v>
      </c>
      <c r="L69" s="60">
        <v>0</v>
      </c>
      <c r="M69" s="60">
        <v>0</v>
      </c>
      <c r="N69" s="60"/>
      <c r="O69" s="60"/>
    </row>
    <row r="70" spans="1:15" hidden="1">
      <c r="A70" s="60">
        <v>30</v>
      </c>
      <c r="B70" s="60" t="s">
        <v>440</v>
      </c>
      <c r="C70" s="60" t="s">
        <v>24</v>
      </c>
      <c r="D70" s="24">
        <v>79</v>
      </c>
      <c r="E70" s="24">
        <v>136</v>
      </c>
      <c r="F70" s="24">
        <v>79</v>
      </c>
      <c r="G70" s="24">
        <v>136</v>
      </c>
      <c r="H70" s="60">
        <v>-41.91</v>
      </c>
      <c r="I70" s="60">
        <v>-41.91</v>
      </c>
      <c r="J70" s="60">
        <v>1.04</v>
      </c>
      <c r="K70" s="60">
        <v>1.04</v>
      </c>
      <c r="L70" s="60">
        <v>1.29</v>
      </c>
      <c r="M70" s="60">
        <v>1.29</v>
      </c>
      <c r="N70" s="60"/>
      <c r="O70" s="60"/>
    </row>
    <row r="71" spans="1:15" hidden="1">
      <c r="A71" s="60">
        <v>31</v>
      </c>
      <c r="B71" s="60" t="s">
        <v>103</v>
      </c>
      <c r="C71" s="60" t="s">
        <v>24</v>
      </c>
      <c r="D71" s="24">
        <v>72</v>
      </c>
      <c r="E71" s="24">
        <v>255</v>
      </c>
      <c r="F71" s="24">
        <v>72</v>
      </c>
      <c r="G71" s="24">
        <v>255</v>
      </c>
      <c r="H71" s="60">
        <v>-71.760000000000005</v>
      </c>
      <c r="I71" s="60">
        <v>-71.760000000000005</v>
      </c>
      <c r="J71" s="60">
        <v>0.94</v>
      </c>
      <c r="K71" s="60">
        <v>0.94</v>
      </c>
      <c r="L71" s="60">
        <v>2.42</v>
      </c>
      <c r="M71" s="60">
        <v>2.42</v>
      </c>
      <c r="N71" s="60"/>
      <c r="O71" s="60"/>
    </row>
    <row r="72" spans="1:15">
      <c r="A72" s="60">
        <v>32</v>
      </c>
      <c r="B72" s="60" t="s">
        <v>382</v>
      </c>
      <c r="C72" s="60" t="s">
        <v>23</v>
      </c>
      <c r="D72" s="24">
        <v>68</v>
      </c>
      <c r="E72" s="24">
        <v>4</v>
      </c>
      <c r="F72" s="24">
        <v>68</v>
      </c>
      <c r="G72" s="24">
        <v>4</v>
      </c>
      <c r="H72" s="60">
        <v>1600</v>
      </c>
      <c r="I72" s="60">
        <v>1600</v>
      </c>
      <c r="J72" s="60">
        <v>0.89</v>
      </c>
      <c r="K72" s="60">
        <v>0.89</v>
      </c>
      <c r="L72" s="60">
        <v>0.04</v>
      </c>
      <c r="M72" s="60">
        <v>0.04</v>
      </c>
      <c r="N72" s="60"/>
      <c r="O72" s="60"/>
    </row>
    <row r="73" spans="1:15">
      <c r="A73" s="60">
        <v>33</v>
      </c>
      <c r="B73" s="60" t="s">
        <v>246</v>
      </c>
      <c r="C73" s="60" t="s">
        <v>23</v>
      </c>
      <c r="D73" s="24">
        <v>62</v>
      </c>
      <c r="E73" s="24">
        <v>0</v>
      </c>
      <c r="F73" s="24">
        <v>62</v>
      </c>
      <c r="G73" s="24">
        <v>0</v>
      </c>
      <c r="H73" s="60">
        <v>0</v>
      </c>
      <c r="I73" s="60">
        <v>0</v>
      </c>
      <c r="J73" s="60">
        <v>0.81</v>
      </c>
      <c r="K73" s="60">
        <v>0.81</v>
      </c>
      <c r="L73" s="60">
        <v>0</v>
      </c>
      <c r="M73" s="60">
        <v>0</v>
      </c>
      <c r="N73" s="60"/>
      <c r="O73" s="60"/>
    </row>
    <row r="74" spans="1:15" hidden="1">
      <c r="A74" s="60">
        <v>34</v>
      </c>
      <c r="B74" s="60" t="s">
        <v>446</v>
      </c>
      <c r="C74" s="60" t="s">
        <v>24</v>
      </c>
      <c r="D74" s="24">
        <v>59</v>
      </c>
      <c r="E74" s="24">
        <v>117</v>
      </c>
      <c r="F74" s="24">
        <v>59</v>
      </c>
      <c r="G74" s="24">
        <v>117</v>
      </c>
      <c r="H74" s="60">
        <v>-49.57</v>
      </c>
      <c r="I74" s="60">
        <v>-49.57</v>
      </c>
      <c r="J74" s="60">
        <v>0.77</v>
      </c>
      <c r="K74" s="60">
        <v>0.77</v>
      </c>
      <c r="L74" s="60">
        <v>1.1100000000000001</v>
      </c>
      <c r="M74" s="60">
        <v>1.1100000000000001</v>
      </c>
      <c r="N74" s="60"/>
      <c r="O74" s="60"/>
    </row>
    <row r="75" spans="1:15">
      <c r="A75" s="60">
        <v>35</v>
      </c>
      <c r="B75" s="60" t="s">
        <v>681</v>
      </c>
      <c r="C75" s="60" t="s">
        <v>23</v>
      </c>
      <c r="D75" s="24">
        <v>58</v>
      </c>
      <c r="E75" s="24">
        <v>5</v>
      </c>
      <c r="F75" s="24">
        <v>58</v>
      </c>
      <c r="G75" s="24">
        <v>5</v>
      </c>
      <c r="H75" s="60">
        <v>1060</v>
      </c>
      <c r="I75" s="60">
        <v>1060</v>
      </c>
      <c r="J75" s="60">
        <v>0.76</v>
      </c>
      <c r="K75" s="60">
        <v>0.76</v>
      </c>
      <c r="L75" s="60">
        <v>0.05</v>
      </c>
      <c r="M75" s="60">
        <v>0.05</v>
      </c>
      <c r="N75" s="60"/>
      <c r="O75" s="60"/>
    </row>
    <row r="76" spans="1:15" hidden="1">
      <c r="A76" s="60">
        <v>36</v>
      </c>
      <c r="B76" s="60" t="s">
        <v>108</v>
      </c>
      <c r="C76" s="60" t="s">
        <v>24</v>
      </c>
      <c r="D76" s="24">
        <v>57</v>
      </c>
      <c r="E76" s="24">
        <v>68</v>
      </c>
      <c r="F76" s="24">
        <v>57</v>
      </c>
      <c r="G76" s="24">
        <v>68</v>
      </c>
      <c r="H76" s="60">
        <v>-16.18</v>
      </c>
      <c r="I76" s="60">
        <v>-16.18</v>
      </c>
      <c r="J76" s="60">
        <v>0.75</v>
      </c>
      <c r="K76" s="60">
        <v>0.75</v>
      </c>
      <c r="L76" s="60">
        <v>0.65</v>
      </c>
      <c r="M76" s="60">
        <v>0.65</v>
      </c>
      <c r="N76" s="60"/>
      <c r="O76" s="60"/>
    </row>
    <row r="77" spans="1:15">
      <c r="A77" s="60">
        <v>37</v>
      </c>
      <c r="B77" s="60" t="s">
        <v>400</v>
      </c>
      <c r="C77" s="60" t="s">
        <v>23</v>
      </c>
      <c r="D77" s="24">
        <v>57</v>
      </c>
      <c r="E77" s="24">
        <v>66</v>
      </c>
      <c r="F77" s="24">
        <v>57</v>
      </c>
      <c r="G77" s="24">
        <v>66</v>
      </c>
      <c r="H77" s="60">
        <v>-13.64</v>
      </c>
      <c r="I77" s="60">
        <v>-13.64</v>
      </c>
      <c r="J77" s="60">
        <v>0.75</v>
      </c>
      <c r="K77" s="60">
        <v>0.75</v>
      </c>
      <c r="L77" s="60">
        <v>0.63</v>
      </c>
      <c r="M77" s="60">
        <v>0.63</v>
      </c>
      <c r="N77" s="60"/>
      <c r="O77" s="60"/>
    </row>
    <row r="78" spans="1:15">
      <c r="A78" s="60">
        <v>38</v>
      </c>
      <c r="B78" s="60" t="s">
        <v>127</v>
      </c>
      <c r="C78" s="60" t="s">
        <v>23</v>
      </c>
      <c r="D78" s="24">
        <v>57</v>
      </c>
      <c r="E78" s="24">
        <v>62</v>
      </c>
      <c r="F78" s="24">
        <v>57</v>
      </c>
      <c r="G78" s="24">
        <v>62</v>
      </c>
      <c r="H78" s="60">
        <v>-8.06</v>
      </c>
      <c r="I78" s="60">
        <v>-8.06</v>
      </c>
      <c r="J78" s="60">
        <v>0.75</v>
      </c>
      <c r="K78" s="60">
        <v>0.75</v>
      </c>
      <c r="L78" s="60">
        <v>0.59</v>
      </c>
      <c r="M78" s="60">
        <v>0.59</v>
      </c>
      <c r="N78" s="60"/>
      <c r="O78" s="60"/>
    </row>
    <row r="79" spans="1:15" hidden="1">
      <c r="A79" s="60">
        <v>39</v>
      </c>
      <c r="B79" s="60" t="s">
        <v>728</v>
      </c>
      <c r="C79" s="60" t="s">
        <v>24</v>
      </c>
      <c r="D79" s="24">
        <v>57</v>
      </c>
      <c r="E79" s="24">
        <v>0</v>
      </c>
      <c r="F79" s="24">
        <v>57</v>
      </c>
      <c r="G79" s="24">
        <v>0</v>
      </c>
      <c r="H79" s="60">
        <v>0</v>
      </c>
      <c r="I79" s="60">
        <v>0</v>
      </c>
      <c r="J79" s="60">
        <v>0.75</v>
      </c>
      <c r="K79" s="60">
        <v>0.75</v>
      </c>
      <c r="L79" s="60">
        <v>0</v>
      </c>
      <c r="M79" s="60">
        <v>0</v>
      </c>
      <c r="N79" s="60"/>
      <c r="O79" s="60"/>
    </row>
    <row r="80" spans="1:15">
      <c r="A80" s="60">
        <v>40</v>
      </c>
      <c r="B80" s="60" t="s">
        <v>398</v>
      </c>
      <c r="C80" s="60" t="s">
        <v>23</v>
      </c>
      <c r="D80" s="24">
        <v>55</v>
      </c>
      <c r="E80" s="24">
        <v>107</v>
      </c>
      <c r="F80" s="24">
        <v>55</v>
      </c>
      <c r="G80" s="24">
        <v>107</v>
      </c>
      <c r="H80" s="60">
        <v>-48.6</v>
      </c>
      <c r="I80" s="60">
        <v>-48.6</v>
      </c>
      <c r="J80" s="60">
        <v>0.72</v>
      </c>
      <c r="K80" s="60">
        <v>0.72</v>
      </c>
      <c r="L80" s="60">
        <v>1.02</v>
      </c>
      <c r="M80" s="60">
        <v>1.02</v>
      </c>
      <c r="N80" s="60"/>
      <c r="O80" s="60"/>
    </row>
    <row r="81" spans="1:15" hidden="1">
      <c r="A81" s="60">
        <v>41</v>
      </c>
      <c r="B81" s="60" t="s">
        <v>675</v>
      </c>
      <c r="C81" s="60" t="s">
        <v>24</v>
      </c>
      <c r="D81" s="24">
        <v>55</v>
      </c>
      <c r="E81" s="24">
        <v>19</v>
      </c>
      <c r="F81" s="24">
        <v>55</v>
      </c>
      <c r="G81" s="24">
        <v>19</v>
      </c>
      <c r="H81" s="60">
        <v>189.47</v>
      </c>
      <c r="I81" s="60">
        <v>189.47</v>
      </c>
      <c r="J81" s="60">
        <v>0.72</v>
      </c>
      <c r="K81" s="60">
        <v>0.72</v>
      </c>
      <c r="L81" s="60">
        <v>0.18</v>
      </c>
      <c r="M81" s="60">
        <v>0.18</v>
      </c>
      <c r="N81" s="60"/>
      <c r="O81" s="60"/>
    </row>
    <row r="82" spans="1:15" hidden="1">
      <c r="A82" s="60">
        <v>42</v>
      </c>
      <c r="B82" s="60" t="s">
        <v>622</v>
      </c>
      <c r="C82" s="60" t="s">
        <v>24</v>
      </c>
      <c r="D82" s="24">
        <v>49</v>
      </c>
      <c r="E82" s="24">
        <v>48</v>
      </c>
      <c r="F82" s="24">
        <v>49</v>
      </c>
      <c r="G82" s="24">
        <v>48</v>
      </c>
      <c r="H82" s="60">
        <v>2.08</v>
      </c>
      <c r="I82" s="60">
        <v>2.08</v>
      </c>
      <c r="J82" s="60">
        <v>0.64</v>
      </c>
      <c r="K82" s="60">
        <v>0.64</v>
      </c>
      <c r="L82" s="60">
        <v>0.46</v>
      </c>
      <c r="M82" s="60">
        <v>0.46</v>
      </c>
      <c r="N82" s="60"/>
      <c r="O82" s="60"/>
    </row>
    <row r="83" spans="1:15" hidden="1">
      <c r="A83" s="60">
        <v>43</v>
      </c>
      <c r="B83" s="60" t="s">
        <v>434</v>
      </c>
      <c r="C83" s="60" t="s">
        <v>24</v>
      </c>
      <c r="D83" s="24">
        <v>48</v>
      </c>
      <c r="E83" s="24">
        <v>57</v>
      </c>
      <c r="F83" s="24">
        <v>48</v>
      </c>
      <c r="G83" s="24">
        <v>57</v>
      </c>
      <c r="H83" s="60">
        <v>-15.79</v>
      </c>
      <c r="I83" s="60">
        <v>-15.79</v>
      </c>
      <c r="J83" s="60">
        <v>0.63</v>
      </c>
      <c r="K83" s="60">
        <v>0.63</v>
      </c>
      <c r="L83" s="60">
        <v>0.54</v>
      </c>
      <c r="M83" s="60">
        <v>0.54</v>
      </c>
      <c r="N83" s="60"/>
      <c r="O83" s="60"/>
    </row>
    <row r="84" spans="1:15" hidden="1">
      <c r="A84" s="60">
        <v>44</v>
      </c>
      <c r="B84" s="60" t="s">
        <v>736</v>
      </c>
      <c r="C84" s="60" t="s">
        <v>24</v>
      </c>
      <c r="D84" s="24">
        <v>45</v>
      </c>
      <c r="E84" s="24">
        <v>0</v>
      </c>
      <c r="F84" s="24">
        <v>45</v>
      </c>
      <c r="G84" s="24">
        <v>0</v>
      </c>
      <c r="H84" s="60">
        <v>0</v>
      </c>
      <c r="I84" s="60">
        <v>0</v>
      </c>
      <c r="J84" s="60">
        <v>0.59</v>
      </c>
      <c r="K84" s="60">
        <v>0.59</v>
      </c>
      <c r="L84" s="60">
        <v>0</v>
      </c>
      <c r="M84" s="60">
        <v>0</v>
      </c>
      <c r="N84" s="60"/>
      <c r="O84" s="60"/>
    </row>
    <row r="85" spans="1:15">
      <c r="A85" s="60">
        <v>45</v>
      </c>
      <c r="B85" s="60" t="s">
        <v>239</v>
      </c>
      <c r="C85" s="60" t="s">
        <v>23</v>
      </c>
      <c r="D85" s="24">
        <v>44</v>
      </c>
      <c r="E85" s="24">
        <v>258</v>
      </c>
      <c r="F85" s="24">
        <v>44</v>
      </c>
      <c r="G85" s="24">
        <v>258</v>
      </c>
      <c r="H85" s="60">
        <v>-82.95</v>
      </c>
      <c r="I85" s="60">
        <v>-82.95</v>
      </c>
      <c r="J85" s="60">
        <v>0.57999999999999996</v>
      </c>
      <c r="K85" s="60">
        <v>0.57999999999999996</v>
      </c>
      <c r="L85" s="60">
        <v>2.4500000000000002</v>
      </c>
      <c r="M85" s="60">
        <v>2.4500000000000002</v>
      </c>
      <c r="N85" s="60"/>
      <c r="O85" s="60"/>
    </row>
    <row r="86" spans="1:15" hidden="1">
      <c r="A86" s="60">
        <v>46</v>
      </c>
      <c r="B86" s="60" t="s">
        <v>528</v>
      </c>
      <c r="C86" s="60" t="s">
        <v>24</v>
      </c>
      <c r="D86" s="24">
        <v>42</v>
      </c>
      <c r="E86" s="24">
        <v>31</v>
      </c>
      <c r="F86" s="24">
        <v>42</v>
      </c>
      <c r="G86" s="24">
        <v>31</v>
      </c>
      <c r="H86" s="60">
        <v>35.479999999999997</v>
      </c>
      <c r="I86" s="60">
        <v>35.479999999999997</v>
      </c>
      <c r="J86" s="60">
        <v>0.55000000000000004</v>
      </c>
      <c r="K86" s="60">
        <v>0.55000000000000004</v>
      </c>
      <c r="L86" s="60">
        <v>0.28999999999999998</v>
      </c>
      <c r="M86" s="60">
        <v>0.28999999999999998</v>
      </c>
      <c r="N86" s="60"/>
      <c r="O86" s="60"/>
    </row>
    <row r="87" spans="1:15">
      <c r="A87" s="60">
        <v>47</v>
      </c>
      <c r="B87" s="60" t="s">
        <v>401</v>
      </c>
      <c r="C87" s="60" t="s">
        <v>23</v>
      </c>
      <c r="D87" s="24">
        <v>39</v>
      </c>
      <c r="E87" s="24">
        <v>484</v>
      </c>
      <c r="F87" s="24">
        <v>39</v>
      </c>
      <c r="G87" s="24">
        <v>484</v>
      </c>
      <c r="H87" s="60">
        <v>-91.94</v>
      </c>
      <c r="I87" s="60">
        <v>-91.94</v>
      </c>
      <c r="J87" s="60">
        <v>0.51</v>
      </c>
      <c r="K87" s="60">
        <v>0.51</v>
      </c>
      <c r="L87" s="60">
        <v>4.5999999999999996</v>
      </c>
      <c r="M87" s="60">
        <v>4.5999999999999996</v>
      </c>
      <c r="N87" s="60"/>
      <c r="O87" s="60"/>
    </row>
    <row r="88" spans="1:15" hidden="1">
      <c r="A88" s="60">
        <v>48</v>
      </c>
      <c r="B88" s="60" t="s">
        <v>677</v>
      </c>
      <c r="C88" s="60" t="s">
        <v>24</v>
      </c>
      <c r="D88" s="24">
        <v>39</v>
      </c>
      <c r="E88" s="24">
        <v>2</v>
      </c>
      <c r="F88" s="24">
        <v>39</v>
      </c>
      <c r="G88" s="24">
        <v>2</v>
      </c>
      <c r="H88" s="60">
        <v>1850</v>
      </c>
      <c r="I88" s="60">
        <v>1850</v>
      </c>
      <c r="J88" s="60">
        <v>0.51</v>
      </c>
      <c r="K88" s="60">
        <v>0.51</v>
      </c>
      <c r="L88" s="60">
        <v>0.02</v>
      </c>
      <c r="M88" s="60">
        <v>0.02</v>
      </c>
      <c r="N88" s="60"/>
      <c r="O88" s="60"/>
    </row>
    <row r="89" spans="1:15" hidden="1">
      <c r="A89" s="60">
        <v>49</v>
      </c>
      <c r="B89" s="60" t="s">
        <v>733</v>
      </c>
      <c r="C89" s="60" t="s">
        <v>24</v>
      </c>
      <c r="D89" s="24">
        <v>38</v>
      </c>
      <c r="E89" s="24">
        <v>0</v>
      </c>
      <c r="F89" s="24">
        <v>38</v>
      </c>
      <c r="G89" s="24">
        <v>0</v>
      </c>
      <c r="H89" s="60">
        <v>0</v>
      </c>
      <c r="I89" s="60">
        <v>0</v>
      </c>
      <c r="J89" s="60">
        <v>0.5</v>
      </c>
      <c r="K89" s="60">
        <v>0.5</v>
      </c>
      <c r="L89" s="60">
        <v>0</v>
      </c>
      <c r="M89" s="60">
        <v>0</v>
      </c>
      <c r="N89" s="60"/>
      <c r="O89" s="60"/>
    </row>
    <row r="90" spans="1:15" hidden="1">
      <c r="A90" s="60">
        <v>50</v>
      </c>
      <c r="B90" s="60" t="s">
        <v>148</v>
      </c>
      <c r="C90" s="60" t="s">
        <v>24</v>
      </c>
      <c r="D90" s="24">
        <v>35</v>
      </c>
      <c r="E90" s="24">
        <v>78</v>
      </c>
      <c r="F90" s="24">
        <v>35</v>
      </c>
      <c r="G90" s="24">
        <v>78</v>
      </c>
      <c r="H90" s="60">
        <v>-55.13</v>
      </c>
      <c r="I90" s="60">
        <v>-55.13</v>
      </c>
      <c r="J90" s="60">
        <v>0.46</v>
      </c>
      <c r="K90" s="60">
        <v>0.46</v>
      </c>
      <c r="L90" s="60">
        <v>0.74</v>
      </c>
      <c r="M90" s="60">
        <v>0.74</v>
      </c>
      <c r="N90" s="60"/>
      <c r="O90" s="60"/>
    </row>
    <row r="91" spans="1:15" hidden="1">
      <c r="A91" s="60">
        <v>51</v>
      </c>
      <c r="B91" s="60" t="s">
        <v>1052</v>
      </c>
      <c r="C91" s="60" t="s">
        <v>24</v>
      </c>
      <c r="D91" s="24">
        <v>33</v>
      </c>
      <c r="E91" s="24">
        <v>0</v>
      </c>
      <c r="F91" s="24">
        <v>33</v>
      </c>
      <c r="G91" s="24">
        <v>0</v>
      </c>
      <c r="H91" s="60">
        <v>0</v>
      </c>
      <c r="I91" s="60">
        <v>0</v>
      </c>
      <c r="J91" s="60">
        <v>0.43</v>
      </c>
      <c r="K91" s="60">
        <v>0.43</v>
      </c>
      <c r="L91" s="60">
        <v>0</v>
      </c>
      <c r="M91" s="60">
        <v>0</v>
      </c>
      <c r="N91" s="60"/>
      <c r="O91" s="60"/>
    </row>
    <row r="92" spans="1:15">
      <c r="A92" s="60">
        <v>52</v>
      </c>
      <c r="B92" s="60" t="s">
        <v>443</v>
      </c>
      <c r="C92" s="60" t="s">
        <v>23</v>
      </c>
      <c r="D92" s="24">
        <v>30</v>
      </c>
      <c r="E92" s="24">
        <v>47</v>
      </c>
      <c r="F92" s="24">
        <v>30</v>
      </c>
      <c r="G92" s="24">
        <v>47</v>
      </c>
      <c r="H92" s="60">
        <v>-36.17</v>
      </c>
      <c r="I92" s="60">
        <v>-36.17</v>
      </c>
      <c r="J92" s="60">
        <v>0.39</v>
      </c>
      <c r="K92" s="60">
        <v>0.39</v>
      </c>
      <c r="L92" s="60">
        <v>0.45</v>
      </c>
      <c r="M92" s="60">
        <v>0.45</v>
      </c>
      <c r="N92" s="60"/>
      <c r="O92" s="60"/>
    </row>
    <row r="93" spans="1:15">
      <c r="A93" s="60">
        <v>53</v>
      </c>
      <c r="B93" s="60" t="s">
        <v>399</v>
      </c>
      <c r="C93" s="60" t="s">
        <v>23</v>
      </c>
      <c r="D93" s="24">
        <v>30</v>
      </c>
      <c r="E93" s="24">
        <v>10</v>
      </c>
      <c r="F93" s="24">
        <v>30</v>
      </c>
      <c r="G93" s="24">
        <v>10</v>
      </c>
      <c r="H93" s="68">
        <v>200</v>
      </c>
      <c r="I93" s="68">
        <v>200</v>
      </c>
      <c r="J93" s="60">
        <v>0.39</v>
      </c>
      <c r="K93" s="60">
        <v>0.39</v>
      </c>
      <c r="L93" s="60">
        <v>0.1</v>
      </c>
      <c r="M93" s="60">
        <v>0.1</v>
      </c>
      <c r="N93" s="60"/>
      <c r="O93" s="60"/>
    </row>
    <row r="94" spans="1:15">
      <c r="A94" s="60">
        <v>54</v>
      </c>
      <c r="B94" s="60" t="s">
        <v>425</v>
      </c>
      <c r="C94" s="60" t="s">
        <v>23</v>
      </c>
      <c r="D94" s="24">
        <v>29</v>
      </c>
      <c r="E94" s="24">
        <v>10</v>
      </c>
      <c r="F94" s="24">
        <v>29</v>
      </c>
      <c r="G94" s="24">
        <v>10</v>
      </c>
      <c r="H94" s="87">
        <v>190</v>
      </c>
      <c r="I94" s="87">
        <v>190</v>
      </c>
      <c r="J94" s="60">
        <v>0.38</v>
      </c>
      <c r="K94" s="60">
        <v>0.38</v>
      </c>
      <c r="L94" s="60">
        <v>0.1</v>
      </c>
      <c r="M94" s="60">
        <v>0.1</v>
      </c>
      <c r="N94" s="60"/>
      <c r="O94" s="60"/>
    </row>
    <row r="95" spans="1:15" hidden="1">
      <c r="A95" s="60">
        <v>55</v>
      </c>
      <c r="B95" s="60" t="s">
        <v>594</v>
      </c>
      <c r="C95" s="60" t="s">
        <v>24</v>
      </c>
      <c r="D95" s="24">
        <v>28</v>
      </c>
      <c r="E95" s="24">
        <v>55</v>
      </c>
      <c r="F95" s="24">
        <v>28</v>
      </c>
      <c r="G95" s="24">
        <v>55</v>
      </c>
      <c r="H95" s="60">
        <v>-49.09</v>
      </c>
      <c r="I95" s="60">
        <v>-49.09</v>
      </c>
      <c r="J95" s="60">
        <v>0.37</v>
      </c>
      <c r="K95" s="60">
        <v>0.37</v>
      </c>
      <c r="L95" s="60">
        <v>0.52</v>
      </c>
      <c r="M95" s="60">
        <v>0.52</v>
      </c>
      <c r="N95" s="60"/>
      <c r="O95" s="60"/>
    </row>
    <row r="96" spans="1:15" hidden="1">
      <c r="A96" s="60">
        <v>56</v>
      </c>
      <c r="B96" s="60" t="s">
        <v>429</v>
      </c>
      <c r="C96" s="60" t="s">
        <v>24</v>
      </c>
      <c r="D96" s="24">
        <v>27</v>
      </c>
      <c r="E96" s="24">
        <v>82</v>
      </c>
      <c r="F96" s="24">
        <v>27</v>
      </c>
      <c r="G96" s="24">
        <v>82</v>
      </c>
      <c r="H96" s="60">
        <v>-67.069999999999993</v>
      </c>
      <c r="I96" s="60">
        <v>-67.069999999999993</v>
      </c>
      <c r="J96" s="60">
        <v>0.35</v>
      </c>
      <c r="K96" s="60">
        <v>0.35</v>
      </c>
      <c r="L96" s="60">
        <v>0.78</v>
      </c>
      <c r="M96" s="60">
        <v>0.78</v>
      </c>
      <c r="N96" s="60"/>
      <c r="O96" s="60"/>
    </row>
    <row r="97" spans="1:15">
      <c r="A97" s="60">
        <v>57</v>
      </c>
      <c r="B97" s="60" t="s">
        <v>690</v>
      </c>
      <c r="C97" s="60" t="s">
        <v>23</v>
      </c>
      <c r="D97" s="24">
        <v>26</v>
      </c>
      <c r="E97" s="24">
        <v>13</v>
      </c>
      <c r="F97" s="24">
        <v>26</v>
      </c>
      <c r="G97" s="24">
        <v>13</v>
      </c>
      <c r="H97" s="60">
        <v>100</v>
      </c>
      <c r="I97" s="60">
        <v>100</v>
      </c>
      <c r="J97" s="60">
        <v>0.34</v>
      </c>
      <c r="K97" s="60">
        <v>0.34</v>
      </c>
      <c r="L97" s="60">
        <v>0.12</v>
      </c>
      <c r="M97" s="60">
        <v>0.12</v>
      </c>
      <c r="N97" s="60"/>
      <c r="O97" s="60"/>
    </row>
    <row r="98" spans="1:15" hidden="1">
      <c r="A98" s="60">
        <v>58</v>
      </c>
      <c r="B98" s="60" t="s">
        <v>1051</v>
      </c>
      <c r="C98" s="60" t="s">
        <v>24</v>
      </c>
      <c r="D98" s="24">
        <v>26</v>
      </c>
      <c r="E98" s="24">
        <v>0</v>
      </c>
      <c r="F98" s="24">
        <v>26</v>
      </c>
      <c r="G98" s="24">
        <v>0</v>
      </c>
      <c r="H98" s="60">
        <v>0</v>
      </c>
      <c r="I98" s="60">
        <v>0</v>
      </c>
      <c r="J98" s="60">
        <v>0.34</v>
      </c>
      <c r="K98" s="60">
        <v>0.34</v>
      </c>
      <c r="L98" s="60">
        <v>0</v>
      </c>
      <c r="M98" s="60">
        <v>0</v>
      </c>
      <c r="N98" s="60"/>
      <c r="O98" s="60"/>
    </row>
    <row r="99" spans="1:15">
      <c r="A99" s="60">
        <v>59</v>
      </c>
      <c r="B99" s="60" t="s">
        <v>418</v>
      </c>
      <c r="C99" s="60" t="s">
        <v>23</v>
      </c>
      <c r="D99" s="24">
        <v>25</v>
      </c>
      <c r="E99" s="24">
        <v>123</v>
      </c>
      <c r="F99" s="24">
        <v>25</v>
      </c>
      <c r="G99" s="24">
        <v>123</v>
      </c>
      <c r="H99" s="60">
        <v>-79.67</v>
      </c>
      <c r="I99" s="60">
        <v>-79.67</v>
      </c>
      <c r="J99" s="60">
        <v>0.33</v>
      </c>
      <c r="K99" s="60">
        <v>0.33</v>
      </c>
      <c r="L99" s="60">
        <v>1.17</v>
      </c>
      <c r="M99" s="60">
        <v>1.17</v>
      </c>
      <c r="N99" s="60"/>
      <c r="O99" s="60"/>
    </row>
    <row r="100" spans="1:15">
      <c r="A100" s="60">
        <v>60</v>
      </c>
      <c r="B100" s="60" t="s">
        <v>523</v>
      </c>
      <c r="C100" s="60" t="s">
        <v>23</v>
      </c>
      <c r="D100" s="24">
        <v>24</v>
      </c>
      <c r="E100" s="24">
        <v>209</v>
      </c>
      <c r="F100" s="24">
        <v>24</v>
      </c>
      <c r="G100" s="24">
        <v>209</v>
      </c>
      <c r="H100" s="60">
        <v>-88.52</v>
      </c>
      <c r="I100" s="60">
        <v>-88.52</v>
      </c>
      <c r="J100" s="60">
        <v>0.31</v>
      </c>
      <c r="K100" s="60">
        <v>0.31</v>
      </c>
      <c r="L100" s="60">
        <v>1.99</v>
      </c>
      <c r="M100" s="60">
        <v>1.99</v>
      </c>
      <c r="N100" s="60"/>
      <c r="O100" s="60"/>
    </row>
    <row r="101" spans="1:15" hidden="1">
      <c r="A101" s="60">
        <v>61</v>
      </c>
      <c r="B101" s="60" t="s">
        <v>88</v>
      </c>
      <c r="C101" s="60" t="s">
        <v>24</v>
      </c>
      <c r="D101" s="24">
        <v>24</v>
      </c>
      <c r="E101" s="24">
        <v>48</v>
      </c>
      <c r="F101" s="24">
        <v>24</v>
      </c>
      <c r="G101" s="24">
        <v>48</v>
      </c>
      <c r="H101" s="60">
        <v>-50</v>
      </c>
      <c r="I101" s="60">
        <v>-50</v>
      </c>
      <c r="J101" s="60">
        <v>0.31</v>
      </c>
      <c r="K101" s="60">
        <v>0.31</v>
      </c>
      <c r="L101" s="60">
        <v>0.46</v>
      </c>
      <c r="M101" s="60">
        <v>0.46</v>
      </c>
      <c r="N101" s="60"/>
      <c r="O101" s="60"/>
    </row>
    <row r="102" spans="1:15" hidden="1">
      <c r="A102" s="60">
        <v>62</v>
      </c>
      <c r="B102" s="60" t="s">
        <v>697</v>
      </c>
      <c r="C102" s="60" t="s">
        <v>24</v>
      </c>
      <c r="D102" s="24">
        <v>23</v>
      </c>
      <c r="E102" s="24">
        <v>53</v>
      </c>
      <c r="F102" s="24">
        <v>23</v>
      </c>
      <c r="G102" s="24">
        <v>53</v>
      </c>
      <c r="H102" s="60">
        <v>-56.6</v>
      </c>
      <c r="I102" s="60">
        <v>-56.6</v>
      </c>
      <c r="J102" s="60">
        <v>0.3</v>
      </c>
      <c r="K102" s="60">
        <v>0.3</v>
      </c>
      <c r="L102" s="60">
        <v>0.5</v>
      </c>
      <c r="M102" s="60">
        <v>0.5</v>
      </c>
      <c r="N102" s="60"/>
      <c r="O102" s="60"/>
    </row>
    <row r="103" spans="1:15">
      <c r="A103" s="60">
        <v>63</v>
      </c>
      <c r="B103" s="60" t="s">
        <v>433</v>
      </c>
      <c r="C103" s="60" t="s">
        <v>23</v>
      </c>
      <c r="D103" s="24">
        <v>23</v>
      </c>
      <c r="E103" s="24">
        <v>13</v>
      </c>
      <c r="F103" s="24">
        <v>23</v>
      </c>
      <c r="G103" s="24">
        <v>13</v>
      </c>
      <c r="H103" s="60">
        <v>76.92</v>
      </c>
      <c r="I103" s="60">
        <v>76.92</v>
      </c>
      <c r="J103" s="60">
        <v>0.3</v>
      </c>
      <c r="K103" s="60">
        <v>0.3</v>
      </c>
      <c r="L103" s="60">
        <v>0.12</v>
      </c>
      <c r="M103" s="60">
        <v>0.12</v>
      </c>
      <c r="N103" s="60"/>
      <c r="O103" s="60"/>
    </row>
    <row r="104" spans="1:15">
      <c r="A104" s="60">
        <v>64</v>
      </c>
      <c r="B104" s="60" t="s">
        <v>240</v>
      </c>
      <c r="C104" s="60" t="s">
        <v>23</v>
      </c>
      <c r="D104" s="24">
        <v>21</v>
      </c>
      <c r="E104" s="24">
        <v>74</v>
      </c>
      <c r="F104" s="24">
        <v>21</v>
      </c>
      <c r="G104" s="24">
        <v>74</v>
      </c>
      <c r="H104" s="60">
        <v>-71.62</v>
      </c>
      <c r="I104" s="60">
        <v>-71.62</v>
      </c>
      <c r="J104" s="60">
        <v>0.28000000000000003</v>
      </c>
      <c r="K104" s="60">
        <v>0.28000000000000003</v>
      </c>
      <c r="L104" s="60">
        <v>0.7</v>
      </c>
      <c r="M104" s="60">
        <v>0.7</v>
      </c>
      <c r="N104" s="60"/>
      <c r="O104" s="60"/>
    </row>
    <row r="105" spans="1:15" hidden="1">
      <c r="A105" s="60">
        <v>65</v>
      </c>
      <c r="B105" s="60" t="s">
        <v>676</v>
      </c>
      <c r="C105" s="60" t="s">
        <v>24</v>
      </c>
      <c r="D105" s="24">
        <v>21</v>
      </c>
      <c r="E105" s="24">
        <v>0</v>
      </c>
      <c r="F105" s="24">
        <v>21</v>
      </c>
      <c r="G105" s="24">
        <v>0</v>
      </c>
      <c r="H105" s="60">
        <v>0</v>
      </c>
      <c r="I105" s="60">
        <v>0</v>
      </c>
      <c r="J105" s="60">
        <v>0.28000000000000003</v>
      </c>
      <c r="K105" s="60">
        <v>0.28000000000000003</v>
      </c>
      <c r="L105" s="60">
        <v>0</v>
      </c>
      <c r="M105" s="60">
        <v>0</v>
      </c>
      <c r="N105" s="60"/>
      <c r="O105" s="60"/>
    </row>
    <row r="106" spans="1:15">
      <c r="A106" s="60">
        <v>66</v>
      </c>
      <c r="B106" s="60" t="s">
        <v>376</v>
      </c>
      <c r="C106" s="60" t="s">
        <v>23</v>
      </c>
      <c r="D106" s="24">
        <v>20</v>
      </c>
      <c r="E106" s="24">
        <v>34</v>
      </c>
      <c r="F106" s="24">
        <v>20</v>
      </c>
      <c r="G106" s="24">
        <v>34</v>
      </c>
      <c r="H106" s="60">
        <v>-41.18</v>
      </c>
      <c r="I106" s="60">
        <v>-41.18</v>
      </c>
      <c r="J106" s="60">
        <v>0.26</v>
      </c>
      <c r="K106" s="60">
        <v>0.26</v>
      </c>
      <c r="L106" s="60">
        <v>0.32</v>
      </c>
      <c r="M106" s="60">
        <v>0.32</v>
      </c>
      <c r="N106" s="60"/>
      <c r="O106" s="60"/>
    </row>
    <row r="107" spans="1:15">
      <c r="A107" s="60">
        <v>67</v>
      </c>
      <c r="B107" s="60" t="s">
        <v>1032</v>
      </c>
      <c r="C107" s="60" t="s">
        <v>23</v>
      </c>
      <c r="D107" s="24">
        <v>20</v>
      </c>
      <c r="E107" s="24">
        <v>0</v>
      </c>
      <c r="F107" s="24">
        <v>20</v>
      </c>
      <c r="G107" s="24">
        <v>0</v>
      </c>
      <c r="H107" s="60">
        <v>0</v>
      </c>
      <c r="I107" s="60">
        <v>0</v>
      </c>
      <c r="J107" s="60">
        <v>0.26</v>
      </c>
      <c r="K107" s="60">
        <v>0.26</v>
      </c>
      <c r="L107" s="60">
        <v>0</v>
      </c>
      <c r="M107" s="60">
        <v>0</v>
      </c>
      <c r="N107" s="60"/>
      <c r="O107" s="60"/>
    </row>
    <row r="108" spans="1:15" hidden="1">
      <c r="A108" s="60">
        <v>68</v>
      </c>
      <c r="B108" s="60" t="s">
        <v>149</v>
      </c>
      <c r="C108" s="60" t="s">
        <v>24</v>
      </c>
      <c r="D108" s="24">
        <v>20</v>
      </c>
      <c r="E108" s="24">
        <v>0</v>
      </c>
      <c r="F108" s="24">
        <v>20</v>
      </c>
      <c r="G108" s="24">
        <v>0</v>
      </c>
      <c r="H108" s="60">
        <v>0</v>
      </c>
      <c r="I108" s="60">
        <v>0</v>
      </c>
      <c r="J108" s="60">
        <v>0.26</v>
      </c>
      <c r="K108" s="60">
        <v>0.26</v>
      </c>
      <c r="L108" s="60">
        <v>0</v>
      </c>
      <c r="M108" s="60">
        <v>0</v>
      </c>
      <c r="N108" s="60"/>
      <c r="O108" s="60"/>
    </row>
    <row r="109" spans="1:15">
      <c r="A109" s="60">
        <v>69</v>
      </c>
      <c r="B109" s="60" t="s">
        <v>1087</v>
      </c>
      <c r="C109" s="60" t="s">
        <v>23</v>
      </c>
      <c r="D109" s="24">
        <v>19</v>
      </c>
      <c r="E109" s="24">
        <v>0</v>
      </c>
      <c r="F109" s="24">
        <v>19</v>
      </c>
      <c r="G109" s="24">
        <v>0</v>
      </c>
      <c r="H109" s="60">
        <v>0</v>
      </c>
      <c r="I109" s="60">
        <v>0</v>
      </c>
      <c r="J109" s="60">
        <v>0.25</v>
      </c>
      <c r="K109" s="60">
        <v>0.25</v>
      </c>
      <c r="L109" s="60">
        <v>0</v>
      </c>
      <c r="M109" s="60">
        <v>0</v>
      </c>
      <c r="N109" s="60"/>
      <c r="O109" s="60"/>
    </row>
    <row r="110" spans="1:15" hidden="1">
      <c r="A110" s="60">
        <v>70</v>
      </c>
      <c r="B110" s="60" t="s">
        <v>607</v>
      </c>
      <c r="C110" s="60" t="s">
        <v>24</v>
      </c>
      <c r="D110" s="24">
        <v>18</v>
      </c>
      <c r="E110" s="24">
        <v>110</v>
      </c>
      <c r="F110" s="24">
        <v>18</v>
      </c>
      <c r="G110" s="24">
        <v>110</v>
      </c>
      <c r="H110" s="60">
        <v>-83.64</v>
      </c>
      <c r="I110" s="60">
        <v>-83.64</v>
      </c>
      <c r="J110" s="60">
        <v>0.24</v>
      </c>
      <c r="K110" s="60">
        <v>0.24</v>
      </c>
      <c r="L110" s="60">
        <v>1.05</v>
      </c>
      <c r="M110" s="60">
        <v>1.05</v>
      </c>
      <c r="N110" s="60"/>
      <c r="O110" s="60"/>
    </row>
    <row r="111" spans="1:15">
      <c r="A111" s="60">
        <v>71</v>
      </c>
      <c r="B111" s="60" t="s">
        <v>247</v>
      </c>
      <c r="C111" s="60" t="s">
        <v>23</v>
      </c>
      <c r="D111" s="24">
        <v>18</v>
      </c>
      <c r="E111" s="24">
        <v>2</v>
      </c>
      <c r="F111" s="24">
        <v>18</v>
      </c>
      <c r="G111" s="24">
        <v>2</v>
      </c>
      <c r="H111" s="60">
        <v>800</v>
      </c>
      <c r="I111" s="60">
        <v>800</v>
      </c>
      <c r="J111" s="60">
        <v>0.24</v>
      </c>
      <c r="K111" s="60">
        <v>0.24</v>
      </c>
      <c r="L111" s="60">
        <v>0.02</v>
      </c>
      <c r="M111" s="60">
        <v>0.02</v>
      </c>
      <c r="N111" s="60"/>
      <c r="O111" s="60"/>
    </row>
    <row r="112" spans="1:15" hidden="1">
      <c r="A112" s="60">
        <v>72</v>
      </c>
      <c r="B112" s="60" t="s">
        <v>1059</v>
      </c>
      <c r="C112" s="60" t="s">
        <v>24</v>
      </c>
      <c r="D112" s="24">
        <v>18</v>
      </c>
      <c r="E112" s="24">
        <v>0</v>
      </c>
      <c r="F112" s="24">
        <v>18</v>
      </c>
      <c r="G112" s="24">
        <v>0</v>
      </c>
      <c r="H112" s="60">
        <v>0</v>
      </c>
      <c r="I112" s="60">
        <v>0</v>
      </c>
      <c r="J112" s="60">
        <v>0.24</v>
      </c>
      <c r="K112" s="60">
        <v>0.24</v>
      </c>
      <c r="L112" s="60">
        <v>0</v>
      </c>
      <c r="M112" s="60">
        <v>0</v>
      </c>
      <c r="N112" s="60"/>
      <c r="O112" s="60"/>
    </row>
    <row r="113" spans="1:15" hidden="1">
      <c r="A113" s="60">
        <v>73</v>
      </c>
      <c r="B113" s="60" t="s">
        <v>636</v>
      </c>
      <c r="C113" s="60" t="s">
        <v>24</v>
      </c>
      <c r="D113" s="24">
        <v>17</v>
      </c>
      <c r="E113" s="24">
        <v>112</v>
      </c>
      <c r="F113" s="24">
        <v>17</v>
      </c>
      <c r="G113" s="24">
        <v>112</v>
      </c>
      <c r="H113" s="60">
        <v>-84.82</v>
      </c>
      <c r="I113" s="60">
        <v>-84.82</v>
      </c>
      <c r="J113" s="60">
        <v>0.22</v>
      </c>
      <c r="K113" s="60">
        <v>0.22</v>
      </c>
      <c r="L113" s="60">
        <v>1.06</v>
      </c>
      <c r="M113" s="60">
        <v>1.06</v>
      </c>
      <c r="N113" s="60"/>
      <c r="O113" s="60"/>
    </row>
    <row r="114" spans="1:15">
      <c r="A114" s="60">
        <v>74</v>
      </c>
      <c r="B114" s="60" t="s">
        <v>384</v>
      </c>
      <c r="C114" s="60" t="s">
        <v>23</v>
      </c>
      <c r="D114" s="24">
        <v>17</v>
      </c>
      <c r="E114" s="24">
        <v>66</v>
      </c>
      <c r="F114" s="24">
        <v>17</v>
      </c>
      <c r="G114" s="24">
        <v>66</v>
      </c>
      <c r="H114" s="60">
        <v>-74.239999999999995</v>
      </c>
      <c r="I114" s="60">
        <v>-74.239999999999995</v>
      </c>
      <c r="J114" s="60">
        <v>0.22</v>
      </c>
      <c r="K114" s="60">
        <v>0.22</v>
      </c>
      <c r="L114" s="60">
        <v>0.63</v>
      </c>
      <c r="M114" s="60">
        <v>0.63</v>
      </c>
      <c r="N114" s="60"/>
      <c r="O114" s="60"/>
    </row>
    <row r="115" spans="1:15" hidden="1">
      <c r="A115" s="60">
        <v>75</v>
      </c>
      <c r="B115" s="60" t="s">
        <v>649</v>
      </c>
      <c r="C115" s="60" t="s">
        <v>24</v>
      </c>
      <c r="D115" s="24">
        <v>17</v>
      </c>
      <c r="E115" s="24">
        <v>40</v>
      </c>
      <c r="F115" s="24">
        <v>17</v>
      </c>
      <c r="G115" s="24">
        <v>40</v>
      </c>
      <c r="H115" s="60">
        <v>-57.5</v>
      </c>
      <c r="I115" s="60">
        <v>-57.5</v>
      </c>
      <c r="J115" s="60">
        <v>0.22</v>
      </c>
      <c r="K115" s="60">
        <v>0.22</v>
      </c>
      <c r="L115" s="60">
        <v>0.38</v>
      </c>
      <c r="M115" s="60">
        <v>0.38</v>
      </c>
      <c r="N115" s="60"/>
      <c r="O115" s="60"/>
    </row>
    <row r="116" spans="1:15">
      <c r="A116" s="60">
        <v>76</v>
      </c>
      <c r="B116" s="60" t="s">
        <v>453</v>
      </c>
      <c r="C116" s="60" t="s">
        <v>23</v>
      </c>
      <c r="D116" s="24">
        <v>15</v>
      </c>
      <c r="E116" s="24">
        <v>178</v>
      </c>
      <c r="F116" s="24">
        <v>15</v>
      </c>
      <c r="G116" s="24">
        <v>178</v>
      </c>
      <c r="H116" s="60">
        <v>-91.57</v>
      </c>
      <c r="I116" s="60">
        <v>-91.57</v>
      </c>
      <c r="J116" s="60">
        <v>0.2</v>
      </c>
      <c r="K116" s="60">
        <v>0.2</v>
      </c>
      <c r="L116" s="60">
        <v>1.69</v>
      </c>
      <c r="M116" s="60">
        <v>1.69</v>
      </c>
      <c r="N116" s="60"/>
      <c r="O116" s="60"/>
    </row>
    <row r="117" spans="1:15">
      <c r="A117" s="60">
        <v>77</v>
      </c>
      <c r="B117" s="60" t="s">
        <v>84</v>
      </c>
      <c r="C117" s="60" t="s">
        <v>23</v>
      </c>
      <c r="D117" s="24">
        <v>15</v>
      </c>
      <c r="E117" s="24">
        <v>48</v>
      </c>
      <c r="F117" s="24">
        <v>15</v>
      </c>
      <c r="G117" s="24">
        <v>48</v>
      </c>
      <c r="H117" s="60">
        <v>-68.75</v>
      </c>
      <c r="I117" s="60">
        <v>-68.75</v>
      </c>
      <c r="J117" s="60">
        <v>0.2</v>
      </c>
      <c r="K117" s="60">
        <v>0.2</v>
      </c>
      <c r="L117" s="60">
        <v>0.46</v>
      </c>
      <c r="M117" s="60">
        <v>0.46</v>
      </c>
      <c r="N117" s="60"/>
      <c r="O117" s="60"/>
    </row>
    <row r="118" spans="1:15">
      <c r="A118" s="60">
        <v>78</v>
      </c>
      <c r="B118" s="60" t="s">
        <v>667</v>
      </c>
      <c r="C118" s="60" t="s">
        <v>23</v>
      </c>
      <c r="D118" s="24">
        <v>13</v>
      </c>
      <c r="E118" s="24">
        <v>39</v>
      </c>
      <c r="F118" s="24">
        <v>13</v>
      </c>
      <c r="G118" s="24">
        <v>39</v>
      </c>
      <c r="H118" s="60">
        <v>-66.67</v>
      </c>
      <c r="I118" s="60">
        <v>-66.67</v>
      </c>
      <c r="J118" s="60">
        <v>0.17</v>
      </c>
      <c r="K118" s="60">
        <v>0.17</v>
      </c>
      <c r="L118" s="60">
        <v>0.37</v>
      </c>
      <c r="M118" s="60">
        <v>0.37</v>
      </c>
      <c r="N118" s="60"/>
      <c r="O118" s="60"/>
    </row>
    <row r="119" spans="1:15" hidden="1">
      <c r="A119" s="60">
        <v>79</v>
      </c>
      <c r="B119" s="60" t="s">
        <v>472</v>
      </c>
      <c r="C119" s="60" t="s">
        <v>24</v>
      </c>
      <c r="D119" s="24">
        <v>13</v>
      </c>
      <c r="E119" s="24">
        <v>1</v>
      </c>
      <c r="F119" s="24">
        <v>13</v>
      </c>
      <c r="G119" s="24">
        <v>1</v>
      </c>
      <c r="H119" s="60">
        <v>1200</v>
      </c>
      <c r="I119" s="60">
        <v>1200</v>
      </c>
      <c r="J119" s="60">
        <v>0.17</v>
      </c>
      <c r="K119" s="60">
        <v>0.17</v>
      </c>
      <c r="L119" s="60">
        <v>0.01</v>
      </c>
      <c r="M119" s="60">
        <v>0.01</v>
      </c>
      <c r="N119" s="60"/>
      <c r="O119" s="60"/>
    </row>
    <row r="120" spans="1:15" hidden="1">
      <c r="A120" s="60">
        <v>80</v>
      </c>
      <c r="B120" s="60" t="s">
        <v>1025</v>
      </c>
      <c r="C120" s="60" t="s">
        <v>24</v>
      </c>
      <c r="D120" s="24">
        <v>13</v>
      </c>
      <c r="E120" s="24">
        <v>0</v>
      </c>
      <c r="F120" s="24">
        <v>13</v>
      </c>
      <c r="G120" s="24">
        <v>0</v>
      </c>
      <c r="H120" s="60">
        <v>0</v>
      </c>
      <c r="I120" s="60">
        <v>0</v>
      </c>
      <c r="J120" s="60">
        <v>0.17</v>
      </c>
      <c r="K120" s="60">
        <v>0.17</v>
      </c>
      <c r="L120" s="60">
        <v>0</v>
      </c>
      <c r="M120" s="60">
        <v>0</v>
      </c>
      <c r="N120" s="60"/>
      <c r="O120" s="60"/>
    </row>
    <row r="121" spans="1:15" hidden="1">
      <c r="A121" s="60">
        <v>81</v>
      </c>
      <c r="B121" s="60" t="s">
        <v>426</v>
      </c>
      <c r="C121" s="60" t="s">
        <v>24</v>
      </c>
      <c r="D121" s="24">
        <v>12</v>
      </c>
      <c r="E121" s="24">
        <v>68</v>
      </c>
      <c r="F121" s="24">
        <v>12</v>
      </c>
      <c r="G121" s="24">
        <v>68</v>
      </c>
      <c r="H121" s="60">
        <v>-82.35</v>
      </c>
      <c r="I121" s="60">
        <v>-82.35</v>
      </c>
      <c r="J121" s="60">
        <v>0.16</v>
      </c>
      <c r="K121" s="60">
        <v>0.16</v>
      </c>
      <c r="L121" s="60">
        <v>0.65</v>
      </c>
      <c r="M121" s="60">
        <v>0.65</v>
      </c>
      <c r="N121" s="60"/>
      <c r="O121" s="60"/>
    </row>
    <row r="122" spans="1:15" hidden="1">
      <c r="A122" s="60">
        <v>82</v>
      </c>
      <c r="B122" s="60" t="s">
        <v>676</v>
      </c>
      <c r="C122" s="60" t="s">
        <v>24</v>
      </c>
      <c r="D122" s="24">
        <v>12</v>
      </c>
      <c r="E122" s="24">
        <v>20</v>
      </c>
      <c r="F122" s="24">
        <v>12</v>
      </c>
      <c r="G122" s="24">
        <v>20</v>
      </c>
      <c r="H122" s="60">
        <v>-40</v>
      </c>
      <c r="I122" s="60">
        <v>-40</v>
      </c>
      <c r="J122" s="60">
        <v>0.16</v>
      </c>
      <c r="K122" s="60">
        <v>0.16</v>
      </c>
      <c r="L122" s="60">
        <v>0.19</v>
      </c>
      <c r="M122" s="60">
        <v>0.19</v>
      </c>
      <c r="N122" s="60"/>
      <c r="O122" s="60"/>
    </row>
    <row r="123" spans="1:15">
      <c r="A123" s="60">
        <v>83</v>
      </c>
      <c r="B123" s="60" t="s">
        <v>430</v>
      </c>
      <c r="C123" s="60" t="s">
        <v>23</v>
      </c>
      <c r="D123" s="24">
        <v>11</v>
      </c>
      <c r="E123" s="24">
        <v>114</v>
      </c>
      <c r="F123" s="24">
        <v>11</v>
      </c>
      <c r="G123" s="24">
        <v>114</v>
      </c>
      <c r="H123" s="60">
        <v>-90.35</v>
      </c>
      <c r="I123" s="60">
        <v>-90.35</v>
      </c>
      <c r="J123" s="60">
        <v>0.14000000000000001</v>
      </c>
      <c r="K123" s="60">
        <v>0.14000000000000001</v>
      </c>
      <c r="L123" s="60">
        <v>1.08</v>
      </c>
      <c r="M123" s="60">
        <v>1.08</v>
      </c>
      <c r="N123" s="60"/>
      <c r="O123" s="60"/>
    </row>
    <row r="124" spans="1:15" hidden="1">
      <c r="A124" s="60">
        <v>84</v>
      </c>
      <c r="B124" s="60" t="s">
        <v>424</v>
      </c>
      <c r="C124" s="60" t="s">
        <v>24</v>
      </c>
      <c r="D124" s="24">
        <v>11</v>
      </c>
      <c r="E124" s="24">
        <v>72</v>
      </c>
      <c r="F124" s="24">
        <v>11</v>
      </c>
      <c r="G124" s="24">
        <v>72</v>
      </c>
      <c r="H124" s="60">
        <v>-84.72</v>
      </c>
      <c r="I124" s="60">
        <v>-84.72</v>
      </c>
      <c r="J124" s="60">
        <v>0.14000000000000001</v>
      </c>
      <c r="K124" s="60">
        <v>0.14000000000000001</v>
      </c>
      <c r="L124" s="60">
        <v>0.68</v>
      </c>
      <c r="M124" s="60">
        <v>0.68</v>
      </c>
      <c r="N124" s="60"/>
      <c r="O124" s="60"/>
    </row>
    <row r="125" spans="1:15">
      <c r="A125" s="60">
        <v>85</v>
      </c>
      <c r="B125" s="60" t="s">
        <v>165</v>
      </c>
      <c r="C125" s="60" t="s">
        <v>23</v>
      </c>
      <c r="D125" s="24">
        <v>11</v>
      </c>
      <c r="E125" s="24">
        <v>21</v>
      </c>
      <c r="F125" s="24">
        <v>11</v>
      </c>
      <c r="G125" s="24">
        <v>21</v>
      </c>
      <c r="H125" s="60">
        <v>-47.62</v>
      </c>
      <c r="I125" s="60">
        <v>-47.62</v>
      </c>
      <c r="J125" s="60">
        <v>0.14000000000000001</v>
      </c>
      <c r="K125" s="60">
        <v>0.14000000000000001</v>
      </c>
      <c r="L125" s="60">
        <v>0.2</v>
      </c>
      <c r="M125" s="60">
        <v>0.2</v>
      </c>
      <c r="N125" s="60"/>
      <c r="O125" s="60"/>
    </row>
    <row r="126" spans="1:15" hidden="1">
      <c r="A126" s="60">
        <v>86</v>
      </c>
      <c r="B126" s="60" t="s">
        <v>698</v>
      </c>
      <c r="C126" s="60" t="s">
        <v>24</v>
      </c>
      <c r="D126" s="24">
        <v>11</v>
      </c>
      <c r="E126" s="24">
        <v>8</v>
      </c>
      <c r="F126" s="24">
        <v>11</v>
      </c>
      <c r="G126" s="24">
        <v>8</v>
      </c>
      <c r="H126" s="60">
        <v>37.5</v>
      </c>
      <c r="I126" s="60">
        <v>37.5</v>
      </c>
      <c r="J126" s="60">
        <v>0.14000000000000001</v>
      </c>
      <c r="K126" s="60">
        <v>0.14000000000000001</v>
      </c>
      <c r="L126" s="60">
        <v>0.08</v>
      </c>
      <c r="M126" s="60">
        <v>0.08</v>
      </c>
      <c r="N126" s="60"/>
      <c r="O126" s="60"/>
    </row>
    <row r="127" spans="1:15">
      <c r="A127" s="60">
        <v>87</v>
      </c>
      <c r="B127" s="60" t="s">
        <v>79</v>
      </c>
      <c r="C127" s="60" t="s">
        <v>23</v>
      </c>
      <c r="D127" s="24">
        <v>10</v>
      </c>
      <c r="E127" s="24">
        <v>58</v>
      </c>
      <c r="F127" s="24">
        <v>10</v>
      </c>
      <c r="G127" s="24">
        <v>58</v>
      </c>
      <c r="H127" s="60">
        <v>-82.76</v>
      </c>
      <c r="I127" s="60">
        <v>-82.76</v>
      </c>
      <c r="J127" s="60">
        <v>0.13</v>
      </c>
      <c r="K127" s="60">
        <v>0.13</v>
      </c>
      <c r="L127" s="60">
        <v>0.55000000000000004</v>
      </c>
      <c r="M127" s="60">
        <v>0.55000000000000004</v>
      </c>
      <c r="N127" s="60"/>
      <c r="O127" s="60"/>
    </row>
    <row r="128" spans="1:15">
      <c r="A128" s="60">
        <v>88</v>
      </c>
      <c r="B128" s="60" t="s">
        <v>634</v>
      </c>
      <c r="C128" s="60" t="s">
        <v>23</v>
      </c>
      <c r="D128" s="24">
        <v>10</v>
      </c>
      <c r="E128" s="24">
        <v>13</v>
      </c>
      <c r="F128" s="24">
        <v>10</v>
      </c>
      <c r="G128" s="24">
        <v>13</v>
      </c>
      <c r="H128" s="60">
        <v>-23.08</v>
      </c>
      <c r="I128" s="60">
        <v>-23.08</v>
      </c>
      <c r="J128" s="60">
        <v>0.13</v>
      </c>
      <c r="K128" s="60">
        <v>0.13</v>
      </c>
      <c r="L128" s="60">
        <v>0.12</v>
      </c>
      <c r="M128" s="60">
        <v>0.12</v>
      </c>
      <c r="N128" s="60"/>
      <c r="O128" s="60"/>
    </row>
    <row r="129" spans="1:15" hidden="1">
      <c r="A129" s="60">
        <v>89</v>
      </c>
      <c r="B129" s="60" t="s">
        <v>1073</v>
      </c>
      <c r="C129" s="60" t="s">
        <v>24</v>
      </c>
      <c r="D129" s="24">
        <v>10</v>
      </c>
      <c r="E129" s="24">
        <v>0</v>
      </c>
      <c r="F129" s="24">
        <v>10</v>
      </c>
      <c r="G129" s="24">
        <v>0</v>
      </c>
      <c r="H129" s="60">
        <v>0</v>
      </c>
      <c r="I129" s="60">
        <v>0</v>
      </c>
      <c r="J129" s="60">
        <v>0.13</v>
      </c>
      <c r="K129" s="60">
        <v>0.13</v>
      </c>
      <c r="L129" s="60">
        <v>0</v>
      </c>
      <c r="M129" s="60">
        <v>0</v>
      </c>
      <c r="N129" s="60"/>
      <c r="O129" s="60"/>
    </row>
    <row r="130" spans="1:15">
      <c r="A130" s="60">
        <v>90</v>
      </c>
      <c r="B130" s="60" t="s">
        <v>184</v>
      </c>
      <c r="C130" s="60" t="s">
        <v>23</v>
      </c>
      <c r="D130" s="24">
        <v>9</v>
      </c>
      <c r="E130" s="24">
        <v>49</v>
      </c>
      <c r="F130" s="24">
        <v>9</v>
      </c>
      <c r="G130" s="24">
        <v>49</v>
      </c>
      <c r="H130" s="60">
        <v>-81.63</v>
      </c>
      <c r="I130" s="60">
        <v>-81.63</v>
      </c>
      <c r="J130" s="60">
        <v>0.12</v>
      </c>
      <c r="K130" s="60">
        <v>0.12</v>
      </c>
      <c r="L130" s="60">
        <v>0.47</v>
      </c>
      <c r="M130" s="60">
        <v>0.47</v>
      </c>
      <c r="N130" s="60"/>
      <c r="O130" s="60"/>
    </row>
    <row r="131" spans="1:15">
      <c r="A131" s="60">
        <v>91</v>
      </c>
      <c r="B131" s="60" t="s">
        <v>411</v>
      </c>
      <c r="C131" s="60" t="s">
        <v>23</v>
      </c>
      <c r="D131" s="24">
        <v>9</v>
      </c>
      <c r="E131" s="24">
        <v>14</v>
      </c>
      <c r="F131" s="24">
        <v>9</v>
      </c>
      <c r="G131" s="24">
        <v>14</v>
      </c>
      <c r="H131" s="60">
        <v>-35.71</v>
      </c>
      <c r="I131" s="60">
        <v>-35.71</v>
      </c>
      <c r="J131" s="60">
        <v>0.12</v>
      </c>
      <c r="K131" s="60">
        <v>0.12</v>
      </c>
      <c r="L131" s="60">
        <v>0.13</v>
      </c>
      <c r="M131" s="60">
        <v>0.13</v>
      </c>
      <c r="N131" s="60"/>
      <c r="O131" s="60"/>
    </row>
    <row r="132" spans="1:15" hidden="1">
      <c r="A132" s="60">
        <v>92</v>
      </c>
      <c r="B132" s="60" t="s">
        <v>530</v>
      </c>
      <c r="C132" s="60" t="s">
        <v>24</v>
      </c>
      <c r="D132" s="24">
        <v>9</v>
      </c>
      <c r="E132" s="24">
        <v>3</v>
      </c>
      <c r="F132" s="24">
        <v>9</v>
      </c>
      <c r="G132" s="24">
        <v>3</v>
      </c>
      <c r="H132" s="60">
        <v>200</v>
      </c>
      <c r="I132" s="60">
        <v>200</v>
      </c>
      <c r="J132" s="60">
        <v>0.12</v>
      </c>
      <c r="K132" s="60">
        <v>0.12</v>
      </c>
      <c r="L132" s="60">
        <v>0.03</v>
      </c>
      <c r="M132" s="60">
        <v>0.03</v>
      </c>
      <c r="N132" s="60"/>
      <c r="O132" s="60"/>
    </row>
    <row r="133" spans="1:15">
      <c r="A133" s="60">
        <v>93</v>
      </c>
      <c r="B133" s="60" t="s">
        <v>1074</v>
      </c>
      <c r="C133" s="60" t="s">
        <v>23</v>
      </c>
      <c r="D133" s="24">
        <v>9</v>
      </c>
      <c r="E133" s="24">
        <v>0</v>
      </c>
      <c r="F133" s="24">
        <v>9</v>
      </c>
      <c r="G133" s="24">
        <v>0</v>
      </c>
      <c r="H133" s="60">
        <v>0</v>
      </c>
      <c r="I133" s="60">
        <v>0</v>
      </c>
      <c r="J133" s="60">
        <v>0.12</v>
      </c>
      <c r="K133" s="60">
        <v>0.12</v>
      </c>
      <c r="L133" s="60">
        <v>0</v>
      </c>
      <c r="M133" s="60">
        <v>0</v>
      </c>
      <c r="N133" s="60"/>
      <c r="O133" s="60"/>
    </row>
    <row r="134" spans="1:15" hidden="1">
      <c r="A134" s="60">
        <v>94</v>
      </c>
      <c r="B134" s="60" t="s">
        <v>727</v>
      </c>
      <c r="C134" s="60" t="s">
        <v>24</v>
      </c>
      <c r="D134" s="24">
        <v>9</v>
      </c>
      <c r="E134" s="24">
        <v>0</v>
      </c>
      <c r="F134" s="24">
        <v>9</v>
      </c>
      <c r="G134" s="24">
        <v>0</v>
      </c>
      <c r="H134" s="60">
        <v>0</v>
      </c>
      <c r="I134" s="60">
        <v>0</v>
      </c>
      <c r="J134" s="60">
        <v>0.12</v>
      </c>
      <c r="K134" s="60">
        <v>0.12</v>
      </c>
      <c r="L134" s="60">
        <v>0</v>
      </c>
      <c r="M134" s="60">
        <v>0</v>
      </c>
      <c r="N134" s="60"/>
      <c r="O134" s="60"/>
    </row>
    <row r="135" spans="1:15" hidden="1">
      <c r="A135" s="60">
        <v>95</v>
      </c>
      <c r="B135" s="60" t="s">
        <v>1069</v>
      </c>
      <c r="C135" s="60" t="s">
        <v>24</v>
      </c>
      <c r="D135" s="24">
        <v>9</v>
      </c>
      <c r="E135" s="24">
        <v>0</v>
      </c>
      <c r="F135" s="24">
        <v>9</v>
      </c>
      <c r="G135" s="24">
        <v>0</v>
      </c>
      <c r="H135" s="60">
        <v>0</v>
      </c>
      <c r="I135" s="60">
        <v>0</v>
      </c>
      <c r="J135" s="60">
        <v>0.12</v>
      </c>
      <c r="K135" s="60">
        <v>0.12</v>
      </c>
      <c r="L135" s="60">
        <v>0</v>
      </c>
      <c r="M135" s="60">
        <v>0</v>
      </c>
      <c r="N135" s="60"/>
      <c r="O135" s="60"/>
    </row>
    <row r="136" spans="1:15">
      <c r="A136" s="60">
        <v>96</v>
      </c>
      <c r="B136" s="60" t="s">
        <v>531</v>
      </c>
      <c r="C136" s="60" t="s">
        <v>23</v>
      </c>
      <c r="D136" s="24">
        <v>8</v>
      </c>
      <c r="E136" s="24">
        <v>28</v>
      </c>
      <c r="F136" s="24">
        <v>8</v>
      </c>
      <c r="G136" s="24">
        <v>28</v>
      </c>
      <c r="H136" s="60">
        <v>-71.430000000000007</v>
      </c>
      <c r="I136" s="60">
        <v>-71.430000000000007</v>
      </c>
      <c r="J136" s="60">
        <v>0.1</v>
      </c>
      <c r="K136" s="60">
        <v>0.1</v>
      </c>
      <c r="L136" s="60">
        <v>0.27</v>
      </c>
      <c r="M136" s="60">
        <v>0.27</v>
      </c>
      <c r="N136" s="60"/>
      <c r="O136" s="60"/>
    </row>
    <row r="137" spans="1:15">
      <c r="A137" s="60">
        <v>97</v>
      </c>
      <c r="B137" s="60" t="s">
        <v>442</v>
      </c>
      <c r="C137" s="60" t="s">
        <v>23</v>
      </c>
      <c r="D137" s="24">
        <v>8</v>
      </c>
      <c r="E137" s="24">
        <v>19</v>
      </c>
      <c r="F137" s="24">
        <v>8</v>
      </c>
      <c r="G137" s="24">
        <v>19</v>
      </c>
      <c r="H137" s="60">
        <v>-57.89</v>
      </c>
      <c r="I137" s="60">
        <v>-57.89</v>
      </c>
      <c r="J137" s="60">
        <v>0.1</v>
      </c>
      <c r="K137" s="60">
        <v>0.1</v>
      </c>
      <c r="L137" s="60">
        <v>0.18</v>
      </c>
      <c r="M137" s="60">
        <v>0.18</v>
      </c>
      <c r="N137" s="60"/>
      <c r="O137" s="60"/>
    </row>
    <row r="138" spans="1:15">
      <c r="A138" s="60">
        <v>98</v>
      </c>
      <c r="B138" s="60" t="s">
        <v>456</v>
      </c>
      <c r="C138" s="60" t="s">
        <v>23</v>
      </c>
      <c r="D138" s="24">
        <v>8</v>
      </c>
      <c r="E138" s="24">
        <v>3</v>
      </c>
      <c r="F138" s="24">
        <v>8</v>
      </c>
      <c r="G138" s="24">
        <v>3</v>
      </c>
      <c r="H138" s="60">
        <v>166.67</v>
      </c>
      <c r="I138" s="60">
        <v>166.67</v>
      </c>
      <c r="J138" s="60">
        <v>0.1</v>
      </c>
      <c r="K138" s="60">
        <v>0.1</v>
      </c>
      <c r="L138" s="60">
        <v>0.03</v>
      </c>
      <c r="M138" s="60">
        <v>0.03</v>
      </c>
      <c r="N138" s="60"/>
      <c r="O138" s="60"/>
    </row>
    <row r="139" spans="1:15" hidden="1">
      <c r="A139" s="60">
        <v>99</v>
      </c>
      <c r="B139" s="60" t="s">
        <v>1110</v>
      </c>
      <c r="C139" s="60" t="s">
        <v>24</v>
      </c>
      <c r="D139" s="24">
        <v>8</v>
      </c>
      <c r="E139" s="24">
        <v>0</v>
      </c>
      <c r="F139" s="24">
        <v>8</v>
      </c>
      <c r="G139" s="24">
        <v>0</v>
      </c>
      <c r="H139" s="60">
        <v>0</v>
      </c>
      <c r="I139" s="60">
        <v>0</v>
      </c>
      <c r="J139" s="60">
        <v>0.1</v>
      </c>
      <c r="K139" s="60">
        <v>0.1</v>
      </c>
      <c r="L139" s="60">
        <v>0</v>
      </c>
      <c r="M139" s="60">
        <v>0</v>
      </c>
      <c r="N139" s="60"/>
      <c r="O139" s="60"/>
    </row>
    <row r="140" spans="1:15">
      <c r="A140" s="60">
        <v>100</v>
      </c>
      <c r="B140" s="60" t="s">
        <v>623</v>
      </c>
      <c r="C140" s="60" t="s">
        <v>23</v>
      </c>
      <c r="D140" s="24">
        <v>7</v>
      </c>
      <c r="E140" s="24">
        <v>321</v>
      </c>
      <c r="F140" s="24">
        <v>7</v>
      </c>
      <c r="G140" s="24">
        <v>321</v>
      </c>
      <c r="H140" s="60">
        <v>-97.82</v>
      </c>
      <c r="I140" s="60">
        <v>-97.82</v>
      </c>
      <c r="J140" s="60">
        <v>0.09</v>
      </c>
      <c r="K140" s="60">
        <v>0.09</v>
      </c>
      <c r="L140" s="60">
        <v>3.05</v>
      </c>
      <c r="M140" s="60">
        <v>3.05</v>
      </c>
      <c r="N140" s="60"/>
      <c r="O140" s="60"/>
    </row>
    <row r="141" spans="1:15">
      <c r="A141" s="60">
        <v>101</v>
      </c>
      <c r="B141" s="60" t="s">
        <v>439</v>
      </c>
      <c r="C141" s="60" t="s">
        <v>23</v>
      </c>
      <c r="D141" s="24">
        <v>7</v>
      </c>
      <c r="E141" s="24">
        <v>62</v>
      </c>
      <c r="F141" s="24">
        <v>7</v>
      </c>
      <c r="G141" s="24">
        <v>62</v>
      </c>
      <c r="H141" s="60">
        <v>-88.71</v>
      </c>
      <c r="I141" s="60">
        <v>-88.71</v>
      </c>
      <c r="J141" s="60">
        <v>0.09</v>
      </c>
      <c r="K141" s="60">
        <v>0.09</v>
      </c>
      <c r="L141" s="60">
        <v>0.59</v>
      </c>
      <c r="M141" s="60">
        <v>0.59</v>
      </c>
      <c r="N141" s="60"/>
      <c r="O141" s="60"/>
    </row>
    <row r="142" spans="1:15">
      <c r="A142" s="60">
        <v>102</v>
      </c>
      <c r="B142" s="60" t="s">
        <v>586</v>
      </c>
      <c r="C142" s="60" t="s">
        <v>23</v>
      </c>
      <c r="D142" s="24">
        <v>7</v>
      </c>
      <c r="E142" s="24">
        <v>15</v>
      </c>
      <c r="F142" s="24">
        <v>7</v>
      </c>
      <c r="G142" s="24">
        <v>15</v>
      </c>
      <c r="H142" s="60">
        <v>-53.33</v>
      </c>
      <c r="I142" s="60">
        <v>-53.33</v>
      </c>
      <c r="J142" s="60">
        <v>0.09</v>
      </c>
      <c r="K142" s="60">
        <v>0.09</v>
      </c>
      <c r="L142" s="60">
        <v>0.14000000000000001</v>
      </c>
      <c r="M142" s="60">
        <v>0.14000000000000001</v>
      </c>
      <c r="N142" s="60"/>
      <c r="O142" s="60"/>
    </row>
    <row r="143" spans="1:15" hidden="1">
      <c r="A143" s="60">
        <v>103</v>
      </c>
      <c r="B143" s="60" t="s">
        <v>1085</v>
      </c>
      <c r="C143" s="60" t="s">
        <v>24</v>
      </c>
      <c r="D143" s="24">
        <v>7</v>
      </c>
      <c r="E143" s="24">
        <v>0</v>
      </c>
      <c r="F143" s="24">
        <v>7</v>
      </c>
      <c r="G143" s="24">
        <v>0</v>
      </c>
      <c r="H143" s="60">
        <v>0</v>
      </c>
      <c r="I143" s="60">
        <v>0</v>
      </c>
      <c r="J143" s="60">
        <v>0.09</v>
      </c>
      <c r="K143" s="60">
        <v>0.09</v>
      </c>
      <c r="L143" s="60">
        <v>0</v>
      </c>
      <c r="M143" s="60">
        <v>0</v>
      </c>
      <c r="N143" s="60"/>
      <c r="O143" s="60"/>
    </row>
    <row r="144" spans="1:15" hidden="1">
      <c r="A144" s="60">
        <v>104</v>
      </c>
      <c r="B144" s="60" t="s">
        <v>1081</v>
      </c>
      <c r="C144" s="60" t="s">
        <v>24</v>
      </c>
      <c r="D144" s="24">
        <v>7</v>
      </c>
      <c r="E144" s="24">
        <v>0</v>
      </c>
      <c r="F144" s="24">
        <v>7</v>
      </c>
      <c r="G144" s="24">
        <v>0</v>
      </c>
      <c r="H144" s="60">
        <v>0</v>
      </c>
      <c r="I144" s="60">
        <v>0</v>
      </c>
      <c r="J144" s="60">
        <v>0.09</v>
      </c>
      <c r="K144" s="60">
        <v>0.09</v>
      </c>
      <c r="L144" s="60">
        <v>0</v>
      </c>
      <c r="M144" s="60">
        <v>0</v>
      </c>
      <c r="N144" s="60"/>
      <c r="O144" s="60"/>
    </row>
    <row r="145" spans="1:15">
      <c r="A145" s="60">
        <v>105</v>
      </c>
      <c r="B145" s="60" t="s">
        <v>684</v>
      </c>
      <c r="C145" s="60" t="s">
        <v>23</v>
      </c>
      <c r="D145" s="24">
        <v>6</v>
      </c>
      <c r="E145" s="24">
        <v>60</v>
      </c>
      <c r="F145" s="24">
        <v>6</v>
      </c>
      <c r="G145" s="24">
        <v>60</v>
      </c>
      <c r="H145" s="60">
        <v>-90</v>
      </c>
      <c r="I145" s="60">
        <v>-90</v>
      </c>
      <c r="J145" s="60">
        <v>0.08</v>
      </c>
      <c r="K145" s="60">
        <v>0.08</v>
      </c>
      <c r="L145" s="60">
        <v>0.56999999999999995</v>
      </c>
      <c r="M145" s="60">
        <v>0.56999999999999995</v>
      </c>
      <c r="N145" s="60"/>
      <c r="O145" s="60"/>
    </row>
    <row r="146" spans="1:15" hidden="1">
      <c r="A146" s="60">
        <v>106</v>
      </c>
      <c r="B146" s="60" t="s">
        <v>592</v>
      </c>
      <c r="C146" s="60" t="s">
        <v>24</v>
      </c>
      <c r="D146" s="24">
        <v>6</v>
      </c>
      <c r="E146" s="24">
        <v>8</v>
      </c>
      <c r="F146" s="24">
        <v>6</v>
      </c>
      <c r="G146" s="24">
        <v>8</v>
      </c>
      <c r="H146" s="60">
        <v>-25</v>
      </c>
      <c r="I146" s="60">
        <v>-25</v>
      </c>
      <c r="J146" s="60">
        <v>0.08</v>
      </c>
      <c r="K146" s="60">
        <v>0.08</v>
      </c>
      <c r="L146" s="60">
        <v>0.08</v>
      </c>
      <c r="M146" s="60">
        <v>0.08</v>
      </c>
      <c r="N146" s="60"/>
      <c r="O146" s="60"/>
    </row>
    <row r="147" spans="1:15" hidden="1">
      <c r="A147" s="60">
        <v>107</v>
      </c>
      <c r="B147" s="60" t="s">
        <v>533</v>
      </c>
      <c r="C147" s="60" t="s">
        <v>24</v>
      </c>
      <c r="D147" s="24">
        <v>6</v>
      </c>
      <c r="E147" s="24">
        <v>2</v>
      </c>
      <c r="F147" s="24">
        <v>6</v>
      </c>
      <c r="G147" s="24">
        <v>2</v>
      </c>
      <c r="H147" s="60">
        <v>200</v>
      </c>
      <c r="I147" s="60">
        <v>200</v>
      </c>
      <c r="J147" s="60">
        <v>0.08</v>
      </c>
      <c r="K147" s="60">
        <v>0.08</v>
      </c>
      <c r="L147" s="60">
        <v>0.02</v>
      </c>
      <c r="M147" s="60">
        <v>0.02</v>
      </c>
      <c r="N147" s="60"/>
      <c r="O147" s="60"/>
    </row>
    <row r="148" spans="1:15" hidden="1">
      <c r="A148" s="60">
        <v>108</v>
      </c>
      <c r="B148" s="60" t="s">
        <v>691</v>
      </c>
      <c r="C148" s="60" t="s">
        <v>24</v>
      </c>
      <c r="D148" s="24">
        <v>6</v>
      </c>
      <c r="E148" s="24">
        <v>1</v>
      </c>
      <c r="F148" s="24">
        <v>6</v>
      </c>
      <c r="G148" s="24">
        <v>1</v>
      </c>
      <c r="H148" s="60">
        <v>500</v>
      </c>
      <c r="I148" s="60">
        <v>500</v>
      </c>
      <c r="J148" s="60">
        <v>0.08</v>
      </c>
      <c r="K148" s="60">
        <v>0.08</v>
      </c>
      <c r="L148" s="60">
        <v>0.01</v>
      </c>
      <c r="M148" s="60">
        <v>0.01</v>
      </c>
      <c r="N148" s="60"/>
      <c r="O148" s="60"/>
    </row>
    <row r="149" spans="1:15">
      <c r="A149" s="60">
        <v>109</v>
      </c>
      <c r="B149" s="60" t="s">
        <v>49</v>
      </c>
      <c r="C149" s="60" t="s">
        <v>23</v>
      </c>
      <c r="D149" s="24">
        <v>5</v>
      </c>
      <c r="E149" s="24">
        <v>6</v>
      </c>
      <c r="F149" s="24">
        <v>5</v>
      </c>
      <c r="G149" s="24">
        <v>6</v>
      </c>
      <c r="H149" s="60">
        <v>-16.670000000000002</v>
      </c>
      <c r="I149" s="60">
        <v>-16.670000000000002</v>
      </c>
      <c r="J149" s="60">
        <v>7.0000000000000007E-2</v>
      </c>
      <c r="K149" s="60">
        <v>7.0000000000000007E-2</v>
      </c>
      <c r="L149" s="60">
        <v>0.06</v>
      </c>
      <c r="M149" s="60">
        <v>0.06</v>
      </c>
      <c r="N149" s="60"/>
      <c r="O149" s="60"/>
    </row>
    <row r="150" spans="1:15">
      <c r="A150" s="60">
        <v>110</v>
      </c>
      <c r="B150" s="60" t="s">
        <v>137</v>
      </c>
      <c r="C150" s="60" t="s">
        <v>23</v>
      </c>
      <c r="D150" s="24">
        <v>5</v>
      </c>
      <c r="E150" s="24">
        <v>4</v>
      </c>
      <c r="F150" s="24">
        <v>5</v>
      </c>
      <c r="G150" s="24">
        <v>4</v>
      </c>
      <c r="H150" s="60">
        <v>25</v>
      </c>
      <c r="I150" s="60">
        <v>25</v>
      </c>
      <c r="J150" s="60">
        <v>7.0000000000000007E-2</v>
      </c>
      <c r="K150" s="60">
        <v>7.0000000000000007E-2</v>
      </c>
      <c r="L150" s="60">
        <v>0.04</v>
      </c>
      <c r="M150" s="60">
        <v>0.04</v>
      </c>
      <c r="N150" s="60"/>
      <c r="O150" s="60"/>
    </row>
    <row r="151" spans="1:15">
      <c r="A151" s="60">
        <v>111</v>
      </c>
      <c r="B151" s="60" t="s">
        <v>647</v>
      </c>
      <c r="C151" s="60" t="s">
        <v>23</v>
      </c>
      <c r="D151" s="24">
        <v>5</v>
      </c>
      <c r="E151" s="24">
        <v>4</v>
      </c>
      <c r="F151" s="24">
        <v>5</v>
      </c>
      <c r="G151" s="24">
        <v>4</v>
      </c>
      <c r="H151" s="60">
        <v>25</v>
      </c>
      <c r="I151" s="60">
        <v>25</v>
      </c>
      <c r="J151" s="60">
        <v>7.0000000000000007E-2</v>
      </c>
      <c r="K151" s="60">
        <v>7.0000000000000007E-2</v>
      </c>
      <c r="L151" s="60">
        <v>0.04</v>
      </c>
      <c r="M151" s="60">
        <v>0.04</v>
      </c>
      <c r="N151" s="60"/>
      <c r="O151" s="60"/>
    </row>
    <row r="152" spans="1:15">
      <c r="A152" s="60">
        <v>112</v>
      </c>
      <c r="B152" s="60" t="s">
        <v>457</v>
      </c>
      <c r="C152" s="60" t="s">
        <v>23</v>
      </c>
      <c r="D152" s="24">
        <v>4</v>
      </c>
      <c r="E152" s="24">
        <v>16</v>
      </c>
      <c r="F152" s="24">
        <v>4</v>
      </c>
      <c r="G152" s="24">
        <v>16</v>
      </c>
      <c r="H152" s="60">
        <v>-75</v>
      </c>
      <c r="I152" s="60">
        <v>-75</v>
      </c>
      <c r="J152" s="60">
        <v>0.05</v>
      </c>
      <c r="K152" s="60">
        <v>0.05</v>
      </c>
      <c r="L152" s="60">
        <v>0.15</v>
      </c>
      <c r="M152" s="60">
        <v>0.15</v>
      </c>
      <c r="N152" s="60"/>
      <c r="O152" s="60"/>
    </row>
    <row r="153" spans="1:15" hidden="1">
      <c r="A153" s="60">
        <v>113</v>
      </c>
      <c r="B153" s="60" t="s">
        <v>462</v>
      </c>
      <c r="C153" s="60" t="s">
        <v>24</v>
      </c>
      <c r="D153" s="24">
        <v>4</v>
      </c>
      <c r="E153" s="24">
        <v>13</v>
      </c>
      <c r="F153" s="24">
        <v>4</v>
      </c>
      <c r="G153" s="24">
        <v>13</v>
      </c>
      <c r="H153" s="68">
        <v>-69.23</v>
      </c>
      <c r="I153" s="68">
        <v>-69.23</v>
      </c>
      <c r="J153" s="60">
        <v>0.05</v>
      </c>
      <c r="K153" s="60">
        <v>0.05</v>
      </c>
      <c r="L153" s="60">
        <v>0.12</v>
      </c>
      <c r="M153" s="60">
        <v>0.12</v>
      </c>
      <c r="N153" s="60"/>
      <c r="O153" s="60"/>
    </row>
    <row r="154" spans="1:15">
      <c r="A154" s="60">
        <v>114</v>
      </c>
      <c r="B154" s="60" t="s">
        <v>451</v>
      </c>
      <c r="C154" s="60" t="s">
        <v>23</v>
      </c>
      <c r="D154" s="24">
        <v>4</v>
      </c>
      <c r="E154" s="24">
        <v>13</v>
      </c>
      <c r="F154" s="24">
        <v>4</v>
      </c>
      <c r="G154" s="24">
        <v>13</v>
      </c>
      <c r="H154" s="60">
        <v>-69.23</v>
      </c>
      <c r="I154" s="60">
        <v>-69.23</v>
      </c>
      <c r="J154" s="60">
        <v>0.05</v>
      </c>
      <c r="K154" s="60">
        <v>0.05</v>
      </c>
      <c r="L154" s="60">
        <v>0.12</v>
      </c>
      <c r="M154" s="60">
        <v>0.12</v>
      </c>
      <c r="N154" s="60"/>
      <c r="O154" s="60"/>
    </row>
    <row r="155" spans="1:15" hidden="1">
      <c r="A155" s="60">
        <v>115</v>
      </c>
      <c r="B155" s="60" t="s">
        <v>427</v>
      </c>
      <c r="C155" s="60" t="s">
        <v>24</v>
      </c>
      <c r="D155" s="24">
        <v>4</v>
      </c>
      <c r="E155" s="24">
        <v>10</v>
      </c>
      <c r="F155" s="24">
        <v>4</v>
      </c>
      <c r="G155" s="24">
        <v>10</v>
      </c>
      <c r="H155" s="60">
        <v>-60</v>
      </c>
      <c r="I155" s="60">
        <v>-60</v>
      </c>
      <c r="J155" s="60">
        <v>0.05</v>
      </c>
      <c r="K155" s="60">
        <v>0.05</v>
      </c>
      <c r="L155" s="60">
        <v>0.1</v>
      </c>
      <c r="M155" s="60">
        <v>0.1</v>
      </c>
      <c r="N155" s="60"/>
      <c r="O155" s="60"/>
    </row>
    <row r="156" spans="1:15">
      <c r="A156" s="60">
        <v>116</v>
      </c>
      <c r="B156" s="60" t="s">
        <v>741</v>
      </c>
      <c r="C156" s="60" t="s">
        <v>23</v>
      </c>
      <c r="D156" s="24">
        <v>4</v>
      </c>
      <c r="E156" s="24">
        <v>0</v>
      </c>
      <c r="F156" s="24">
        <v>4</v>
      </c>
      <c r="G156" s="24">
        <v>0</v>
      </c>
      <c r="H156" s="60">
        <v>0</v>
      </c>
      <c r="I156" s="60">
        <v>0</v>
      </c>
      <c r="J156" s="60">
        <v>0.05</v>
      </c>
      <c r="K156" s="60">
        <v>0.05</v>
      </c>
      <c r="L156" s="60">
        <v>0</v>
      </c>
      <c r="M156" s="60">
        <v>0</v>
      </c>
      <c r="N156" s="60"/>
      <c r="O156" s="60"/>
    </row>
    <row r="157" spans="1:15">
      <c r="A157" s="60">
        <v>117</v>
      </c>
      <c r="B157" s="60" t="s">
        <v>402</v>
      </c>
      <c r="C157" s="60" t="s">
        <v>23</v>
      </c>
      <c r="D157" s="24">
        <v>3</v>
      </c>
      <c r="E157" s="24">
        <v>17</v>
      </c>
      <c r="F157" s="24">
        <v>3</v>
      </c>
      <c r="G157" s="24">
        <v>17</v>
      </c>
      <c r="H157" s="60">
        <v>-82.35</v>
      </c>
      <c r="I157" s="60">
        <v>-82.35</v>
      </c>
      <c r="J157" s="60">
        <v>0.04</v>
      </c>
      <c r="K157" s="60">
        <v>0.04</v>
      </c>
      <c r="L157" s="60">
        <v>0.16</v>
      </c>
      <c r="M157" s="60">
        <v>0.16</v>
      </c>
      <c r="N157" s="60"/>
      <c r="O157" s="60"/>
    </row>
    <row r="158" spans="1:15">
      <c r="A158" s="60">
        <v>118</v>
      </c>
      <c r="B158" s="60" t="s">
        <v>532</v>
      </c>
      <c r="C158" s="60" t="s">
        <v>23</v>
      </c>
      <c r="D158" s="24">
        <v>3</v>
      </c>
      <c r="E158" s="24">
        <v>2</v>
      </c>
      <c r="F158" s="24">
        <v>3</v>
      </c>
      <c r="G158" s="24">
        <v>2</v>
      </c>
      <c r="H158" s="60">
        <v>50</v>
      </c>
      <c r="I158" s="60">
        <v>50</v>
      </c>
      <c r="J158" s="60">
        <v>0.04</v>
      </c>
      <c r="K158" s="60">
        <v>0.04</v>
      </c>
      <c r="L158" s="60">
        <v>0.02</v>
      </c>
      <c r="M158" s="60">
        <v>0.02</v>
      </c>
      <c r="N158" s="60"/>
      <c r="O158" s="60"/>
    </row>
    <row r="159" spans="1:15" hidden="1">
      <c r="A159" s="60">
        <v>119</v>
      </c>
      <c r="B159" s="60" t="s">
        <v>1088</v>
      </c>
      <c r="C159" s="60" t="s">
        <v>24</v>
      </c>
      <c r="D159" s="24">
        <v>3</v>
      </c>
      <c r="E159" s="24">
        <v>0</v>
      </c>
      <c r="F159" s="24">
        <v>3</v>
      </c>
      <c r="G159" s="24">
        <v>0</v>
      </c>
      <c r="H159" s="60">
        <v>0</v>
      </c>
      <c r="I159" s="60">
        <v>0</v>
      </c>
      <c r="J159" s="60">
        <v>0.04</v>
      </c>
      <c r="K159" s="60">
        <v>0.04</v>
      </c>
      <c r="L159" s="60">
        <v>0</v>
      </c>
      <c r="M159" s="60">
        <v>0</v>
      </c>
      <c r="N159" s="60"/>
      <c r="O159" s="60"/>
    </row>
    <row r="160" spans="1:15">
      <c r="A160" s="60">
        <v>120</v>
      </c>
      <c r="B160" s="60" t="s">
        <v>737</v>
      </c>
      <c r="C160" s="60" t="s">
        <v>23</v>
      </c>
      <c r="D160" s="24">
        <v>3</v>
      </c>
      <c r="E160" s="24">
        <v>0</v>
      </c>
      <c r="F160" s="24">
        <v>3</v>
      </c>
      <c r="G160" s="24">
        <v>0</v>
      </c>
      <c r="H160" s="60">
        <v>0</v>
      </c>
      <c r="I160" s="60">
        <v>0</v>
      </c>
      <c r="J160" s="60">
        <v>0.04</v>
      </c>
      <c r="K160" s="60">
        <v>0.04</v>
      </c>
      <c r="L160" s="60">
        <v>0</v>
      </c>
      <c r="M160" s="60">
        <v>0</v>
      </c>
      <c r="N160" s="60"/>
      <c r="O160" s="60"/>
    </row>
    <row r="161" spans="1:15" hidden="1">
      <c r="A161" s="60">
        <v>121</v>
      </c>
      <c r="B161" s="60" t="s">
        <v>1086</v>
      </c>
      <c r="C161" s="60" t="s">
        <v>24</v>
      </c>
      <c r="D161" s="24">
        <v>3</v>
      </c>
      <c r="E161" s="24">
        <v>0</v>
      </c>
      <c r="F161" s="24">
        <v>3</v>
      </c>
      <c r="G161" s="24">
        <v>0</v>
      </c>
      <c r="H161" s="60">
        <v>0</v>
      </c>
      <c r="I161" s="60">
        <v>0</v>
      </c>
      <c r="J161" s="60">
        <v>0.04</v>
      </c>
      <c r="K161" s="60">
        <v>0.04</v>
      </c>
      <c r="L161" s="60">
        <v>0</v>
      </c>
      <c r="M161" s="60">
        <v>0</v>
      </c>
      <c r="N161" s="60"/>
      <c r="O161" s="60"/>
    </row>
    <row r="162" spans="1:15">
      <c r="A162" s="60">
        <v>122</v>
      </c>
      <c r="B162" s="60" t="s">
        <v>183</v>
      </c>
      <c r="C162" s="60" t="s">
        <v>23</v>
      </c>
      <c r="D162" s="24">
        <v>3</v>
      </c>
      <c r="E162" s="24">
        <v>0</v>
      </c>
      <c r="F162" s="24">
        <v>3</v>
      </c>
      <c r="G162" s="24">
        <v>0</v>
      </c>
      <c r="H162" s="60">
        <v>0</v>
      </c>
      <c r="I162" s="60">
        <v>0</v>
      </c>
      <c r="J162" s="60">
        <v>0.04</v>
      </c>
      <c r="K162" s="60">
        <v>0.04</v>
      </c>
      <c r="L162" s="60">
        <v>0</v>
      </c>
      <c r="M162" s="60">
        <v>0</v>
      </c>
      <c r="N162" s="60"/>
      <c r="O162" s="60"/>
    </row>
    <row r="163" spans="1:15" hidden="1">
      <c r="A163" s="60">
        <v>173</v>
      </c>
      <c r="B163" s="60" t="s">
        <v>467</v>
      </c>
      <c r="C163" s="60" t="s">
        <v>24</v>
      </c>
      <c r="D163" s="24">
        <v>3</v>
      </c>
      <c r="E163" s="24">
        <v>29</v>
      </c>
      <c r="F163" s="24">
        <v>3</v>
      </c>
      <c r="G163" s="24">
        <v>29</v>
      </c>
      <c r="H163" s="60">
        <v>-89.66</v>
      </c>
      <c r="I163" s="60">
        <v>-89.66</v>
      </c>
      <c r="J163" s="60">
        <v>0.04</v>
      </c>
      <c r="K163" s="60">
        <v>0.04</v>
      </c>
      <c r="L163" s="60">
        <v>0.28000000000000003</v>
      </c>
      <c r="M163" s="60">
        <v>0.28000000000000003</v>
      </c>
      <c r="N163" s="60"/>
      <c r="O163" s="60"/>
    </row>
    <row r="164" spans="1:15" hidden="1">
      <c r="A164" s="60">
        <v>123</v>
      </c>
      <c r="B164" s="60" t="s">
        <v>415</v>
      </c>
      <c r="C164" s="60" t="s">
        <v>24</v>
      </c>
      <c r="D164" s="24">
        <v>2</v>
      </c>
      <c r="E164" s="24">
        <v>17</v>
      </c>
      <c r="F164" s="24">
        <v>2</v>
      </c>
      <c r="G164" s="24">
        <v>17</v>
      </c>
      <c r="H164" s="60">
        <v>-88.24</v>
      </c>
      <c r="I164" s="60">
        <v>-88.24</v>
      </c>
      <c r="J164" s="60">
        <v>0.03</v>
      </c>
      <c r="K164" s="60">
        <v>0.03</v>
      </c>
      <c r="L164" s="60">
        <v>0.16</v>
      </c>
      <c r="M164" s="60">
        <v>0.16</v>
      </c>
      <c r="N164" s="60"/>
      <c r="O164" s="60"/>
    </row>
    <row r="165" spans="1:15">
      <c r="A165" s="60">
        <v>124</v>
      </c>
      <c r="B165" s="60" t="s">
        <v>141</v>
      </c>
      <c r="C165" s="60" t="s">
        <v>23</v>
      </c>
      <c r="D165" s="24">
        <v>2</v>
      </c>
      <c r="E165" s="24">
        <v>11</v>
      </c>
      <c r="F165" s="24">
        <v>2</v>
      </c>
      <c r="G165" s="24">
        <v>11</v>
      </c>
      <c r="H165" s="60">
        <v>-81.819999999999993</v>
      </c>
      <c r="I165" s="60">
        <v>-81.819999999999993</v>
      </c>
      <c r="J165" s="60">
        <v>0.03</v>
      </c>
      <c r="K165" s="60">
        <v>0.03</v>
      </c>
      <c r="L165" s="60">
        <v>0.1</v>
      </c>
      <c r="M165" s="60">
        <v>0.1</v>
      </c>
      <c r="N165" s="60"/>
      <c r="O165" s="60"/>
    </row>
    <row r="166" spans="1:15">
      <c r="A166" s="60">
        <v>125</v>
      </c>
      <c r="B166" s="60" t="s">
        <v>151</v>
      </c>
      <c r="C166" s="60" t="s">
        <v>23</v>
      </c>
      <c r="D166" s="24">
        <v>2</v>
      </c>
      <c r="E166" s="24">
        <v>8</v>
      </c>
      <c r="F166" s="24">
        <v>2</v>
      </c>
      <c r="G166" s="24">
        <v>8</v>
      </c>
      <c r="H166" s="60">
        <v>-75</v>
      </c>
      <c r="I166" s="60">
        <v>-75</v>
      </c>
      <c r="J166" s="60">
        <v>0.03</v>
      </c>
      <c r="K166" s="60">
        <v>0.03</v>
      </c>
      <c r="L166" s="60">
        <v>0.08</v>
      </c>
      <c r="M166" s="60">
        <v>0.08</v>
      </c>
      <c r="N166" s="60"/>
      <c r="O166" s="60"/>
    </row>
    <row r="167" spans="1:15">
      <c r="A167" s="60">
        <v>126</v>
      </c>
      <c r="B167" s="60" t="s">
        <v>526</v>
      </c>
      <c r="C167" s="60" t="s">
        <v>23</v>
      </c>
      <c r="D167" s="24">
        <v>2</v>
      </c>
      <c r="E167" s="24">
        <v>8</v>
      </c>
      <c r="F167" s="24">
        <v>2</v>
      </c>
      <c r="G167" s="24">
        <v>8</v>
      </c>
      <c r="H167" s="60">
        <v>-75</v>
      </c>
      <c r="I167" s="60">
        <v>-75</v>
      </c>
      <c r="J167" s="60">
        <v>0.03</v>
      </c>
      <c r="K167" s="60">
        <v>0.03</v>
      </c>
      <c r="L167" s="60">
        <v>0.08</v>
      </c>
      <c r="M167" s="60">
        <v>0.08</v>
      </c>
      <c r="N167" s="60"/>
      <c r="O167" s="60"/>
    </row>
    <row r="168" spans="1:15">
      <c r="A168" s="60">
        <v>127</v>
      </c>
      <c r="B168" s="60" t="s">
        <v>458</v>
      </c>
      <c r="C168" s="60" t="s">
        <v>23</v>
      </c>
      <c r="D168" s="24">
        <v>2</v>
      </c>
      <c r="E168" s="24">
        <v>7</v>
      </c>
      <c r="F168" s="24">
        <v>2</v>
      </c>
      <c r="G168" s="24">
        <v>7</v>
      </c>
      <c r="H168" s="60">
        <v>-71.430000000000007</v>
      </c>
      <c r="I168" s="60">
        <v>-71.430000000000007</v>
      </c>
      <c r="J168" s="60">
        <v>0.03</v>
      </c>
      <c r="K168" s="60">
        <v>0.03</v>
      </c>
      <c r="L168" s="60">
        <v>7.0000000000000007E-2</v>
      </c>
      <c r="M168" s="60">
        <v>7.0000000000000007E-2</v>
      </c>
      <c r="N168" s="60"/>
      <c r="O168" s="60"/>
    </row>
    <row r="169" spans="1:15">
      <c r="A169" s="60">
        <v>128</v>
      </c>
      <c r="B169" s="60" t="s">
        <v>449</v>
      </c>
      <c r="C169" s="60" t="s">
        <v>23</v>
      </c>
      <c r="D169" s="24">
        <v>2</v>
      </c>
      <c r="E169" s="24">
        <v>5</v>
      </c>
      <c r="F169" s="24">
        <v>2</v>
      </c>
      <c r="G169" s="24">
        <v>5</v>
      </c>
      <c r="H169" s="60">
        <v>-60</v>
      </c>
      <c r="I169" s="60">
        <v>-60</v>
      </c>
      <c r="J169" s="60">
        <v>0.03</v>
      </c>
      <c r="K169" s="60">
        <v>0.03</v>
      </c>
      <c r="L169" s="60">
        <v>0.05</v>
      </c>
      <c r="M169" s="60">
        <v>0.05</v>
      </c>
      <c r="N169" s="60"/>
      <c r="O169" s="60"/>
    </row>
    <row r="170" spans="1:15">
      <c r="A170" s="60">
        <v>129</v>
      </c>
      <c r="B170" s="60" t="s">
        <v>250</v>
      </c>
      <c r="C170" s="60" t="s">
        <v>23</v>
      </c>
      <c r="D170" s="24">
        <v>2</v>
      </c>
      <c r="E170" s="24">
        <v>3</v>
      </c>
      <c r="F170" s="24">
        <v>2</v>
      </c>
      <c r="G170" s="24">
        <v>3</v>
      </c>
      <c r="H170" s="60">
        <v>-33.33</v>
      </c>
      <c r="I170" s="60">
        <v>-33.33</v>
      </c>
      <c r="J170" s="60">
        <v>0.03</v>
      </c>
      <c r="K170" s="60">
        <v>0.03</v>
      </c>
      <c r="L170" s="60">
        <v>0.03</v>
      </c>
      <c r="M170" s="60">
        <v>0.03</v>
      </c>
      <c r="N170" s="60"/>
      <c r="O170" s="60"/>
    </row>
    <row r="171" spans="1:15" hidden="1">
      <c r="A171" s="60">
        <v>130</v>
      </c>
      <c r="B171" s="60" t="s">
        <v>746</v>
      </c>
      <c r="C171" s="60" t="s">
        <v>24</v>
      </c>
      <c r="D171" s="24">
        <v>2</v>
      </c>
      <c r="E171" s="24">
        <v>0</v>
      </c>
      <c r="F171" s="24">
        <v>2</v>
      </c>
      <c r="G171" s="24">
        <v>0</v>
      </c>
      <c r="H171" s="60">
        <v>0</v>
      </c>
      <c r="I171" s="60">
        <v>0</v>
      </c>
      <c r="J171" s="60">
        <v>0.03</v>
      </c>
      <c r="K171" s="60">
        <v>0.03</v>
      </c>
      <c r="L171" s="60">
        <v>0</v>
      </c>
      <c r="M171" s="60">
        <v>0</v>
      </c>
      <c r="N171" s="60"/>
      <c r="O171" s="60"/>
    </row>
    <row r="172" spans="1:15">
      <c r="A172" s="60">
        <v>131</v>
      </c>
      <c r="B172" s="60" t="s">
        <v>708</v>
      </c>
      <c r="C172" s="60" t="s">
        <v>23</v>
      </c>
      <c r="D172" s="24">
        <v>2</v>
      </c>
      <c r="E172" s="24">
        <v>0</v>
      </c>
      <c r="F172" s="24">
        <v>2</v>
      </c>
      <c r="G172" s="24">
        <v>0</v>
      </c>
      <c r="H172" s="60">
        <v>0</v>
      </c>
      <c r="I172" s="60">
        <v>0</v>
      </c>
      <c r="J172" s="60">
        <v>0.03</v>
      </c>
      <c r="K172" s="60">
        <v>0.03</v>
      </c>
      <c r="L172" s="60">
        <v>0</v>
      </c>
      <c r="M172" s="60">
        <v>0</v>
      </c>
      <c r="N172" s="60"/>
      <c r="O172" s="60"/>
    </row>
    <row r="173" spans="1:15">
      <c r="A173" s="60">
        <v>132</v>
      </c>
      <c r="B173" s="60" t="s">
        <v>525</v>
      </c>
      <c r="C173" s="60" t="s">
        <v>23</v>
      </c>
      <c r="D173" s="24">
        <v>2</v>
      </c>
      <c r="E173" s="24">
        <v>0</v>
      </c>
      <c r="F173" s="24">
        <v>2</v>
      </c>
      <c r="G173" s="24">
        <v>0</v>
      </c>
      <c r="H173" s="60">
        <v>0</v>
      </c>
      <c r="I173" s="60">
        <v>0</v>
      </c>
      <c r="J173" s="60">
        <v>0.03</v>
      </c>
      <c r="K173" s="60">
        <v>0.03</v>
      </c>
      <c r="L173" s="60">
        <v>0</v>
      </c>
      <c r="M173" s="60">
        <v>0</v>
      </c>
      <c r="N173" s="60"/>
      <c r="O173" s="60"/>
    </row>
    <row r="174" spans="1:15" hidden="1">
      <c r="A174" s="60">
        <v>133</v>
      </c>
      <c r="B174" s="60" t="s">
        <v>743</v>
      </c>
      <c r="C174" s="60" t="s">
        <v>24</v>
      </c>
      <c r="D174" s="24">
        <v>2</v>
      </c>
      <c r="E174" s="24">
        <v>0</v>
      </c>
      <c r="F174" s="24">
        <v>2</v>
      </c>
      <c r="G174" s="24">
        <v>0</v>
      </c>
      <c r="H174" s="60">
        <v>0</v>
      </c>
      <c r="I174" s="60">
        <v>0</v>
      </c>
      <c r="J174" s="60">
        <v>0.03</v>
      </c>
      <c r="K174" s="60">
        <v>0.03</v>
      </c>
      <c r="L174" s="60">
        <v>0</v>
      </c>
      <c r="M174" s="60">
        <v>0</v>
      </c>
      <c r="N174" s="60"/>
      <c r="O174" s="60"/>
    </row>
    <row r="175" spans="1:15" hidden="1">
      <c r="A175" s="60">
        <v>134</v>
      </c>
      <c r="B175" s="60" t="s">
        <v>242</v>
      </c>
      <c r="C175" s="60" t="s">
        <v>24</v>
      </c>
      <c r="D175" s="24">
        <v>1</v>
      </c>
      <c r="E175" s="24">
        <v>219</v>
      </c>
      <c r="F175" s="24">
        <v>1</v>
      </c>
      <c r="G175" s="24">
        <v>219</v>
      </c>
      <c r="H175" s="60">
        <v>-99.54</v>
      </c>
      <c r="I175" s="60">
        <v>-99.54</v>
      </c>
      <c r="J175" s="60">
        <v>0.01</v>
      </c>
      <c r="K175" s="60">
        <v>0.01</v>
      </c>
      <c r="L175" s="60">
        <v>2.08</v>
      </c>
      <c r="M175" s="60">
        <v>2.08</v>
      </c>
      <c r="N175" s="60"/>
      <c r="O175" s="60"/>
    </row>
    <row r="176" spans="1:15">
      <c r="A176" s="60">
        <v>135</v>
      </c>
      <c r="B176" s="60" t="s">
        <v>461</v>
      </c>
      <c r="C176" s="60" t="s">
        <v>23</v>
      </c>
      <c r="D176" s="24">
        <v>1</v>
      </c>
      <c r="E176" s="24">
        <v>59</v>
      </c>
      <c r="F176" s="24">
        <v>1</v>
      </c>
      <c r="G176" s="24">
        <v>59</v>
      </c>
      <c r="H176" s="68">
        <v>-98.31</v>
      </c>
      <c r="I176" s="68">
        <v>-98.31</v>
      </c>
      <c r="J176" s="60">
        <v>0.01</v>
      </c>
      <c r="K176" s="60">
        <v>0.01</v>
      </c>
      <c r="L176" s="60">
        <v>0.56000000000000005</v>
      </c>
      <c r="M176" s="60">
        <v>0.56000000000000005</v>
      </c>
      <c r="N176" s="60"/>
      <c r="O176" s="60"/>
    </row>
    <row r="177" spans="1:15" hidden="1">
      <c r="A177" s="60">
        <v>136</v>
      </c>
      <c r="B177" s="60" t="s">
        <v>596</v>
      </c>
      <c r="C177" s="60" t="s">
        <v>24</v>
      </c>
      <c r="D177" s="24">
        <v>1</v>
      </c>
      <c r="E177" s="24">
        <v>17</v>
      </c>
      <c r="F177" s="24">
        <v>1</v>
      </c>
      <c r="G177" s="24">
        <v>17</v>
      </c>
      <c r="H177" s="60">
        <v>-94.12</v>
      </c>
      <c r="I177" s="60">
        <v>-94.12</v>
      </c>
      <c r="J177" s="60">
        <v>0.01</v>
      </c>
      <c r="K177" s="60">
        <v>0.01</v>
      </c>
      <c r="L177" s="60">
        <v>0.16</v>
      </c>
      <c r="M177" s="60">
        <v>0.16</v>
      </c>
      <c r="N177" s="60"/>
      <c r="O177" s="60"/>
    </row>
    <row r="178" spans="1:15">
      <c r="A178" s="60">
        <v>137</v>
      </c>
      <c r="B178" s="60" t="s">
        <v>450</v>
      </c>
      <c r="C178" s="60" t="s">
        <v>23</v>
      </c>
      <c r="D178" s="24">
        <v>1</v>
      </c>
      <c r="E178" s="24">
        <v>6</v>
      </c>
      <c r="F178" s="24">
        <v>1</v>
      </c>
      <c r="G178" s="24">
        <v>6</v>
      </c>
      <c r="H178" s="60">
        <v>-83.33</v>
      </c>
      <c r="I178" s="60">
        <v>-83.33</v>
      </c>
      <c r="J178" s="60">
        <v>0.01</v>
      </c>
      <c r="K178" s="60">
        <v>0.01</v>
      </c>
      <c r="L178" s="60">
        <v>0.06</v>
      </c>
      <c r="M178" s="60">
        <v>0.06</v>
      </c>
      <c r="N178" s="60"/>
      <c r="O178" s="60"/>
    </row>
    <row r="179" spans="1:15" hidden="1">
      <c r="A179" s="60">
        <v>138</v>
      </c>
      <c r="B179" s="60" t="s">
        <v>521</v>
      </c>
      <c r="C179" s="60" t="s">
        <v>1033</v>
      </c>
      <c r="D179" s="24">
        <v>1</v>
      </c>
      <c r="E179" s="24">
        <v>2</v>
      </c>
      <c r="F179" s="24">
        <v>1</v>
      </c>
      <c r="G179" s="24">
        <v>2</v>
      </c>
      <c r="H179" s="68">
        <v>-50</v>
      </c>
      <c r="I179" s="68">
        <v>-50</v>
      </c>
      <c r="J179" s="60">
        <v>0.01</v>
      </c>
      <c r="K179" s="60">
        <v>0.01</v>
      </c>
      <c r="L179" s="60">
        <v>0.02</v>
      </c>
      <c r="M179" s="60">
        <v>0.02</v>
      </c>
      <c r="N179" s="60"/>
      <c r="O179" s="60"/>
    </row>
    <row r="180" spans="1:15">
      <c r="A180" s="60">
        <v>139</v>
      </c>
      <c r="B180" s="60" t="s">
        <v>465</v>
      </c>
      <c r="C180" s="60" t="s">
        <v>23</v>
      </c>
      <c r="D180" s="24">
        <v>1</v>
      </c>
      <c r="E180" s="24">
        <v>1</v>
      </c>
      <c r="F180" s="24">
        <v>1</v>
      </c>
      <c r="G180" s="24">
        <v>1</v>
      </c>
      <c r="H180" s="60">
        <v>0</v>
      </c>
      <c r="I180" s="60">
        <v>0</v>
      </c>
      <c r="J180" s="60">
        <v>0.01</v>
      </c>
      <c r="K180" s="60">
        <v>0.01</v>
      </c>
      <c r="L180" s="60">
        <v>0.01</v>
      </c>
      <c r="M180" s="60">
        <v>0.01</v>
      </c>
      <c r="N180" s="60"/>
      <c r="O180" s="60"/>
    </row>
    <row r="181" spans="1:15">
      <c r="A181" s="60">
        <v>140</v>
      </c>
      <c r="B181" s="60" t="s">
        <v>383</v>
      </c>
      <c r="C181" s="60" t="s">
        <v>23</v>
      </c>
      <c r="D181" s="24">
        <v>1</v>
      </c>
      <c r="E181" s="24">
        <v>1</v>
      </c>
      <c r="F181" s="24">
        <v>1</v>
      </c>
      <c r="G181" s="24">
        <v>1</v>
      </c>
      <c r="H181" s="60">
        <v>0</v>
      </c>
      <c r="I181" s="60">
        <v>0</v>
      </c>
      <c r="J181" s="60">
        <v>0.01</v>
      </c>
      <c r="K181" s="60">
        <v>0.01</v>
      </c>
      <c r="L181" s="60">
        <v>0.01</v>
      </c>
      <c r="M181" s="60">
        <v>0.01</v>
      </c>
      <c r="N181" s="60"/>
      <c r="O181" s="60"/>
    </row>
    <row r="182" spans="1:15">
      <c r="A182" s="60">
        <v>141</v>
      </c>
      <c r="B182" s="60" t="s">
        <v>527</v>
      </c>
      <c r="C182" s="60" t="s">
        <v>23</v>
      </c>
      <c r="D182" s="24">
        <v>1</v>
      </c>
      <c r="E182" s="24">
        <v>1</v>
      </c>
      <c r="F182" s="24">
        <v>1</v>
      </c>
      <c r="G182" s="24">
        <v>1</v>
      </c>
      <c r="H182" s="60">
        <v>0</v>
      </c>
      <c r="I182" s="60">
        <v>0</v>
      </c>
      <c r="J182" s="60">
        <v>0.01</v>
      </c>
      <c r="K182" s="60">
        <v>0.01</v>
      </c>
      <c r="L182" s="60">
        <v>0.01</v>
      </c>
      <c r="M182" s="60">
        <v>0.01</v>
      </c>
      <c r="N182" s="60"/>
      <c r="O182" s="60"/>
    </row>
    <row r="183" spans="1:15">
      <c r="A183" s="60">
        <v>142</v>
      </c>
      <c r="B183" s="60" t="s">
        <v>729</v>
      </c>
      <c r="C183" s="60" t="s">
        <v>23</v>
      </c>
      <c r="D183" s="24">
        <v>1</v>
      </c>
      <c r="E183" s="24">
        <v>0</v>
      </c>
      <c r="F183" s="24">
        <v>1</v>
      </c>
      <c r="G183" s="24">
        <v>0</v>
      </c>
      <c r="H183" s="60">
        <v>0</v>
      </c>
      <c r="I183" s="60">
        <v>0</v>
      </c>
      <c r="J183" s="60">
        <v>0.01</v>
      </c>
      <c r="K183" s="60">
        <v>0.01</v>
      </c>
      <c r="L183" s="60">
        <v>0</v>
      </c>
      <c r="M183" s="60">
        <v>0</v>
      </c>
      <c r="N183" s="60"/>
      <c r="O183" s="60"/>
    </row>
    <row r="184" spans="1:15">
      <c r="A184" s="60">
        <v>143</v>
      </c>
      <c r="B184" s="60" t="s">
        <v>1114</v>
      </c>
      <c r="C184" s="60" t="s">
        <v>23</v>
      </c>
      <c r="D184" s="24">
        <v>1</v>
      </c>
      <c r="E184" s="24">
        <v>0</v>
      </c>
      <c r="F184" s="24">
        <v>1</v>
      </c>
      <c r="G184" s="24">
        <v>0</v>
      </c>
      <c r="H184" s="60">
        <v>0</v>
      </c>
      <c r="I184" s="60">
        <v>0</v>
      </c>
      <c r="J184" s="60">
        <v>0.01</v>
      </c>
      <c r="K184" s="60">
        <v>0.01</v>
      </c>
      <c r="L184" s="60">
        <v>0</v>
      </c>
      <c r="M184" s="60">
        <v>0</v>
      </c>
      <c r="N184" s="60"/>
      <c r="O184" s="60"/>
    </row>
    <row r="185" spans="1:15" hidden="1">
      <c r="A185" s="60">
        <v>144</v>
      </c>
      <c r="B185" s="60" t="s">
        <v>1060</v>
      </c>
      <c r="C185" s="60" t="s">
        <v>24</v>
      </c>
      <c r="D185" s="24">
        <v>1</v>
      </c>
      <c r="E185" s="24">
        <v>0</v>
      </c>
      <c r="F185" s="24">
        <v>1</v>
      </c>
      <c r="G185" s="24">
        <v>0</v>
      </c>
      <c r="H185" s="60">
        <v>0</v>
      </c>
      <c r="I185" s="60">
        <v>0</v>
      </c>
      <c r="J185" s="60">
        <v>0.01</v>
      </c>
      <c r="K185" s="60">
        <v>0.01</v>
      </c>
      <c r="L185" s="60">
        <v>0</v>
      </c>
      <c r="M185" s="60">
        <v>0</v>
      </c>
      <c r="N185" s="60"/>
      <c r="O185" s="60"/>
    </row>
    <row r="186" spans="1:15" hidden="1">
      <c r="A186" s="60">
        <v>145</v>
      </c>
      <c r="B186" s="60" t="s">
        <v>1113</v>
      </c>
      <c r="C186" s="60" t="s">
        <v>24</v>
      </c>
      <c r="D186" s="24">
        <v>1</v>
      </c>
      <c r="E186" s="24">
        <v>0</v>
      </c>
      <c r="F186" s="24">
        <v>1</v>
      </c>
      <c r="G186" s="24">
        <v>0</v>
      </c>
      <c r="H186" s="60">
        <v>0</v>
      </c>
      <c r="I186" s="60">
        <v>0</v>
      </c>
      <c r="J186" s="60">
        <v>0.01</v>
      </c>
      <c r="K186" s="60">
        <v>0.01</v>
      </c>
      <c r="L186" s="60">
        <v>0</v>
      </c>
      <c r="M186" s="60">
        <v>0</v>
      </c>
      <c r="N186" s="60"/>
      <c r="O186" s="60"/>
    </row>
    <row r="187" spans="1:15">
      <c r="A187" s="60">
        <v>146</v>
      </c>
      <c r="B187" s="60" t="s">
        <v>1031</v>
      </c>
      <c r="C187" s="60" t="s">
        <v>23</v>
      </c>
      <c r="D187" s="24">
        <v>1</v>
      </c>
      <c r="E187" s="24">
        <v>0</v>
      </c>
      <c r="F187" s="24">
        <v>1</v>
      </c>
      <c r="G187" s="24">
        <v>0</v>
      </c>
      <c r="H187" s="60">
        <v>0</v>
      </c>
      <c r="I187" s="60">
        <v>0</v>
      </c>
      <c r="J187" s="60">
        <v>0.01</v>
      </c>
      <c r="K187" s="60">
        <v>0.01</v>
      </c>
      <c r="L187" s="60">
        <v>0</v>
      </c>
      <c r="M187" s="60">
        <v>0</v>
      </c>
      <c r="N187" s="60"/>
      <c r="O187" s="60"/>
    </row>
    <row r="188" spans="1:15" hidden="1">
      <c r="A188" s="60">
        <v>147</v>
      </c>
      <c r="B188" s="60" t="s">
        <v>1115</v>
      </c>
      <c r="C188" s="60" t="s">
        <v>1033</v>
      </c>
      <c r="D188" s="24">
        <v>1</v>
      </c>
      <c r="E188" s="24">
        <v>0</v>
      </c>
      <c r="F188" s="24">
        <v>1</v>
      </c>
      <c r="G188" s="24">
        <v>0</v>
      </c>
      <c r="H188" s="60">
        <v>0</v>
      </c>
      <c r="I188" s="60">
        <v>0</v>
      </c>
      <c r="J188" s="60">
        <v>0.01</v>
      </c>
      <c r="K188" s="60">
        <v>0.01</v>
      </c>
      <c r="L188" s="60">
        <v>0</v>
      </c>
      <c r="M188" s="60">
        <v>0</v>
      </c>
      <c r="N188" s="60"/>
      <c r="O188" s="60"/>
    </row>
    <row r="189" spans="1:15" hidden="1">
      <c r="A189" s="60">
        <v>148</v>
      </c>
      <c r="B189" s="60" t="s">
        <v>629</v>
      </c>
      <c r="C189" s="60" t="s">
        <v>24</v>
      </c>
      <c r="D189" s="24">
        <v>0</v>
      </c>
      <c r="E189" s="24">
        <v>119</v>
      </c>
      <c r="F189" s="24">
        <v>0</v>
      </c>
      <c r="G189" s="24">
        <v>119</v>
      </c>
      <c r="H189" s="60">
        <v>-100</v>
      </c>
      <c r="I189" s="60">
        <v>-100</v>
      </c>
      <c r="J189" s="60">
        <v>0</v>
      </c>
      <c r="K189" s="60">
        <v>0</v>
      </c>
      <c r="L189" s="60">
        <v>1.1299999999999999</v>
      </c>
      <c r="M189" s="60">
        <v>1.1299999999999999</v>
      </c>
      <c r="N189" s="60"/>
      <c r="O189" s="60"/>
    </row>
    <row r="190" spans="1:15">
      <c r="A190" s="60">
        <v>149</v>
      </c>
      <c r="B190" s="60" t="s">
        <v>632</v>
      </c>
      <c r="C190" s="60" t="s">
        <v>23</v>
      </c>
      <c r="D190" s="24">
        <v>0</v>
      </c>
      <c r="E190" s="24">
        <v>33</v>
      </c>
      <c r="F190" s="24">
        <v>0</v>
      </c>
      <c r="G190" s="24">
        <v>33</v>
      </c>
      <c r="H190" s="60">
        <v>-100</v>
      </c>
      <c r="I190" s="60">
        <v>-100</v>
      </c>
      <c r="J190" s="60">
        <v>0</v>
      </c>
      <c r="K190" s="60">
        <v>0</v>
      </c>
      <c r="L190" s="60">
        <v>0.31</v>
      </c>
      <c r="M190" s="60">
        <v>0.31</v>
      </c>
      <c r="N190" s="60"/>
      <c r="O190" s="60"/>
    </row>
    <row r="191" spans="1:15">
      <c r="A191" s="60">
        <v>150</v>
      </c>
      <c r="B191" s="60" t="s">
        <v>159</v>
      </c>
      <c r="C191" s="60" t="s">
        <v>23</v>
      </c>
      <c r="D191" s="24">
        <v>0</v>
      </c>
      <c r="E191" s="24">
        <v>21</v>
      </c>
      <c r="F191" s="24">
        <v>0</v>
      </c>
      <c r="G191" s="24">
        <v>21</v>
      </c>
      <c r="H191" s="60">
        <v>-100</v>
      </c>
      <c r="I191" s="60">
        <v>-100</v>
      </c>
      <c r="J191" s="60">
        <v>0</v>
      </c>
      <c r="K191" s="60">
        <v>0</v>
      </c>
      <c r="L191" s="60">
        <v>0.2</v>
      </c>
      <c r="M191" s="60">
        <v>0.2</v>
      </c>
      <c r="N191" s="60"/>
      <c r="O191" s="60"/>
    </row>
    <row r="192" spans="1:15">
      <c r="A192" s="60">
        <v>151</v>
      </c>
      <c r="B192" s="60" t="s">
        <v>466</v>
      </c>
      <c r="C192" s="60" t="s">
        <v>23</v>
      </c>
      <c r="D192" s="24">
        <v>0</v>
      </c>
      <c r="E192" s="24">
        <v>14</v>
      </c>
      <c r="F192" s="24">
        <v>0</v>
      </c>
      <c r="G192" s="24">
        <v>14</v>
      </c>
      <c r="H192" s="60">
        <v>-100</v>
      </c>
      <c r="I192" s="60">
        <v>-100</v>
      </c>
      <c r="J192" s="60">
        <v>0</v>
      </c>
      <c r="K192" s="60">
        <v>0</v>
      </c>
      <c r="L192" s="60">
        <v>0.13</v>
      </c>
      <c r="M192" s="60">
        <v>0.13</v>
      </c>
      <c r="N192" s="60"/>
      <c r="O192" s="60"/>
    </row>
    <row r="193" spans="1:15">
      <c r="A193" s="60">
        <v>152</v>
      </c>
      <c r="B193" s="60" t="s">
        <v>377</v>
      </c>
      <c r="C193" s="60" t="s">
        <v>23</v>
      </c>
      <c r="D193" s="24">
        <v>0</v>
      </c>
      <c r="E193" s="24">
        <v>8</v>
      </c>
      <c r="F193" s="24">
        <v>0</v>
      </c>
      <c r="G193" s="24">
        <v>8</v>
      </c>
      <c r="H193" s="60">
        <v>-100</v>
      </c>
      <c r="I193" s="60">
        <v>-100</v>
      </c>
      <c r="J193" s="60">
        <v>0</v>
      </c>
      <c r="K193" s="60">
        <v>0</v>
      </c>
      <c r="L193" s="60">
        <v>0.08</v>
      </c>
      <c r="M193" s="60">
        <v>0.08</v>
      </c>
      <c r="N193" s="60"/>
      <c r="O193" s="60"/>
    </row>
    <row r="194" spans="1:15">
      <c r="A194" s="60">
        <v>153</v>
      </c>
      <c r="B194" s="60" t="s">
        <v>152</v>
      </c>
      <c r="C194" s="60" t="s">
        <v>23</v>
      </c>
      <c r="D194" s="24">
        <v>0</v>
      </c>
      <c r="E194" s="24">
        <v>7</v>
      </c>
      <c r="F194" s="24">
        <v>0</v>
      </c>
      <c r="G194" s="24">
        <v>7</v>
      </c>
      <c r="H194" s="60">
        <v>-100</v>
      </c>
      <c r="I194" s="60">
        <v>-100</v>
      </c>
      <c r="J194" s="60">
        <v>0</v>
      </c>
      <c r="K194" s="60">
        <v>0</v>
      </c>
      <c r="L194" s="60">
        <v>7.0000000000000007E-2</v>
      </c>
      <c r="M194" s="60">
        <v>7.0000000000000007E-2</v>
      </c>
      <c r="N194" s="60"/>
      <c r="O194" s="60"/>
    </row>
    <row r="195" spans="1:15">
      <c r="A195" s="60">
        <v>154</v>
      </c>
      <c r="B195" s="60" t="s">
        <v>447</v>
      </c>
      <c r="C195" s="60" t="s">
        <v>23</v>
      </c>
      <c r="D195" s="24">
        <v>0</v>
      </c>
      <c r="E195" s="24">
        <v>7</v>
      </c>
      <c r="F195" s="24">
        <v>0</v>
      </c>
      <c r="G195" s="24">
        <v>7</v>
      </c>
      <c r="H195" s="68">
        <v>-100</v>
      </c>
      <c r="I195" s="68">
        <v>-100</v>
      </c>
      <c r="J195" s="68">
        <v>0</v>
      </c>
      <c r="K195" s="68">
        <v>0</v>
      </c>
      <c r="L195" s="68">
        <v>7.0000000000000007E-2</v>
      </c>
      <c r="M195" s="68">
        <v>7.0000000000000007E-2</v>
      </c>
      <c r="N195" s="60"/>
      <c r="O195" s="60"/>
    </row>
    <row r="196" spans="1:15">
      <c r="A196" s="60">
        <v>155</v>
      </c>
      <c r="B196" s="60" t="s">
        <v>448</v>
      </c>
      <c r="C196" s="60" t="s">
        <v>23</v>
      </c>
      <c r="D196" s="24">
        <v>0</v>
      </c>
      <c r="E196" s="24">
        <v>6</v>
      </c>
      <c r="F196" s="24">
        <v>0</v>
      </c>
      <c r="G196" s="24">
        <v>6</v>
      </c>
      <c r="H196" s="60">
        <v>-100</v>
      </c>
      <c r="I196" s="60">
        <v>-100</v>
      </c>
      <c r="J196" s="60">
        <v>0</v>
      </c>
      <c r="K196" s="60">
        <v>0</v>
      </c>
      <c r="L196" s="60">
        <v>0.06</v>
      </c>
      <c r="M196" s="60">
        <v>0.06</v>
      </c>
      <c r="N196" s="60"/>
      <c r="O196" s="60"/>
    </row>
    <row r="197" spans="1:15" hidden="1">
      <c r="A197" s="60">
        <v>156</v>
      </c>
      <c r="B197" s="60" t="s">
        <v>682</v>
      </c>
      <c r="C197" s="60" t="s">
        <v>24</v>
      </c>
      <c r="D197" s="24">
        <v>0</v>
      </c>
      <c r="E197" s="24">
        <v>6</v>
      </c>
      <c r="F197" s="24">
        <v>0</v>
      </c>
      <c r="G197" s="24">
        <v>6</v>
      </c>
      <c r="H197" s="60">
        <v>-100</v>
      </c>
      <c r="I197" s="60">
        <v>-100</v>
      </c>
      <c r="J197" s="60">
        <v>0</v>
      </c>
      <c r="K197" s="60">
        <v>0</v>
      </c>
      <c r="L197" s="60">
        <v>0.06</v>
      </c>
      <c r="M197" s="60">
        <v>0.06</v>
      </c>
      <c r="N197" s="60"/>
      <c r="O197" s="60"/>
    </row>
    <row r="198" spans="1:15">
      <c r="A198" s="60">
        <v>157</v>
      </c>
      <c r="B198" s="60" t="s">
        <v>633</v>
      </c>
      <c r="C198" s="60" t="s">
        <v>23</v>
      </c>
      <c r="D198" s="24">
        <v>0</v>
      </c>
      <c r="E198" s="24">
        <v>5</v>
      </c>
      <c r="F198" s="24">
        <v>0</v>
      </c>
      <c r="G198" s="24">
        <v>5</v>
      </c>
      <c r="H198" s="60">
        <v>-100</v>
      </c>
      <c r="I198" s="60">
        <v>-100</v>
      </c>
      <c r="J198" s="60">
        <v>0</v>
      </c>
      <c r="K198" s="60">
        <v>0</v>
      </c>
      <c r="L198" s="60">
        <v>0.05</v>
      </c>
      <c r="M198" s="60">
        <v>0.05</v>
      </c>
      <c r="N198" s="60"/>
      <c r="O198" s="60"/>
    </row>
    <row r="199" spans="1:15">
      <c r="A199" s="60">
        <v>158</v>
      </c>
      <c r="B199" s="60" t="s">
        <v>529</v>
      </c>
      <c r="C199" s="60" t="s">
        <v>23</v>
      </c>
      <c r="D199" s="24">
        <v>0</v>
      </c>
      <c r="E199" s="24">
        <v>4</v>
      </c>
      <c r="F199" s="24">
        <v>0</v>
      </c>
      <c r="G199" s="24">
        <v>4</v>
      </c>
      <c r="H199" s="60">
        <v>-100</v>
      </c>
      <c r="I199" s="60">
        <v>-100</v>
      </c>
      <c r="J199" s="60">
        <v>0</v>
      </c>
      <c r="K199" s="60">
        <v>0</v>
      </c>
      <c r="L199" s="60">
        <v>0.04</v>
      </c>
      <c r="M199" s="60">
        <v>0.04</v>
      </c>
      <c r="N199" s="60"/>
      <c r="O199" s="60"/>
    </row>
    <row r="200" spans="1:15">
      <c r="A200" s="60">
        <v>159</v>
      </c>
      <c r="B200" s="60" t="s">
        <v>245</v>
      </c>
      <c r="C200" s="60" t="s">
        <v>23</v>
      </c>
      <c r="D200" s="24">
        <v>0</v>
      </c>
      <c r="E200" s="24">
        <v>4</v>
      </c>
      <c r="F200" s="24">
        <v>0</v>
      </c>
      <c r="G200" s="24">
        <v>4</v>
      </c>
      <c r="H200" s="60">
        <v>-100</v>
      </c>
      <c r="I200" s="60">
        <v>-100</v>
      </c>
      <c r="J200" s="60">
        <v>0</v>
      </c>
      <c r="K200" s="60">
        <v>0</v>
      </c>
      <c r="L200" s="60">
        <v>0.04</v>
      </c>
      <c r="M200" s="60">
        <v>0.04</v>
      </c>
      <c r="N200" s="60"/>
      <c r="O200" s="60"/>
    </row>
    <row r="201" spans="1:15">
      <c r="A201" s="60">
        <v>160</v>
      </c>
      <c r="B201" s="60" t="s">
        <v>244</v>
      </c>
      <c r="C201" s="60" t="s">
        <v>23</v>
      </c>
      <c r="D201" s="24">
        <v>0</v>
      </c>
      <c r="E201" s="24">
        <v>4</v>
      </c>
      <c r="F201" s="24">
        <v>0</v>
      </c>
      <c r="G201" s="24">
        <v>4</v>
      </c>
      <c r="H201" s="60">
        <v>-100</v>
      </c>
      <c r="I201" s="60">
        <v>-100</v>
      </c>
      <c r="J201" s="60">
        <v>0</v>
      </c>
      <c r="K201" s="60">
        <v>0</v>
      </c>
      <c r="L201" s="60">
        <v>0.04</v>
      </c>
      <c r="M201" s="60">
        <v>0.04</v>
      </c>
      <c r="N201" s="60"/>
      <c r="O201" s="60"/>
    </row>
    <row r="202" spans="1:15">
      <c r="A202" s="60">
        <v>161</v>
      </c>
      <c r="B202" s="60" t="s">
        <v>371</v>
      </c>
      <c r="C202" s="60" t="s">
        <v>23</v>
      </c>
      <c r="D202" s="24">
        <v>0</v>
      </c>
      <c r="E202" s="24">
        <v>4</v>
      </c>
      <c r="F202" s="24">
        <v>0</v>
      </c>
      <c r="G202" s="24">
        <v>4</v>
      </c>
      <c r="H202" s="60">
        <v>-100</v>
      </c>
      <c r="I202" s="60">
        <v>-100</v>
      </c>
      <c r="J202" s="60">
        <v>0</v>
      </c>
      <c r="K202" s="60">
        <v>0</v>
      </c>
      <c r="L202" s="60">
        <v>0.04</v>
      </c>
      <c r="M202" s="60">
        <v>0.04</v>
      </c>
      <c r="N202" s="60"/>
      <c r="O202" s="60"/>
    </row>
    <row r="203" spans="1:15">
      <c r="A203" s="60">
        <v>162</v>
      </c>
      <c r="B203" s="60" t="s">
        <v>249</v>
      </c>
      <c r="C203" s="60" t="s">
        <v>23</v>
      </c>
      <c r="D203" s="24">
        <v>0</v>
      </c>
      <c r="E203" s="24">
        <v>4</v>
      </c>
      <c r="F203" s="24">
        <v>0</v>
      </c>
      <c r="G203" s="24">
        <v>4</v>
      </c>
      <c r="H203" s="60">
        <v>-100</v>
      </c>
      <c r="I203" s="60">
        <v>-100</v>
      </c>
      <c r="J203" s="60">
        <v>0</v>
      </c>
      <c r="K203" s="60">
        <v>0</v>
      </c>
      <c r="L203" s="60">
        <v>0.04</v>
      </c>
      <c r="M203" s="60">
        <v>0.04</v>
      </c>
      <c r="N203" s="60"/>
      <c r="O203" s="60"/>
    </row>
    <row r="204" spans="1:15" hidden="1">
      <c r="A204" s="60">
        <v>163</v>
      </c>
      <c r="B204" s="60" t="s">
        <v>459</v>
      </c>
      <c r="C204" s="60" t="s">
        <v>24</v>
      </c>
      <c r="D204" s="24">
        <v>0</v>
      </c>
      <c r="E204" s="24">
        <v>3</v>
      </c>
      <c r="F204" s="24">
        <v>0</v>
      </c>
      <c r="G204" s="24">
        <v>3</v>
      </c>
      <c r="H204" s="60">
        <v>-100</v>
      </c>
      <c r="I204" s="60">
        <v>-100</v>
      </c>
      <c r="J204" s="60">
        <v>0</v>
      </c>
      <c r="K204" s="60">
        <v>0</v>
      </c>
      <c r="L204" s="60">
        <v>0.03</v>
      </c>
      <c r="M204" s="60">
        <v>0.03</v>
      </c>
      <c r="N204" s="60"/>
      <c r="O204" s="60"/>
    </row>
    <row r="205" spans="1:15">
      <c r="A205" s="162">
        <v>164</v>
      </c>
      <c r="B205" s="162" t="s">
        <v>410</v>
      </c>
      <c r="C205" s="162" t="s">
        <v>23</v>
      </c>
      <c r="D205" s="169">
        <v>0</v>
      </c>
      <c r="E205" s="169">
        <v>3</v>
      </c>
      <c r="F205" s="169">
        <v>0</v>
      </c>
      <c r="G205" s="169">
        <v>3</v>
      </c>
      <c r="H205" s="162">
        <v>-100</v>
      </c>
      <c r="I205" s="162">
        <v>-100</v>
      </c>
      <c r="J205" s="162">
        <v>0</v>
      </c>
      <c r="K205" s="162">
        <v>0</v>
      </c>
      <c r="L205" s="162">
        <v>0.03</v>
      </c>
      <c r="M205" s="162">
        <v>0.03</v>
      </c>
      <c r="N205" s="60"/>
      <c r="O205" s="60"/>
    </row>
    <row r="206" spans="1:15">
      <c r="A206" s="162">
        <v>165</v>
      </c>
      <c r="B206" s="162" t="s">
        <v>524</v>
      </c>
      <c r="C206" s="162" t="s">
        <v>23</v>
      </c>
      <c r="D206" s="169">
        <v>0</v>
      </c>
      <c r="E206" s="169">
        <v>3</v>
      </c>
      <c r="F206" s="169">
        <v>0</v>
      </c>
      <c r="G206" s="169">
        <v>3</v>
      </c>
      <c r="H206" s="162">
        <v>-100</v>
      </c>
      <c r="I206" s="162">
        <v>-100</v>
      </c>
      <c r="J206" s="162">
        <v>0</v>
      </c>
      <c r="K206" s="162">
        <v>0</v>
      </c>
      <c r="L206" s="162">
        <v>0.03</v>
      </c>
      <c r="M206" s="162">
        <v>0.03</v>
      </c>
      <c r="N206" s="60"/>
      <c r="O206" s="60"/>
    </row>
    <row r="207" spans="1:15" hidden="1">
      <c r="A207" s="162">
        <v>166</v>
      </c>
      <c r="B207" s="162" t="s">
        <v>595</v>
      </c>
      <c r="C207" s="162" t="s">
        <v>24</v>
      </c>
      <c r="D207" s="169">
        <v>0</v>
      </c>
      <c r="E207" s="169">
        <v>3</v>
      </c>
      <c r="F207" s="169">
        <v>0</v>
      </c>
      <c r="G207" s="169">
        <v>3</v>
      </c>
      <c r="H207" s="162">
        <v>-100</v>
      </c>
      <c r="I207" s="162">
        <v>-100</v>
      </c>
      <c r="J207" s="162">
        <v>0</v>
      </c>
      <c r="K207" s="162">
        <v>0</v>
      </c>
      <c r="L207" s="162">
        <v>0.03</v>
      </c>
      <c r="M207" s="162">
        <v>0.03</v>
      </c>
      <c r="N207" s="60"/>
      <c r="O207" s="60"/>
    </row>
    <row r="208" spans="1:15" hidden="1">
      <c r="A208" s="162">
        <v>167</v>
      </c>
      <c r="B208" s="162" t="s">
        <v>648</v>
      </c>
      <c r="C208" s="162" t="s">
        <v>24</v>
      </c>
      <c r="D208" s="169">
        <v>0</v>
      </c>
      <c r="E208" s="169">
        <v>2</v>
      </c>
      <c r="F208" s="169">
        <v>0</v>
      </c>
      <c r="G208" s="169">
        <v>2</v>
      </c>
      <c r="H208" s="162">
        <v>-100</v>
      </c>
      <c r="I208" s="162">
        <v>-100</v>
      </c>
      <c r="J208" s="162">
        <v>0</v>
      </c>
      <c r="K208" s="162">
        <v>0</v>
      </c>
      <c r="L208" s="162">
        <v>0.02</v>
      </c>
      <c r="M208" s="162">
        <v>0.02</v>
      </c>
      <c r="N208" s="60"/>
      <c r="O208" s="60"/>
    </row>
    <row r="209" spans="1:15" hidden="1">
      <c r="A209" s="162">
        <v>168</v>
      </c>
      <c r="B209" s="162" t="s">
        <v>609</v>
      </c>
      <c r="C209" s="162" t="s">
        <v>24</v>
      </c>
      <c r="D209" s="169">
        <v>0</v>
      </c>
      <c r="E209" s="169">
        <v>1</v>
      </c>
      <c r="F209" s="169">
        <v>0</v>
      </c>
      <c r="G209" s="169">
        <v>1</v>
      </c>
      <c r="H209" s="162">
        <v>-100</v>
      </c>
      <c r="I209" s="162">
        <v>-100</v>
      </c>
      <c r="J209" s="162">
        <v>0</v>
      </c>
      <c r="K209" s="162">
        <v>0</v>
      </c>
      <c r="L209" s="162">
        <v>0.01</v>
      </c>
      <c r="M209" s="162">
        <v>0.01</v>
      </c>
      <c r="N209" s="60"/>
      <c r="O209" s="60"/>
    </row>
    <row r="210" spans="1:15" hidden="1">
      <c r="A210" s="162">
        <v>169</v>
      </c>
      <c r="B210" s="162" t="s">
        <v>431</v>
      </c>
      <c r="C210" s="162" t="s">
        <v>1116</v>
      </c>
      <c r="D210" s="169">
        <v>0</v>
      </c>
      <c r="E210" s="169">
        <v>1</v>
      </c>
      <c r="F210" s="169">
        <v>0</v>
      </c>
      <c r="G210" s="169">
        <v>1</v>
      </c>
      <c r="H210" s="162">
        <v>-100</v>
      </c>
      <c r="I210" s="162">
        <v>-100</v>
      </c>
      <c r="J210" s="162">
        <v>0</v>
      </c>
      <c r="K210" s="162">
        <v>0</v>
      </c>
      <c r="L210" s="162">
        <v>0.01</v>
      </c>
      <c r="M210" s="162">
        <v>0.01</v>
      </c>
      <c r="N210" s="60"/>
      <c r="O210" s="60"/>
    </row>
    <row r="211" spans="1:15">
      <c r="A211" s="162">
        <v>170</v>
      </c>
      <c r="B211" s="162" t="s">
        <v>182</v>
      </c>
      <c r="C211" s="162" t="s">
        <v>23</v>
      </c>
      <c r="D211" s="169">
        <v>0</v>
      </c>
      <c r="E211" s="169">
        <v>1</v>
      </c>
      <c r="F211" s="169">
        <v>0</v>
      </c>
      <c r="G211" s="169">
        <v>1</v>
      </c>
      <c r="H211" s="162">
        <v>-100</v>
      </c>
      <c r="I211" s="162">
        <v>-100</v>
      </c>
      <c r="J211" s="162">
        <v>0</v>
      </c>
      <c r="K211" s="162">
        <v>0</v>
      </c>
      <c r="L211" s="162">
        <v>0.01</v>
      </c>
      <c r="M211" s="162">
        <v>0.01</v>
      </c>
      <c r="N211" s="60"/>
      <c r="O211" s="60"/>
    </row>
    <row r="212" spans="1:15">
      <c r="A212" s="162">
        <v>171</v>
      </c>
      <c r="B212" s="162" t="s">
        <v>587</v>
      </c>
      <c r="C212" s="162" t="s">
        <v>23</v>
      </c>
      <c r="D212" s="169">
        <v>0</v>
      </c>
      <c r="E212" s="169">
        <v>1</v>
      </c>
      <c r="F212" s="169">
        <v>0</v>
      </c>
      <c r="G212" s="169">
        <v>1</v>
      </c>
      <c r="H212" s="162">
        <v>-100</v>
      </c>
      <c r="I212" s="162">
        <v>-100</v>
      </c>
      <c r="J212" s="162">
        <v>0</v>
      </c>
      <c r="K212" s="162">
        <v>0</v>
      </c>
      <c r="L212" s="162">
        <v>0.01</v>
      </c>
      <c r="M212" s="162">
        <v>0.01</v>
      </c>
      <c r="N212" s="60"/>
      <c r="O212" s="60"/>
    </row>
    <row r="213" spans="1:15">
      <c r="A213" s="162">
        <v>172</v>
      </c>
      <c r="B213" s="162" t="s">
        <v>463</v>
      </c>
      <c r="C213" s="162" t="s">
        <v>23</v>
      </c>
      <c r="D213" s="169">
        <v>0</v>
      </c>
      <c r="E213" s="169">
        <v>1</v>
      </c>
      <c r="F213" s="169">
        <v>0</v>
      </c>
      <c r="G213" s="169">
        <v>1</v>
      </c>
      <c r="H213" s="162">
        <v>-100</v>
      </c>
      <c r="I213" s="162">
        <v>-100</v>
      </c>
      <c r="J213" s="162">
        <v>0</v>
      </c>
      <c r="K213" s="162">
        <v>0</v>
      </c>
      <c r="L213" s="162">
        <v>0.01</v>
      </c>
      <c r="M213" s="162">
        <v>0.01</v>
      </c>
      <c r="N213" s="60"/>
      <c r="O213" s="60"/>
    </row>
    <row r="214" spans="1:15">
      <c r="A214" s="162"/>
      <c r="B214" s="162" t="s">
        <v>485</v>
      </c>
      <c r="C214" s="162"/>
      <c r="D214" s="169">
        <f>SUBTOTAL(109,getAggRechargeModels619[antalPerioden])</f>
        <v>3423</v>
      </c>
      <c r="E214" s="169">
        <f>SUBTOTAL(109,getAggRechargeModels619[antalFGPeriod])</f>
        <v>5362</v>
      </c>
      <c r="F214" s="169">
        <f>SUBTOTAL(109,getAggRechargeModels619[antalÅret])</f>
        <v>3423</v>
      </c>
      <c r="G214" s="169">
        <f>SUBTOTAL(109,getAggRechargeModels619[antalFGAr])</f>
        <v>5362</v>
      </c>
      <c r="H214" s="164">
        <f>IF(getAggRechargeModels619[[#Totals],[antalFGPeriod]] &gt;0,(getAggRechargeModels619[[#Totals],[antalPerioden]] - getAggRechargeModels619[[#Totals],[antalFGPeriod]] ) / getAggRechargeModels619[[#Totals],[antalFGPeriod]] *100,0)</f>
        <v>-36.161879895561356</v>
      </c>
      <c r="I214" s="164">
        <f>IF(getAggRechargeModels619[[#Totals],[antalFGAr]] &gt; 0,( getAggRechargeModels619[[#Totals],[antalÅret]] - getAggRechargeModels619[[#Totals],[antalFGAr]] ) / getAggRechargeModels619[[#Totals],[antalFGAr]] * 100,0)</f>
        <v>-36.161879895561356</v>
      </c>
      <c r="J214" s="170">
        <f>IF(getAggModelsPB[[#Totals],[antalPerioden]] &gt; 0,getAggRechargeModels619[[#Totals],[antalPerioden]]  / getAggModelsPB[[#Totals],[antalPerioden]] * 100,0)</f>
        <v>23.443599753441546</v>
      </c>
      <c r="K214" s="170">
        <f>IF(getAggModelsPB[[#Totals],[antalÅret]] &gt; 0,getAggRechargeModels619[[#Totals],[antalÅret]]  / getAggModelsPB[[#Totals],[antalÅret]] * 100,0)</f>
        <v>23.443599753441546</v>
      </c>
      <c r="L214" s="170">
        <f>IF(getAggModelsPB[[#Totals],[antalFGPeriod]] &gt; 0,getAggRechargeModels619[[#Totals],[antalFGPeriod]]  / getAggModelsPB[[#Totals],[antalFGPeriod]] * 100,0)</f>
        <v>26.954204996732518</v>
      </c>
      <c r="M214" s="170">
        <f>IF(getAggModelsPB[[#Totals],[antalFGAr]] &gt; 0,getAggRechargeModels619[[#Totals],[antalFGAr]]  / getAggModelsPB[[#Totals],[antalFGAr]] * 100,0)</f>
        <v>26.954204996732518</v>
      </c>
      <c r="N214" s="60"/>
      <c r="O214" s="60"/>
    </row>
    <row r="215" spans="1:15">
      <c r="A215" s="162"/>
      <c r="B215" s="162"/>
      <c r="C215" s="162"/>
      <c r="D215" s="169"/>
      <c r="E215" s="169"/>
      <c r="F215" s="169"/>
      <c r="G215" s="169"/>
      <c r="H215" s="164"/>
      <c r="I215" s="164"/>
      <c r="J215" s="170"/>
      <c r="K215" s="170"/>
      <c r="L215" s="170"/>
      <c r="M215" s="170"/>
      <c r="N215" s="60"/>
      <c r="O215" s="60"/>
    </row>
    <row r="216" spans="1:15">
      <c r="A216" s="162"/>
      <c r="B216" s="162"/>
      <c r="C216" s="162"/>
      <c r="D216" s="169"/>
      <c r="E216" s="169"/>
      <c r="F216" s="169"/>
      <c r="G216" s="169"/>
      <c r="H216" s="162"/>
      <c r="I216" s="162"/>
      <c r="J216" s="162"/>
      <c r="K216" s="162"/>
      <c r="L216" s="162"/>
      <c r="M216" s="162"/>
      <c r="N216" s="60"/>
      <c r="O216" s="60"/>
    </row>
    <row r="217" spans="1:15">
      <c r="A217" s="162"/>
      <c r="B217" s="162"/>
      <c r="C217" s="162"/>
      <c r="D217" s="169"/>
      <c r="E217" s="169"/>
      <c r="F217" s="169"/>
      <c r="G217" s="169"/>
      <c r="H217" s="162"/>
      <c r="I217" s="162"/>
      <c r="J217" s="162"/>
      <c r="K217" s="162"/>
      <c r="L217" s="162"/>
      <c r="M217" s="162"/>
      <c r="N217" s="60"/>
      <c r="O217" s="60"/>
    </row>
    <row r="218" spans="1:15">
      <c r="A218" t="s">
        <v>716</v>
      </c>
      <c r="B218" s="162"/>
      <c r="C218" s="162"/>
      <c r="D218" s="169"/>
      <c r="E218" s="169"/>
      <c r="F218" s="169"/>
      <c r="G218" s="169"/>
      <c r="H218" s="162"/>
      <c r="I218" s="162"/>
      <c r="J218" s="162"/>
      <c r="K218" s="162"/>
      <c r="L218" s="162"/>
      <c r="M218" s="162"/>
      <c r="N218" s="60"/>
      <c r="O218" s="60"/>
    </row>
    <row r="219" spans="1:15">
      <c r="A219" s="162"/>
      <c r="B219" s="162"/>
      <c r="C219" s="162"/>
      <c r="D219" s="169"/>
      <c r="E219" s="169"/>
      <c r="F219" s="169"/>
      <c r="G219" s="169"/>
      <c r="H219" s="162"/>
      <c r="I219" s="162"/>
      <c r="J219" s="162"/>
      <c r="K219" s="162"/>
      <c r="L219" s="162"/>
      <c r="M219" s="162"/>
      <c r="N219" s="60"/>
      <c r="O219" s="60"/>
    </row>
    <row r="220" spans="1:15">
      <c r="A220" s="162"/>
      <c r="B220" s="162"/>
      <c r="C220" s="162"/>
      <c r="D220" s="169"/>
      <c r="E220" s="169"/>
      <c r="F220" s="169"/>
      <c r="G220" s="169"/>
      <c r="H220" s="162"/>
      <c r="I220" s="162"/>
      <c r="J220" s="162"/>
      <c r="K220" s="162"/>
      <c r="L220" s="162"/>
      <c r="M220" s="162"/>
      <c r="N220" s="60"/>
      <c r="O220" s="60"/>
    </row>
    <row r="221" spans="1:15">
      <c r="A221" s="162"/>
      <c r="B221" s="162"/>
      <c r="C221" s="162"/>
      <c r="D221" s="169"/>
      <c r="E221" s="169"/>
      <c r="F221" s="169"/>
      <c r="G221" s="169"/>
      <c r="H221" s="162"/>
      <c r="I221" s="162"/>
      <c r="J221" s="162"/>
      <c r="K221" s="162"/>
      <c r="L221" s="162"/>
      <c r="M221" s="162"/>
      <c r="N221" s="60"/>
      <c r="O221" s="60"/>
    </row>
    <row r="222" spans="1:15">
      <c r="A222" s="162"/>
      <c r="B222" s="162"/>
      <c r="C222" s="162"/>
      <c r="D222" s="169"/>
      <c r="E222" s="169"/>
      <c r="F222" s="169"/>
      <c r="G222" s="169"/>
      <c r="H222" s="162"/>
      <c r="I222" s="162"/>
      <c r="J222" s="162"/>
      <c r="K222" s="162"/>
      <c r="L222" s="162"/>
      <c r="M222" s="162"/>
      <c r="N222" s="60"/>
      <c r="O222" s="60"/>
    </row>
    <row r="223" spans="1:15">
      <c r="A223" s="162"/>
      <c r="B223" s="162"/>
      <c r="C223" s="162"/>
      <c r="D223" s="169"/>
      <c r="E223" s="169"/>
      <c r="F223" s="169"/>
      <c r="G223" s="169"/>
      <c r="H223" s="162"/>
      <c r="I223" s="162"/>
      <c r="J223" s="162"/>
      <c r="K223" s="162"/>
      <c r="L223" s="162"/>
      <c r="M223" s="162"/>
      <c r="N223" s="60"/>
      <c r="O223" s="60"/>
    </row>
    <row r="224" spans="1:15">
      <c r="A224" s="162"/>
      <c r="B224" s="162"/>
      <c r="C224" s="162"/>
      <c r="D224" s="169"/>
      <c r="E224" s="169"/>
      <c r="F224" s="169"/>
      <c r="G224" s="169"/>
      <c r="H224" s="162"/>
      <c r="I224" s="162"/>
      <c r="J224" s="162"/>
      <c r="K224" s="162"/>
      <c r="L224" s="162"/>
      <c r="M224" s="162"/>
      <c r="N224" s="60"/>
      <c r="O224" s="60"/>
    </row>
    <row r="225" spans="1:15">
      <c r="A225" s="162"/>
      <c r="B225" s="162"/>
      <c r="C225" s="162"/>
      <c r="D225" s="169"/>
      <c r="E225" s="169"/>
      <c r="F225" s="169"/>
      <c r="G225" s="169"/>
      <c r="H225" s="162"/>
      <c r="I225" s="162"/>
      <c r="J225" s="162"/>
      <c r="K225" s="162"/>
      <c r="L225" s="162"/>
      <c r="M225" s="162"/>
      <c r="N225" s="60"/>
      <c r="O225" s="60"/>
    </row>
    <row r="226" spans="1:15">
      <c r="A226" s="162"/>
      <c r="B226" s="162"/>
      <c r="C226" s="162"/>
      <c r="D226" s="169"/>
      <c r="E226" s="169"/>
      <c r="F226" s="169"/>
      <c r="G226" s="169"/>
      <c r="H226" s="162"/>
      <c r="I226" s="162"/>
      <c r="J226" s="162"/>
      <c r="K226" s="162"/>
      <c r="L226" s="162"/>
      <c r="M226" s="162"/>
      <c r="N226" s="60"/>
      <c r="O226" s="60"/>
    </row>
    <row r="227" spans="1:15">
      <c r="A227" s="162"/>
      <c r="B227" s="162"/>
      <c r="C227" s="162"/>
      <c r="D227" s="169"/>
      <c r="E227" s="169"/>
      <c r="F227" s="169"/>
      <c r="G227" s="169"/>
      <c r="H227" s="162"/>
      <c r="I227" s="162"/>
      <c r="J227" s="162"/>
      <c r="K227" s="162"/>
      <c r="L227" s="162"/>
      <c r="M227" s="162"/>
      <c r="N227" s="60"/>
      <c r="O227" s="60"/>
    </row>
    <row r="228" spans="1:15">
      <c r="A228" s="162"/>
      <c r="B228" s="162"/>
      <c r="C228" s="162"/>
      <c r="D228" s="169"/>
      <c r="E228" s="169"/>
      <c r="F228" s="169"/>
      <c r="G228" s="169"/>
      <c r="H228" s="162"/>
      <c r="I228" s="162"/>
      <c r="J228" s="162"/>
      <c r="K228" s="162"/>
      <c r="L228" s="162"/>
      <c r="M228" s="162"/>
      <c r="N228" s="60"/>
      <c r="O228" s="60"/>
    </row>
    <row r="229" spans="1:15">
      <c r="A229" s="162"/>
      <c r="B229" s="162"/>
      <c r="C229" s="162"/>
      <c r="D229" s="169"/>
      <c r="E229" s="169"/>
      <c r="F229" s="169"/>
      <c r="G229" s="169"/>
      <c r="H229" s="162"/>
      <c r="I229" s="162"/>
      <c r="J229" s="162"/>
      <c r="K229" s="162"/>
      <c r="L229" s="162"/>
      <c r="M229" s="162"/>
    </row>
    <row r="230" spans="1:15">
      <c r="A230" s="162"/>
      <c r="B230" s="162"/>
      <c r="C230" s="162"/>
      <c r="D230" s="169"/>
      <c r="E230" s="169"/>
      <c r="F230" s="169"/>
      <c r="G230" s="169"/>
      <c r="H230" s="162"/>
      <c r="I230" s="162"/>
      <c r="J230" s="162"/>
      <c r="K230" s="162"/>
      <c r="L230" s="162"/>
      <c r="M230" s="162"/>
    </row>
    <row r="231" spans="1:15">
      <c r="A231" s="162"/>
      <c r="B231" s="162"/>
      <c r="C231" s="162"/>
      <c r="D231" s="169"/>
      <c r="E231" s="169"/>
      <c r="F231" s="169"/>
      <c r="G231" s="169"/>
      <c r="H231" s="162"/>
      <c r="I231" s="162"/>
      <c r="J231" s="162"/>
      <c r="K231" s="162"/>
      <c r="L231" s="162"/>
      <c r="M231" s="162"/>
    </row>
    <row r="232" spans="1:15">
      <c r="A232" s="162"/>
      <c r="B232" s="162"/>
      <c r="C232" s="162"/>
      <c r="D232" s="169"/>
      <c r="E232" s="169"/>
      <c r="F232" s="169"/>
      <c r="G232" s="169"/>
      <c r="H232" s="162"/>
      <c r="I232" s="162"/>
      <c r="J232" s="162"/>
      <c r="K232" s="162"/>
      <c r="L232" s="162"/>
      <c r="M232" s="162"/>
    </row>
    <row r="233" spans="1:15">
      <c r="A233" s="162"/>
      <c r="B233" s="162"/>
      <c r="C233" s="162"/>
      <c r="D233" s="169"/>
      <c r="E233" s="169"/>
      <c r="F233" s="169"/>
      <c r="G233" s="169"/>
      <c r="H233" s="162"/>
      <c r="I233" s="162"/>
      <c r="J233" s="162"/>
      <c r="K233" s="162"/>
      <c r="L233" s="162"/>
      <c r="M233" s="162"/>
    </row>
    <row r="234" spans="1:15">
      <c r="A234" s="162"/>
      <c r="B234" s="162"/>
      <c r="C234" s="162"/>
      <c r="D234" s="169"/>
      <c r="E234" s="169"/>
      <c r="F234" s="169"/>
      <c r="G234" s="169"/>
      <c r="H234" s="162"/>
      <c r="I234" s="162"/>
      <c r="J234" s="162"/>
      <c r="K234" s="162"/>
      <c r="L234" s="162"/>
      <c r="M234" s="162"/>
    </row>
    <row r="235" spans="1:15">
      <c r="A235" s="162"/>
      <c r="B235" s="162"/>
      <c r="C235" s="162"/>
      <c r="D235" s="169"/>
      <c r="E235" s="169"/>
      <c r="F235" s="169"/>
      <c r="G235" s="169"/>
      <c r="H235" s="162"/>
      <c r="I235" s="162"/>
      <c r="J235" s="162"/>
      <c r="K235" s="162"/>
      <c r="L235" s="162"/>
      <c r="M235" s="162"/>
    </row>
    <row r="236" spans="1:15">
      <c r="A236" s="162"/>
      <c r="B236" s="162"/>
      <c r="C236" s="162"/>
      <c r="D236" s="169"/>
      <c r="E236" s="169"/>
      <c r="F236" s="169"/>
      <c r="G236" s="169"/>
      <c r="H236" s="162"/>
      <c r="I236" s="162"/>
      <c r="J236" s="162"/>
      <c r="K236" s="162"/>
      <c r="L236" s="162"/>
      <c r="M236" s="162"/>
    </row>
    <row r="237" spans="1:15">
      <c r="A237" s="162"/>
      <c r="B237" s="162"/>
      <c r="C237" s="162"/>
      <c r="D237" s="169"/>
      <c r="E237" s="169"/>
      <c r="F237" s="169"/>
      <c r="G237" s="169"/>
      <c r="H237" s="162"/>
      <c r="I237" s="162"/>
      <c r="J237" s="162"/>
      <c r="K237" s="162"/>
      <c r="L237" s="162"/>
      <c r="M237" s="162"/>
    </row>
    <row r="238" spans="1:15">
      <c r="A238" s="162"/>
      <c r="B238" s="162"/>
      <c r="C238" s="162"/>
      <c r="D238" s="169"/>
      <c r="E238" s="169"/>
      <c r="F238" s="169"/>
      <c r="G238" s="169"/>
      <c r="H238" s="162"/>
      <c r="I238" s="162"/>
      <c r="J238" s="162"/>
      <c r="K238" s="162"/>
      <c r="L238" s="162"/>
      <c r="M238" s="162"/>
    </row>
    <row r="239" spans="1:15">
      <c r="A239" s="162"/>
      <c r="B239" s="162"/>
      <c r="C239" s="162"/>
      <c r="D239" s="169"/>
      <c r="E239" s="169"/>
      <c r="F239" s="169"/>
      <c r="G239" s="169"/>
      <c r="H239" s="162"/>
      <c r="I239" s="162"/>
      <c r="J239" s="162"/>
      <c r="K239" s="162"/>
      <c r="L239" s="162"/>
      <c r="M239" s="162"/>
    </row>
    <row r="240" spans="1:15">
      <c r="A240" s="162"/>
      <c r="B240" s="162"/>
      <c r="C240" s="162"/>
      <c r="D240" s="169"/>
      <c r="E240" s="169"/>
      <c r="F240" s="169"/>
      <c r="G240" s="169"/>
      <c r="H240" s="162"/>
      <c r="I240" s="162"/>
      <c r="J240" s="162"/>
      <c r="K240" s="162"/>
      <c r="L240" s="162"/>
      <c r="M240" s="162"/>
    </row>
    <row r="241" spans="1:13">
      <c r="A241" s="162"/>
      <c r="B241" s="162"/>
      <c r="C241" s="162"/>
      <c r="D241" s="169"/>
      <c r="E241" s="169"/>
      <c r="F241" s="169"/>
      <c r="G241" s="169"/>
      <c r="H241" s="162"/>
      <c r="I241" s="162"/>
      <c r="J241" s="162"/>
      <c r="K241" s="162"/>
      <c r="L241" s="162"/>
      <c r="M241" s="162"/>
    </row>
    <row r="242" spans="1:13">
      <c r="A242" s="162"/>
      <c r="B242" s="162"/>
      <c r="C242" s="162"/>
      <c r="D242" s="169"/>
      <c r="E242" s="169"/>
      <c r="F242" s="169"/>
      <c r="G242" s="169"/>
      <c r="H242" s="162"/>
      <c r="I242" s="162"/>
      <c r="J242" s="162"/>
      <c r="K242" s="162"/>
      <c r="L242" s="162"/>
      <c r="M242" s="162"/>
    </row>
    <row r="243" spans="1:13">
      <c r="A243" s="162"/>
      <c r="B243" s="162"/>
      <c r="C243" s="162"/>
      <c r="D243" s="169"/>
      <c r="E243" s="169"/>
      <c r="F243" s="169"/>
      <c r="G243" s="169"/>
      <c r="H243" s="162"/>
      <c r="I243" s="162"/>
      <c r="J243" s="162"/>
      <c r="K243" s="162"/>
      <c r="L243" s="162"/>
      <c r="M243" s="162"/>
    </row>
    <row r="244" spans="1:13">
      <c r="A244" s="162"/>
      <c r="B244" s="162"/>
      <c r="C244" s="162"/>
      <c r="D244" s="169"/>
      <c r="E244" s="169"/>
      <c r="F244" s="169"/>
      <c r="G244" s="169"/>
      <c r="H244" s="162"/>
      <c r="I244" s="162"/>
      <c r="J244" s="162"/>
      <c r="K244" s="162"/>
      <c r="L244" s="162"/>
      <c r="M244" s="162"/>
    </row>
    <row r="245" spans="1:13">
      <c r="A245" s="162"/>
      <c r="B245" s="162"/>
      <c r="C245" s="162"/>
      <c r="D245" s="169"/>
      <c r="E245" s="169"/>
      <c r="F245" s="169"/>
      <c r="G245" s="169"/>
      <c r="H245" s="162"/>
      <c r="I245" s="162"/>
      <c r="J245" s="162"/>
      <c r="K245" s="162"/>
      <c r="L245" s="162"/>
      <c r="M245" s="162"/>
    </row>
    <row r="246" spans="1:13">
      <c r="A246" s="162"/>
      <c r="B246" s="162"/>
      <c r="C246" s="162"/>
      <c r="D246" s="169"/>
      <c r="E246" s="169"/>
      <c r="F246" s="169"/>
      <c r="G246" s="169"/>
      <c r="H246" s="162"/>
      <c r="I246" s="162"/>
      <c r="J246" s="162"/>
      <c r="K246" s="162"/>
      <c r="L246" s="162"/>
      <c r="M246" s="162"/>
    </row>
    <row r="247" spans="1:13">
      <c r="A247" s="162"/>
      <c r="B247" s="162"/>
      <c r="C247" s="162"/>
      <c r="D247" s="169"/>
      <c r="E247" s="169"/>
      <c r="F247" s="169"/>
      <c r="G247" s="169"/>
      <c r="H247" s="162"/>
      <c r="I247" s="162"/>
      <c r="J247" s="162"/>
      <c r="K247" s="162"/>
      <c r="L247" s="162"/>
      <c r="M247" s="162"/>
    </row>
    <row r="248" spans="1:13">
      <c r="A248" s="162"/>
      <c r="B248" s="162"/>
      <c r="C248" s="162"/>
      <c r="D248" s="169"/>
      <c r="E248" s="169"/>
      <c r="F248" s="169"/>
      <c r="G248" s="169"/>
      <c r="H248" s="162"/>
      <c r="I248" s="162"/>
      <c r="J248" s="162"/>
      <c r="K248" s="162"/>
      <c r="L248" s="162"/>
      <c r="M248" s="162"/>
    </row>
    <row r="249" spans="1:13">
      <c r="A249" s="162"/>
      <c r="B249" s="162"/>
      <c r="C249" s="162"/>
      <c r="D249" s="169"/>
      <c r="E249" s="169"/>
      <c r="F249" s="169"/>
      <c r="G249" s="169"/>
      <c r="H249" s="162"/>
      <c r="I249" s="162"/>
      <c r="J249" s="162"/>
      <c r="K249" s="162"/>
      <c r="L249" s="162"/>
      <c r="M249" s="162"/>
    </row>
    <row r="250" spans="1:13">
      <c r="A250" s="162"/>
      <c r="B250" s="162"/>
      <c r="C250" s="162"/>
      <c r="D250" s="169"/>
      <c r="E250" s="169"/>
      <c r="F250" s="169"/>
      <c r="G250" s="169"/>
      <c r="H250" s="162"/>
      <c r="I250" s="162"/>
      <c r="J250" s="162"/>
      <c r="K250" s="162"/>
      <c r="L250" s="162"/>
      <c r="M250" s="162"/>
    </row>
    <row r="251" spans="1:13">
      <c r="A251" s="162"/>
      <c r="B251" s="162"/>
      <c r="C251" s="162"/>
      <c r="D251" s="169"/>
      <c r="E251" s="169"/>
      <c r="F251" s="169"/>
      <c r="G251" s="169"/>
      <c r="H251" s="162"/>
      <c r="I251" s="162"/>
      <c r="J251" s="162"/>
      <c r="K251" s="162"/>
      <c r="L251" s="162"/>
      <c r="M251" s="162"/>
    </row>
    <row r="252" spans="1:13">
      <c r="A252" s="162"/>
      <c r="B252" s="162"/>
      <c r="C252" s="162"/>
      <c r="D252" s="169"/>
      <c r="E252" s="169"/>
      <c r="F252" s="169"/>
      <c r="G252" s="169"/>
      <c r="H252" s="162"/>
      <c r="I252" s="162"/>
      <c r="J252" s="162"/>
      <c r="K252" s="162"/>
      <c r="L252" s="162"/>
      <c r="M252" s="162"/>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21</vt:i4>
      </vt:variant>
      <vt:variant>
        <vt:lpstr>Namngivna områden</vt:lpstr>
      </vt:variant>
      <vt:variant>
        <vt:i4>83</vt:i4>
      </vt:variant>
    </vt:vector>
  </HeadingPairs>
  <TitlesOfParts>
    <vt:vector size="104"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A.6 Klimatbonusbilar</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CalcAvgCO2Sum</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'A.6 Klimatbonusbilar'!Utskriftsrubriker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Microsoft Office User</cp:lastModifiedBy>
  <cp:lastPrinted>2022-09-06T10:01:43Z</cp:lastPrinted>
  <dcterms:created xsi:type="dcterms:W3CDTF">2020-01-13T13:32:32Z</dcterms:created>
  <dcterms:modified xsi:type="dcterms:W3CDTF">2023-02-01T06:24:38Z</dcterms:modified>
</cp:coreProperties>
</file>