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23.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8.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29.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DEC 23/"/>
    </mc:Choice>
  </mc:AlternateContent>
  <xr:revisionPtr revIDLastSave="57" documentId="8_{1C101117-0172-334C-98C2-D84EA3B2CC79}" xr6:coauthVersionLast="47" xr6:coauthVersionMax="47" xr10:uidLastSave="{A39CC4C7-8A5A-F542-9F7B-807155F9CA22}"/>
  <bookViews>
    <workbookView xWindow="35940" yWindow="520" windowWidth="27680" windowHeight="16540" tabRatio="773" xr2:uid="{00000000-000D-0000-FFFF-FFFF00000000}"/>
  </bookViews>
  <sheets>
    <sheet name="Innehåll" sheetId="1" r:id="rId1"/>
    <sheet name="A. Personbilar" sheetId="2" r:id="rId2"/>
    <sheet name="A.1 Rankinglista PB" sheetId="8" r:id="rId3"/>
    <sheet name="A.2 Fabrikat och modeller PB" sheetId="56"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LLB'!$A$7:$L$37</definedName>
    <definedName name="bdsql12_BDmodell_getAggRechargeModels_1" localSheetId="6" hidden="1">'A.5 Laddbara PB'!$A$41:$M$282</definedName>
    <definedName name="bdsql12_BDmodell_getAggRechargeModels_1" localSheetId="7" hidden="1">'A.51 Elbilar PB'!$A$39:$M$280</definedName>
    <definedName name="bdsql12_BDmodell_getAggRechargeModels_1" localSheetId="8" hidden="1">'A.52 Laddhybrider PB'!$A$40:$M$281</definedName>
    <definedName name="bdsql12_BDmodell_PB" localSheetId="2" hidden="1">'A.1 Rankinglista PB'!$A$7:$L$371</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Fysiska-Juridiska'!$A$8:$Q$69</definedName>
    <definedName name="bdsql12_BDnewRegistrations_getAggMakes" localSheetId="13" hidden="1">'B.2 Fabrikat LLB'!$A$7:$I$32</definedName>
    <definedName name="bdsql12_BDnewRegistrations_getAggPBCO2Emissions" localSheetId="9" hidden="1">'A.7 Koldioxidutsläpp PB'!#REF!</definedName>
    <definedName name="bdsql12_BDnewRegistrations_getAggTotalCO2" localSheetId="9" hidden="1">'A.7 Koldioxidutsläpp PB'!#REF!</definedName>
    <definedName name="bdsql12_BDnewRegistrationsgetAggPBCO2EmissionsWLTP" localSheetId="9" hidden="1">'A.7 Koldioxidutsläpp PB'!$A$9:$G$17</definedName>
    <definedName name="bdsql12_Transportstyrelsen_sumPrelNyregImportPBTotaler_1" localSheetId="1" hidden="1">'A. Personbilar'!$Q$26:$T$29</definedName>
    <definedName name="CalcAvgCO2Man">'A.7 Koldioxidutsläpp PB'!#REF!</definedName>
    <definedName name="CalcAvgCO2Sum">'A.7 Koldioxidutsläpp PB'!#REF!</definedName>
    <definedName name="CalcAvgCO2YTD">'A.7 Koldioxidutsläpp PB'!#REF!</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PB'!$E$437</definedName>
    <definedName name="CntPeriod">#REF!</definedName>
    <definedName name="CntPeriodPrevYear" localSheetId="3">'A.2 Fabrikat och modeller PB'!$F$437</definedName>
    <definedName name="CntPeriodPrevYear">#REF!</definedName>
    <definedName name="CntPrevYear" localSheetId="3">'A.2 Fabrikat och modeller PB'!#REF!</definedName>
    <definedName name="CntPrevYear">#REF!</definedName>
    <definedName name="CntPrevYearAck" localSheetId="3">'A.2 Fabrikat och modeller PB'!$K$437</definedName>
    <definedName name="CntPrevYearAck">#REF!</definedName>
    <definedName name="CntYearAck" localSheetId="3">'A.2 Fabrikat och modeller PB'!$J$437</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Bussar'!$A$8:$I$21</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PB'!$B$438</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0" r:id="rId21"/>
    <pivotCache cacheId="1" r:id="rId22"/>
    <pivotCache cacheId="2"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37" i="56" l="1"/>
  <c r="J437" i="56"/>
  <c r="L438" i="56" s="1"/>
  <c r="F437" i="56"/>
  <c r="I435" i="56" s="1"/>
  <c r="E437" i="56"/>
  <c r="N435" i="56"/>
  <c r="M435" i="56"/>
  <c r="L435" i="56"/>
  <c r="H435" i="56"/>
  <c r="G435" i="56"/>
  <c r="C435" i="56"/>
  <c r="N434" i="56"/>
  <c r="M434" i="56"/>
  <c r="L434" i="56"/>
  <c r="I434" i="56"/>
  <c r="H434" i="56"/>
  <c r="G434" i="56"/>
  <c r="C434" i="56"/>
  <c r="N433" i="56"/>
  <c r="M433" i="56"/>
  <c r="L433" i="56"/>
  <c r="I433" i="56"/>
  <c r="H433" i="56"/>
  <c r="G433" i="56"/>
  <c r="C433" i="56"/>
  <c r="N432" i="56"/>
  <c r="M432" i="56"/>
  <c r="L432" i="56"/>
  <c r="I432" i="56"/>
  <c r="H432" i="56"/>
  <c r="G432" i="56"/>
  <c r="C432" i="56"/>
  <c r="N431" i="56"/>
  <c r="L431" i="56"/>
  <c r="I431" i="56"/>
  <c r="H431" i="56"/>
  <c r="G431" i="56"/>
  <c r="C431" i="56"/>
  <c r="N430" i="56"/>
  <c r="M430" i="56"/>
  <c r="L430" i="56"/>
  <c r="I430" i="56"/>
  <c r="H430" i="56"/>
  <c r="G430" i="56"/>
  <c r="C430" i="56"/>
  <c r="N429" i="56"/>
  <c r="M429" i="56"/>
  <c r="L429" i="56"/>
  <c r="I429" i="56"/>
  <c r="H429" i="56"/>
  <c r="G429" i="56"/>
  <c r="C429" i="56"/>
  <c r="N428" i="56"/>
  <c r="M428" i="56"/>
  <c r="L428" i="56"/>
  <c r="I428" i="56"/>
  <c r="H428" i="56"/>
  <c r="G428" i="56"/>
  <c r="C428" i="56"/>
  <c r="N427" i="56"/>
  <c r="M427" i="56"/>
  <c r="L427" i="56"/>
  <c r="I427" i="56"/>
  <c r="H427" i="56"/>
  <c r="G427" i="56"/>
  <c r="C427" i="56"/>
  <c r="N426" i="56"/>
  <c r="M426" i="56"/>
  <c r="L426" i="56"/>
  <c r="I426" i="56"/>
  <c r="H426" i="56"/>
  <c r="G426" i="56"/>
  <c r="C426" i="56"/>
  <c r="N425" i="56"/>
  <c r="M425" i="56"/>
  <c r="L425" i="56"/>
  <c r="I425" i="56"/>
  <c r="H425" i="56"/>
  <c r="G425" i="56"/>
  <c r="C425" i="56"/>
  <c r="N424" i="56"/>
  <c r="M424" i="56"/>
  <c r="L424" i="56"/>
  <c r="I424" i="56"/>
  <c r="H424" i="56"/>
  <c r="G424" i="56"/>
  <c r="C424" i="56"/>
  <c r="N423" i="56"/>
  <c r="L423" i="56"/>
  <c r="I423" i="56"/>
  <c r="H423" i="56"/>
  <c r="G423" i="56"/>
  <c r="C423" i="56"/>
  <c r="N422" i="56"/>
  <c r="M422" i="56"/>
  <c r="L422" i="56"/>
  <c r="I422" i="56"/>
  <c r="H422" i="56"/>
  <c r="G422" i="56"/>
  <c r="C422" i="56"/>
  <c r="N421" i="56"/>
  <c r="M421" i="56"/>
  <c r="L421" i="56"/>
  <c r="I421" i="56"/>
  <c r="H421" i="56"/>
  <c r="G421" i="56"/>
  <c r="C421" i="56"/>
  <c r="N420" i="56"/>
  <c r="M420" i="56"/>
  <c r="L420" i="56"/>
  <c r="I420" i="56"/>
  <c r="H420" i="56"/>
  <c r="G420" i="56"/>
  <c r="C420" i="56"/>
  <c r="N419" i="56"/>
  <c r="M419" i="56"/>
  <c r="L419" i="56"/>
  <c r="I419" i="56"/>
  <c r="H419" i="56"/>
  <c r="G419" i="56"/>
  <c r="C419" i="56"/>
  <c r="N418" i="56"/>
  <c r="M418" i="56"/>
  <c r="L418" i="56"/>
  <c r="I418" i="56"/>
  <c r="H418" i="56"/>
  <c r="G418" i="56"/>
  <c r="C418" i="56"/>
  <c r="N417" i="56"/>
  <c r="M417" i="56"/>
  <c r="L417" i="56"/>
  <c r="I417" i="56"/>
  <c r="H417" i="56"/>
  <c r="G417" i="56"/>
  <c r="C417" i="56"/>
  <c r="N416" i="56"/>
  <c r="M416" i="56"/>
  <c r="L416" i="56"/>
  <c r="I416" i="56"/>
  <c r="H416" i="56"/>
  <c r="G416" i="56"/>
  <c r="C416" i="56"/>
  <c r="N415" i="56"/>
  <c r="L415" i="56"/>
  <c r="I415" i="56"/>
  <c r="H415" i="56"/>
  <c r="G415" i="56"/>
  <c r="C415" i="56"/>
  <c r="N414" i="56"/>
  <c r="M414" i="56"/>
  <c r="L414" i="56"/>
  <c r="I414" i="56"/>
  <c r="H414" i="56"/>
  <c r="G414" i="56"/>
  <c r="C414" i="56"/>
  <c r="N413" i="56"/>
  <c r="M413" i="56"/>
  <c r="L413" i="56"/>
  <c r="I413" i="56"/>
  <c r="H413" i="56"/>
  <c r="G413" i="56"/>
  <c r="C413" i="56"/>
  <c r="N412" i="56"/>
  <c r="M412" i="56"/>
  <c r="L412" i="56"/>
  <c r="I412" i="56"/>
  <c r="H412" i="56"/>
  <c r="G412" i="56"/>
  <c r="C412" i="56"/>
  <c r="N411" i="56"/>
  <c r="M411" i="56"/>
  <c r="L411" i="56"/>
  <c r="I411" i="56"/>
  <c r="H411" i="56"/>
  <c r="G411" i="56"/>
  <c r="C411" i="56"/>
  <c r="N410" i="56"/>
  <c r="M410" i="56"/>
  <c r="L410" i="56"/>
  <c r="I410" i="56"/>
  <c r="H410" i="56"/>
  <c r="G410" i="56"/>
  <c r="C410" i="56"/>
  <c r="N409" i="56"/>
  <c r="M409" i="56"/>
  <c r="L409" i="56"/>
  <c r="I409" i="56"/>
  <c r="H409" i="56"/>
  <c r="G409" i="56"/>
  <c r="C409" i="56"/>
  <c r="N408" i="56"/>
  <c r="M408" i="56"/>
  <c r="L408" i="56"/>
  <c r="I408" i="56"/>
  <c r="H408" i="56"/>
  <c r="G408" i="56"/>
  <c r="C408" i="56"/>
  <c r="N407" i="56"/>
  <c r="M407" i="56"/>
  <c r="L407" i="56"/>
  <c r="I407" i="56"/>
  <c r="H407" i="56"/>
  <c r="G407" i="56"/>
  <c r="C407" i="56"/>
  <c r="N406" i="56"/>
  <c r="M406" i="56"/>
  <c r="L406" i="56"/>
  <c r="I406" i="56"/>
  <c r="H406" i="56"/>
  <c r="G406" i="56"/>
  <c r="C406" i="56"/>
  <c r="N405" i="56"/>
  <c r="M405" i="56"/>
  <c r="L405" i="56"/>
  <c r="H405" i="56"/>
  <c r="G405" i="56"/>
  <c r="C405" i="56"/>
  <c r="N404" i="56"/>
  <c r="M404" i="56"/>
  <c r="L404" i="56"/>
  <c r="I404" i="56"/>
  <c r="G404" i="56"/>
  <c r="C404" i="56"/>
  <c r="N403" i="56"/>
  <c r="M403" i="56"/>
  <c r="L403" i="56"/>
  <c r="I403" i="56"/>
  <c r="H403" i="56"/>
  <c r="G403" i="56"/>
  <c r="C403" i="56"/>
  <c r="N402" i="56"/>
  <c r="M402" i="56"/>
  <c r="L402" i="56"/>
  <c r="I402" i="56"/>
  <c r="H402" i="56"/>
  <c r="G402" i="56"/>
  <c r="C402" i="56"/>
  <c r="N401" i="56"/>
  <c r="M401" i="56"/>
  <c r="L401" i="56"/>
  <c r="I401" i="56"/>
  <c r="H401" i="56"/>
  <c r="G401" i="56"/>
  <c r="C401" i="56"/>
  <c r="N400" i="56"/>
  <c r="M400" i="56"/>
  <c r="L400" i="56"/>
  <c r="I400" i="56"/>
  <c r="H400" i="56"/>
  <c r="G400" i="56"/>
  <c r="C400" i="56"/>
  <c r="N399" i="56"/>
  <c r="L399" i="56"/>
  <c r="I399" i="56"/>
  <c r="H399" i="56"/>
  <c r="G399" i="56"/>
  <c r="C399" i="56"/>
  <c r="N398" i="56"/>
  <c r="M398" i="56"/>
  <c r="L398" i="56"/>
  <c r="I398" i="56"/>
  <c r="H398" i="56"/>
  <c r="G398" i="56"/>
  <c r="C398" i="56"/>
  <c r="N397" i="56"/>
  <c r="M397" i="56"/>
  <c r="L397" i="56"/>
  <c r="I397" i="56"/>
  <c r="H397" i="56"/>
  <c r="G397" i="56"/>
  <c r="C397" i="56"/>
  <c r="N396" i="56"/>
  <c r="M396" i="56"/>
  <c r="L396" i="56"/>
  <c r="I396" i="56"/>
  <c r="H396" i="56"/>
  <c r="G396" i="56"/>
  <c r="C396" i="56"/>
  <c r="N395" i="56"/>
  <c r="M395" i="56"/>
  <c r="L395" i="56"/>
  <c r="I395" i="56"/>
  <c r="H395" i="56"/>
  <c r="G395" i="56"/>
  <c r="C395" i="56"/>
  <c r="N394" i="56"/>
  <c r="M394" i="56"/>
  <c r="L394" i="56"/>
  <c r="I394" i="56"/>
  <c r="H394" i="56"/>
  <c r="G394" i="56"/>
  <c r="C394" i="56"/>
  <c r="N393" i="56"/>
  <c r="M393" i="56"/>
  <c r="L393" i="56"/>
  <c r="I393" i="56"/>
  <c r="H393" i="56"/>
  <c r="G393" i="56"/>
  <c r="C393" i="56"/>
  <c r="N392" i="56"/>
  <c r="M392" i="56"/>
  <c r="L392" i="56"/>
  <c r="I392" i="56"/>
  <c r="H392" i="56"/>
  <c r="G392" i="56"/>
  <c r="C392" i="56"/>
  <c r="N391" i="56"/>
  <c r="M391" i="56"/>
  <c r="L391" i="56"/>
  <c r="I391" i="56"/>
  <c r="H391" i="56"/>
  <c r="G391" i="56"/>
  <c r="C391" i="56"/>
  <c r="N390" i="56"/>
  <c r="M390" i="56"/>
  <c r="L390" i="56"/>
  <c r="I390" i="56"/>
  <c r="H390" i="56"/>
  <c r="G390" i="56"/>
  <c r="C390" i="56"/>
  <c r="N389" i="56"/>
  <c r="M389" i="56"/>
  <c r="L389" i="56"/>
  <c r="H389" i="56"/>
  <c r="G389" i="56"/>
  <c r="C389" i="56"/>
  <c r="N388" i="56"/>
  <c r="M388" i="56"/>
  <c r="L388" i="56"/>
  <c r="I388" i="56"/>
  <c r="H388" i="56"/>
  <c r="G388" i="56"/>
  <c r="C388" i="56"/>
  <c r="N387" i="56"/>
  <c r="M387" i="56"/>
  <c r="L387" i="56"/>
  <c r="I387" i="56"/>
  <c r="H387" i="56"/>
  <c r="G387" i="56"/>
  <c r="C387" i="56"/>
  <c r="N386" i="56"/>
  <c r="M386" i="56"/>
  <c r="L386" i="56"/>
  <c r="I386" i="56"/>
  <c r="H386" i="56"/>
  <c r="G386" i="56"/>
  <c r="C386" i="56"/>
  <c r="N385" i="56"/>
  <c r="M385" i="56"/>
  <c r="L385" i="56"/>
  <c r="I385" i="56"/>
  <c r="H385" i="56"/>
  <c r="G385" i="56"/>
  <c r="C385" i="56"/>
  <c r="N384" i="56"/>
  <c r="M384" i="56"/>
  <c r="L384" i="56"/>
  <c r="I384" i="56"/>
  <c r="H384" i="56"/>
  <c r="G384" i="56"/>
  <c r="C384" i="56"/>
  <c r="N383" i="56"/>
  <c r="M383" i="56"/>
  <c r="L383" i="56"/>
  <c r="I383" i="56"/>
  <c r="H383" i="56"/>
  <c r="G383" i="56"/>
  <c r="C383" i="56"/>
  <c r="N382" i="56"/>
  <c r="M382" i="56"/>
  <c r="L382" i="56"/>
  <c r="I382" i="56"/>
  <c r="H382" i="56"/>
  <c r="G382" i="56"/>
  <c r="C382" i="56"/>
  <c r="N381" i="56"/>
  <c r="M381" i="56"/>
  <c r="L381" i="56"/>
  <c r="I381" i="56"/>
  <c r="H381" i="56"/>
  <c r="G381" i="56"/>
  <c r="C381" i="56"/>
  <c r="N380" i="56"/>
  <c r="M380" i="56"/>
  <c r="L380" i="56"/>
  <c r="I380" i="56"/>
  <c r="H380" i="56"/>
  <c r="G380" i="56"/>
  <c r="C380" i="56"/>
  <c r="N379" i="56"/>
  <c r="M379" i="56"/>
  <c r="L379" i="56"/>
  <c r="I379" i="56"/>
  <c r="H379" i="56"/>
  <c r="G379" i="56"/>
  <c r="C379" i="56"/>
  <c r="N378" i="56"/>
  <c r="M378" i="56"/>
  <c r="L378" i="56"/>
  <c r="I378" i="56"/>
  <c r="H378" i="56"/>
  <c r="G378" i="56"/>
  <c r="C378" i="56"/>
  <c r="N377" i="56"/>
  <c r="M377" i="56"/>
  <c r="L377" i="56"/>
  <c r="I377" i="56"/>
  <c r="H377" i="56"/>
  <c r="G377" i="56"/>
  <c r="C377" i="56"/>
  <c r="N376" i="56"/>
  <c r="M376" i="56"/>
  <c r="L376" i="56"/>
  <c r="I376" i="56"/>
  <c r="H376" i="56"/>
  <c r="G376" i="56"/>
  <c r="C376" i="56"/>
  <c r="N375" i="56"/>
  <c r="M375" i="56"/>
  <c r="L375" i="56"/>
  <c r="I375" i="56"/>
  <c r="H375" i="56"/>
  <c r="G375" i="56"/>
  <c r="C375" i="56"/>
  <c r="N374" i="56"/>
  <c r="M374" i="56"/>
  <c r="L374" i="56"/>
  <c r="I374" i="56"/>
  <c r="H374" i="56"/>
  <c r="G374" i="56"/>
  <c r="C374" i="56"/>
  <c r="N373" i="56"/>
  <c r="M373" i="56"/>
  <c r="L373" i="56"/>
  <c r="I373" i="56"/>
  <c r="H373" i="56"/>
  <c r="G373" i="56"/>
  <c r="C373" i="56"/>
  <c r="N372" i="56"/>
  <c r="M372" i="56"/>
  <c r="L372" i="56"/>
  <c r="I372" i="56"/>
  <c r="H372" i="56"/>
  <c r="G372" i="56"/>
  <c r="C372" i="56"/>
  <c r="N371" i="56"/>
  <c r="M371" i="56"/>
  <c r="L371" i="56"/>
  <c r="I371" i="56"/>
  <c r="H371" i="56"/>
  <c r="G371" i="56"/>
  <c r="C371" i="56"/>
  <c r="N370" i="56"/>
  <c r="M370" i="56"/>
  <c r="L370" i="56"/>
  <c r="I370" i="56"/>
  <c r="H370" i="56"/>
  <c r="G370" i="56"/>
  <c r="C370" i="56"/>
  <c r="N369" i="56"/>
  <c r="M369" i="56"/>
  <c r="L369" i="56"/>
  <c r="I369" i="56"/>
  <c r="H369" i="56"/>
  <c r="G369" i="56"/>
  <c r="C369" i="56"/>
  <c r="N368" i="56"/>
  <c r="M368" i="56"/>
  <c r="L368" i="56"/>
  <c r="I368" i="56"/>
  <c r="H368" i="56"/>
  <c r="G368" i="56"/>
  <c r="C368" i="56"/>
  <c r="N367" i="56"/>
  <c r="M367" i="56"/>
  <c r="L367" i="56"/>
  <c r="I367" i="56"/>
  <c r="H367" i="56"/>
  <c r="G367" i="56"/>
  <c r="C367" i="56"/>
  <c r="N366" i="56"/>
  <c r="M366" i="56"/>
  <c r="L366" i="56"/>
  <c r="I366" i="56"/>
  <c r="H366" i="56"/>
  <c r="G366" i="56"/>
  <c r="C366" i="56"/>
  <c r="N365" i="56"/>
  <c r="M365" i="56"/>
  <c r="L365" i="56"/>
  <c r="I365" i="56"/>
  <c r="H365" i="56"/>
  <c r="G365" i="56"/>
  <c r="C365" i="56"/>
  <c r="N364" i="56"/>
  <c r="M364" i="56"/>
  <c r="L364" i="56"/>
  <c r="I364" i="56"/>
  <c r="H364" i="56"/>
  <c r="G364" i="56"/>
  <c r="C364" i="56"/>
  <c r="N363" i="56"/>
  <c r="M363" i="56"/>
  <c r="L363" i="56"/>
  <c r="I363" i="56"/>
  <c r="H363" i="56"/>
  <c r="G363" i="56"/>
  <c r="C363" i="56"/>
  <c r="N362" i="56"/>
  <c r="M362" i="56"/>
  <c r="L362" i="56"/>
  <c r="I362" i="56"/>
  <c r="H362" i="56"/>
  <c r="G362" i="56"/>
  <c r="C362" i="56"/>
  <c r="N361" i="56"/>
  <c r="M361" i="56"/>
  <c r="L361" i="56"/>
  <c r="I361" i="56"/>
  <c r="H361" i="56"/>
  <c r="G361" i="56"/>
  <c r="C361" i="56"/>
  <c r="N360" i="56"/>
  <c r="M360" i="56"/>
  <c r="L360" i="56"/>
  <c r="I360" i="56"/>
  <c r="H360" i="56"/>
  <c r="G360" i="56"/>
  <c r="C360" i="56"/>
  <c r="N359" i="56"/>
  <c r="M359" i="56"/>
  <c r="L359" i="56"/>
  <c r="I359" i="56"/>
  <c r="H359" i="56"/>
  <c r="G359" i="56"/>
  <c r="C359" i="56"/>
  <c r="N358" i="56"/>
  <c r="M358" i="56"/>
  <c r="L358" i="56"/>
  <c r="I358" i="56"/>
  <c r="H358" i="56"/>
  <c r="G358" i="56"/>
  <c r="C358" i="56"/>
  <c r="N357" i="56"/>
  <c r="M357" i="56"/>
  <c r="L357" i="56"/>
  <c r="I357" i="56"/>
  <c r="H357" i="56"/>
  <c r="G357" i="56"/>
  <c r="C357" i="56"/>
  <c r="N356" i="56"/>
  <c r="M356" i="56"/>
  <c r="L356" i="56"/>
  <c r="I356" i="56"/>
  <c r="H356" i="56"/>
  <c r="G356" i="56"/>
  <c r="C356" i="56"/>
  <c r="N355" i="56"/>
  <c r="M355" i="56"/>
  <c r="L355" i="56"/>
  <c r="I355" i="56"/>
  <c r="H355" i="56"/>
  <c r="G355" i="56"/>
  <c r="C355" i="56"/>
  <c r="N354" i="56"/>
  <c r="M354" i="56"/>
  <c r="L354" i="56"/>
  <c r="I354" i="56"/>
  <c r="H354" i="56"/>
  <c r="G354" i="56"/>
  <c r="C354" i="56"/>
  <c r="N353" i="56"/>
  <c r="M353" i="56"/>
  <c r="L353" i="56"/>
  <c r="I353" i="56"/>
  <c r="H353" i="56"/>
  <c r="G353" i="56"/>
  <c r="C353" i="56"/>
  <c r="N352" i="56"/>
  <c r="M352" i="56"/>
  <c r="L352" i="56"/>
  <c r="I352" i="56"/>
  <c r="H352" i="56"/>
  <c r="G352" i="56"/>
  <c r="C352" i="56"/>
  <c r="N351" i="56"/>
  <c r="M351" i="56"/>
  <c r="L351" i="56"/>
  <c r="I351" i="56"/>
  <c r="H351" i="56"/>
  <c r="G351" i="56"/>
  <c r="C351" i="56"/>
  <c r="N350" i="56"/>
  <c r="M350" i="56"/>
  <c r="L350" i="56"/>
  <c r="I350" i="56"/>
  <c r="H350" i="56"/>
  <c r="G350" i="56"/>
  <c r="C350" i="56"/>
  <c r="N349" i="56"/>
  <c r="M349" i="56"/>
  <c r="L349" i="56"/>
  <c r="I349" i="56"/>
  <c r="H349" i="56"/>
  <c r="G349" i="56"/>
  <c r="C349" i="56"/>
  <c r="N348" i="56"/>
  <c r="M348" i="56"/>
  <c r="L348" i="56"/>
  <c r="I348" i="56"/>
  <c r="H348" i="56"/>
  <c r="G348" i="56"/>
  <c r="C348" i="56"/>
  <c r="N347" i="56"/>
  <c r="M347" i="56"/>
  <c r="L347" i="56"/>
  <c r="I347" i="56"/>
  <c r="H347" i="56"/>
  <c r="G347" i="56"/>
  <c r="C347" i="56"/>
  <c r="N346" i="56"/>
  <c r="M346" i="56"/>
  <c r="L346" i="56"/>
  <c r="I346" i="56"/>
  <c r="H346" i="56"/>
  <c r="G346" i="56"/>
  <c r="C346" i="56"/>
  <c r="N345" i="56"/>
  <c r="M345" i="56"/>
  <c r="L345" i="56"/>
  <c r="I345" i="56"/>
  <c r="H345" i="56"/>
  <c r="G345" i="56"/>
  <c r="C345" i="56"/>
  <c r="N344" i="56"/>
  <c r="M344" i="56"/>
  <c r="L344" i="56"/>
  <c r="I344" i="56"/>
  <c r="H344" i="56"/>
  <c r="G344" i="56"/>
  <c r="C344" i="56"/>
  <c r="N343" i="56"/>
  <c r="M343" i="56"/>
  <c r="L343" i="56"/>
  <c r="I343" i="56"/>
  <c r="H343" i="56"/>
  <c r="G343" i="56"/>
  <c r="C343" i="56"/>
  <c r="N342" i="56"/>
  <c r="M342" i="56"/>
  <c r="L342" i="56"/>
  <c r="I342" i="56"/>
  <c r="H342" i="56"/>
  <c r="G342" i="56"/>
  <c r="C342" i="56"/>
  <c r="N341" i="56"/>
  <c r="M341" i="56"/>
  <c r="L341" i="56"/>
  <c r="I341" i="56"/>
  <c r="H341" i="56"/>
  <c r="G341" i="56"/>
  <c r="C341" i="56"/>
  <c r="N340" i="56"/>
  <c r="M340" i="56"/>
  <c r="L340" i="56"/>
  <c r="I340" i="56"/>
  <c r="H340" i="56"/>
  <c r="G340" i="56"/>
  <c r="C340" i="56"/>
  <c r="N339" i="56"/>
  <c r="M339" i="56"/>
  <c r="L339" i="56"/>
  <c r="I339" i="56"/>
  <c r="H339" i="56"/>
  <c r="G339" i="56"/>
  <c r="C339" i="56"/>
  <c r="N338" i="56"/>
  <c r="M338" i="56"/>
  <c r="L338" i="56"/>
  <c r="I338" i="56"/>
  <c r="H338" i="56"/>
  <c r="G338" i="56"/>
  <c r="C338" i="56"/>
  <c r="N337" i="56"/>
  <c r="M337" i="56"/>
  <c r="L337" i="56"/>
  <c r="I337" i="56"/>
  <c r="H337" i="56"/>
  <c r="G337" i="56"/>
  <c r="C337" i="56"/>
  <c r="N336" i="56"/>
  <c r="M336" i="56"/>
  <c r="L336" i="56"/>
  <c r="I336" i="56"/>
  <c r="H336" i="56"/>
  <c r="G336" i="56"/>
  <c r="C336" i="56"/>
  <c r="N335" i="56"/>
  <c r="M335" i="56"/>
  <c r="L335" i="56"/>
  <c r="I335" i="56"/>
  <c r="H335" i="56"/>
  <c r="G335" i="56"/>
  <c r="C335" i="56"/>
  <c r="N334" i="56"/>
  <c r="M334" i="56"/>
  <c r="L334" i="56"/>
  <c r="I334" i="56"/>
  <c r="H334" i="56"/>
  <c r="G334" i="56"/>
  <c r="C334" i="56"/>
  <c r="N333" i="56"/>
  <c r="M333" i="56"/>
  <c r="L333" i="56"/>
  <c r="I333" i="56"/>
  <c r="H333" i="56"/>
  <c r="G333" i="56"/>
  <c r="C333" i="56"/>
  <c r="N332" i="56"/>
  <c r="M332" i="56"/>
  <c r="L332" i="56"/>
  <c r="I332" i="56"/>
  <c r="H332" i="56"/>
  <c r="G332" i="56"/>
  <c r="C332" i="56"/>
  <c r="N331" i="56"/>
  <c r="M331" i="56"/>
  <c r="L331" i="56"/>
  <c r="I331" i="56"/>
  <c r="H331" i="56"/>
  <c r="G331" i="56"/>
  <c r="C331" i="56"/>
  <c r="N330" i="56"/>
  <c r="M330" i="56"/>
  <c r="L330" i="56"/>
  <c r="I330" i="56"/>
  <c r="H330" i="56"/>
  <c r="G330" i="56"/>
  <c r="C330" i="56"/>
  <c r="N329" i="56"/>
  <c r="M329" i="56"/>
  <c r="L329" i="56"/>
  <c r="I329" i="56"/>
  <c r="H329" i="56"/>
  <c r="G329" i="56"/>
  <c r="C329" i="56"/>
  <c r="N328" i="56"/>
  <c r="M328" i="56"/>
  <c r="L328" i="56"/>
  <c r="I328" i="56"/>
  <c r="H328" i="56"/>
  <c r="G328" i="56"/>
  <c r="C328" i="56"/>
  <c r="N327" i="56"/>
  <c r="M327" i="56"/>
  <c r="L327" i="56"/>
  <c r="I327" i="56"/>
  <c r="H327" i="56"/>
  <c r="G327" i="56"/>
  <c r="C327" i="56"/>
  <c r="N326" i="56"/>
  <c r="M326" i="56"/>
  <c r="L326" i="56"/>
  <c r="I326" i="56"/>
  <c r="H326" i="56"/>
  <c r="G326" i="56"/>
  <c r="C326" i="56"/>
  <c r="N325" i="56"/>
  <c r="M325" i="56"/>
  <c r="L325" i="56"/>
  <c r="I325" i="56"/>
  <c r="H325" i="56"/>
  <c r="G325" i="56"/>
  <c r="C325" i="56"/>
  <c r="N324" i="56"/>
  <c r="M324" i="56"/>
  <c r="L324" i="56"/>
  <c r="I324" i="56"/>
  <c r="H324" i="56"/>
  <c r="G324" i="56"/>
  <c r="C324" i="56"/>
  <c r="N323" i="56"/>
  <c r="M323" i="56"/>
  <c r="L323" i="56"/>
  <c r="I323" i="56"/>
  <c r="H323" i="56"/>
  <c r="G323" i="56"/>
  <c r="C323" i="56"/>
  <c r="N322" i="56"/>
  <c r="M322" i="56"/>
  <c r="L322" i="56"/>
  <c r="I322" i="56"/>
  <c r="H322" i="56"/>
  <c r="G322" i="56"/>
  <c r="C322" i="56"/>
  <c r="N321" i="56"/>
  <c r="M321" i="56"/>
  <c r="L321" i="56"/>
  <c r="I321" i="56"/>
  <c r="H321" i="56"/>
  <c r="G321" i="56"/>
  <c r="C321" i="56"/>
  <c r="N320" i="56"/>
  <c r="M320" i="56"/>
  <c r="L320" i="56"/>
  <c r="I320" i="56"/>
  <c r="H320" i="56"/>
  <c r="G320" i="56"/>
  <c r="C320" i="56"/>
  <c r="N319" i="56"/>
  <c r="M319" i="56"/>
  <c r="L319" i="56"/>
  <c r="I319" i="56"/>
  <c r="H319" i="56"/>
  <c r="G319" i="56"/>
  <c r="C319" i="56"/>
  <c r="N318" i="56"/>
  <c r="M318" i="56"/>
  <c r="L318" i="56"/>
  <c r="I318" i="56"/>
  <c r="H318" i="56"/>
  <c r="G318" i="56"/>
  <c r="C318" i="56"/>
  <c r="N317" i="56"/>
  <c r="M317" i="56"/>
  <c r="L317" i="56"/>
  <c r="I317" i="56"/>
  <c r="H317" i="56"/>
  <c r="G317" i="56"/>
  <c r="C317" i="56"/>
  <c r="N316" i="56"/>
  <c r="M316" i="56"/>
  <c r="L316" i="56"/>
  <c r="I316" i="56"/>
  <c r="H316" i="56"/>
  <c r="G316" i="56"/>
  <c r="C316" i="56"/>
  <c r="N315" i="56"/>
  <c r="M315" i="56"/>
  <c r="L315" i="56"/>
  <c r="I315" i="56"/>
  <c r="H315" i="56"/>
  <c r="G315" i="56"/>
  <c r="C315" i="56"/>
  <c r="N314" i="56"/>
  <c r="M314" i="56"/>
  <c r="L314" i="56"/>
  <c r="I314" i="56"/>
  <c r="H314" i="56"/>
  <c r="G314" i="56"/>
  <c r="C314" i="56"/>
  <c r="N313" i="56"/>
  <c r="M313" i="56"/>
  <c r="L313" i="56"/>
  <c r="I313" i="56"/>
  <c r="H313" i="56"/>
  <c r="G313" i="56"/>
  <c r="C313" i="56"/>
  <c r="N312" i="56"/>
  <c r="M312" i="56"/>
  <c r="L312" i="56"/>
  <c r="I312" i="56"/>
  <c r="H312" i="56"/>
  <c r="G312" i="56"/>
  <c r="C312" i="56"/>
  <c r="N311" i="56"/>
  <c r="M311" i="56"/>
  <c r="L311" i="56"/>
  <c r="I311" i="56"/>
  <c r="H311" i="56"/>
  <c r="G311" i="56"/>
  <c r="C311" i="56"/>
  <c r="N310" i="56"/>
  <c r="M310" i="56"/>
  <c r="L310" i="56"/>
  <c r="I310" i="56"/>
  <c r="H310" i="56"/>
  <c r="G310" i="56"/>
  <c r="C310" i="56"/>
  <c r="N309" i="56"/>
  <c r="M309" i="56"/>
  <c r="L309" i="56"/>
  <c r="I309" i="56"/>
  <c r="H309" i="56"/>
  <c r="G309" i="56"/>
  <c r="C309" i="56"/>
  <c r="N308" i="56"/>
  <c r="M308" i="56"/>
  <c r="L308" i="56"/>
  <c r="I308" i="56"/>
  <c r="H308" i="56"/>
  <c r="G308" i="56"/>
  <c r="C308" i="56"/>
  <c r="N307" i="56"/>
  <c r="M307" i="56"/>
  <c r="L307" i="56"/>
  <c r="I307" i="56"/>
  <c r="H307" i="56"/>
  <c r="G307" i="56"/>
  <c r="C307" i="56"/>
  <c r="N306" i="56"/>
  <c r="M306" i="56"/>
  <c r="L306" i="56"/>
  <c r="I306" i="56"/>
  <c r="H306" i="56"/>
  <c r="G306" i="56"/>
  <c r="C306" i="56"/>
  <c r="N305" i="56"/>
  <c r="M305" i="56"/>
  <c r="L305" i="56"/>
  <c r="I305" i="56"/>
  <c r="H305" i="56"/>
  <c r="G305" i="56"/>
  <c r="C305" i="56"/>
  <c r="N304" i="56"/>
  <c r="M304" i="56"/>
  <c r="L304" i="56"/>
  <c r="I304" i="56"/>
  <c r="H304" i="56"/>
  <c r="G304" i="56"/>
  <c r="C304" i="56"/>
  <c r="N303" i="56"/>
  <c r="M303" i="56"/>
  <c r="L303" i="56"/>
  <c r="I303" i="56"/>
  <c r="H303" i="56"/>
  <c r="G303" i="56"/>
  <c r="C303" i="56"/>
  <c r="N302" i="56"/>
  <c r="M302" i="56"/>
  <c r="L302" i="56"/>
  <c r="I302" i="56"/>
  <c r="H302" i="56"/>
  <c r="G302" i="56"/>
  <c r="C302" i="56"/>
  <c r="N301" i="56"/>
  <c r="M301" i="56"/>
  <c r="L301" i="56"/>
  <c r="I301" i="56"/>
  <c r="H301" i="56"/>
  <c r="G301" i="56"/>
  <c r="C301" i="56"/>
  <c r="N300" i="56"/>
  <c r="M300" i="56"/>
  <c r="L300" i="56"/>
  <c r="I300" i="56"/>
  <c r="H300" i="56"/>
  <c r="G300" i="56"/>
  <c r="C300" i="56"/>
  <c r="N299" i="56"/>
  <c r="M299" i="56"/>
  <c r="L299" i="56"/>
  <c r="I299" i="56"/>
  <c r="H299" i="56"/>
  <c r="G299" i="56"/>
  <c r="C299" i="56"/>
  <c r="N298" i="56"/>
  <c r="M298" i="56"/>
  <c r="L298" i="56"/>
  <c r="I298" i="56"/>
  <c r="H298" i="56"/>
  <c r="G298" i="56"/>
  <c r="C298" i="56"/>
  <c r="N297" i="56"/>
  <c r="M297" i="56"/>
  <c r="L297" i="56"/>
  <c r="I297" i="56"/>
  <c r="H297" i="56"/>
  <c r="G297" i="56"/>
  <c r="C297" i="56"/>
  <c r="N296" i="56"/>
  <c r="M296" i="56"/>
  <c r="L296" i="56"/>
  <c r="I296" i="56"/>
  <c r="H296" i="56"/>
  <c r="G296" i="56"/>
  <c r="C296" i="56"/>
  <c r="N295" i="56"/>
  <c r="M295" i="56"/>
  <c r="L295" i="56"/>
  <c r="I295" i="56"/>
  <c r="H295" i="56"/>
  <c r="G295" i="56"/>
  <c r="C295" i="56"/>
  <c r="N294" i="56"/>
  <c r="M294" i="56"/>
  <c r="L294" i="56"/>
  <c r="I294" i="56"/>
  <c r="H294" i="56"/>
  <c r="G294" i="56"/>
  <c r="C294" i="56"/>
  <c r="N293" i="56"/>
  <c r="M293" i="56"/>
  <c r="L293" i="56"/>
  <c r="I293" i="56"/>
  <c r="H293" i="56"/>
  <c r="G293" i="56"/>
  <c r="C293" i="56"/>
  <c r="N292" i="56"/>
  <c r="M292" i="56"/>
  <c r="L292" i="56"/>
  <c r="I292" i="56"/>
  <c r="H292" i="56"/>
  <c r="G292" i="56"/>
  <c r="C292" i="56"/>
  <c r="N291" i="56"/>
  <c r="M291" i="56"/>
  <c r="L291" i="56"/>
  <c r="I291" i="56"/>
  <c r="H291" i="56"/>
  <c r="G291" i="56"/>
  <c r="C291" i="56"/>
  <c r="N290" i="56"/>
  <c r="M290" i="56"/>
  <c r="L290" i="56"/>
  <c r="I290" i="56"/>
  <c r="H290" i="56"/>
  <c r="G290" i="56"/>
  <c r="C290" i="56"/>
  <c r="N289" i="56"/>
  <c r="M289" i="56"/>
  <c r="L289" i="56"/>
  <c r="I289" i="56"/>
  <c r="H289" i="56"/>
  <c r="G289" i="56"/>
  <c r="C289" i="56"/>
  <c r="N288" i="56"/>
  <c r="M288" i="56"/>
  <c r="L288" i="56"/>
  <c r="I288" i="56"/>
  <c r="H288" i="56"/>
  <c r="G288" i="56"/>
  <c r="C288" i="56"/>
  <c r="N287" i="56"/>
  <c r="M287" i="56"/>
  <c r="L287" i="56"/>
  <c r="I287" i="56"/>
  <c r="H287" i="56"/>
  <c r="G287" i="56"/>
  <c r="C287" i="56"/>
  <c r="N286" i="56"/>
  <c r="M286" i="56"/>
  <c r="L286" i="56"/>
  <c r="I286" i="56"/>
  <c r="H286" i="56"/>
  <c r="G286" i="56"/>
  <c r="C286" i="56"/>
  <c r="N285" i="56"/>
  <c r="M285" i="56"/>
  <c r="L285" i="56"/>
  <c r="I285" i="56"/>
  <c r="H285" i="56"/>
  <c r="G285" i="56"/>
  <c r="C285" i="56"/>
  <c r="N284" i="56"/>
  <c r="M284" i="56"/>
  <c r="L284" i="56"/>
  <c r="I284" i="56"/>
  <c r="H284" i="56"/>
  <c r="G284" i="56"/>
  <c r="C284" i="56"/>
  <c r="N283" i="56"/>
  <c r="M283" i="56"/>
  <c r="L283" i="56"/>
  <c r="I283" i="56"/>
  <c r="H283" i="56"/>
  <c r="G283" i="56"/>
  <c r="C283" i="56"/>
  <c r="N282" i="56"/>
  <c r="M282" i="56"/>
  <c r="L282" i="56"/>
  <c r="I282" i="56"/>
  <c r="H282" i="56"/>
  <c r="G282" i="56"/>
  <c r="C282" i="56"/>
  <c r="N281" i="56"/>
  <c r="M281" i="56"/>
  <c r="L281" i="56"/>
  <c r="I281" i="56"/>
  <c r="H281" i="56"/>
  <c r="G281" i="56"/>
  <c r="C281" i="56"/>
  <c r="N280" i="56"/>
  <c r="M280" i="56"/>
  <c r="L280" i="56"/>
  <c r="I280" i="56"/>
  <c r="H280" i="56"/>
  <c r="G280" i="56"/>
  <c r="C280" i="56"/>
  <c r="N279" i="56"/>
  <c r="M279" i="56"/>
  <c r="L279" i="56"/>
  <c r="I279" i="56"/>
  <c r="H279" i="56"/>
  <c r="G279" i="56"/>
  <c r="C279" i="56"/>
  <c r="N278" i="56"/>
  <c r="M278" i="56"/>
  <c r="L278" i="56"/>
  <c r="I278" i="56"/>
  <c r="H278" i="56"/>
  <c r="G278" i="56"/>
  <c r="C278" i="56"/>
  <c r="N277" i="56"/>
  <c r="M277" i="56"/>
  <c r="L277" i="56"/>
  <c r="I277" i="56"/>
  <c r="H277" i="56"/>
  <c r="G277" i="56"/>
  <c r="C277" i="56"/>
  <c r="N276" i="56"/>
  <c r="M276" i="56"/>
  <c r="L276" i="56"/>
  <c r="I276" i="56"/>
  <c r="H276" i="56"/>
  <c r="G276" i="56"/>
  <c r="C276" i="56"/>
  <c r="N275" i="56"/>
  <c r="M275" i="56"/>
  <c r="L275" i="56"/>
  <c r="I275" i="56"/>
  <c r="H275" i="56"/>
  <c r="G275" i="56"/>
  <c r="C275" i="56"/>
  <c r="N274" i="56"/>
  <c r="M274" i="56"/>
  <c r="L274" i="56"/>
  <c r="I274" i="56"/>
  <c r="H274" i="56"/>
  <c r="G274" i="56"/>
  <c r="C274" i="56"/>
  <c r="N273" i="56"/>
  <c r="M273" i="56"/>
  <c r="L273" i="56"/>
  <c r="I273" i="56"/>
  <c r="H273" i="56"/>
  <c r="G273" i="56"/>
  <c r="C273" i="56"/>
  <c r="N272" i="56"/>
  <c r="M272" i="56"/>
  <c r="L272" i="56"/>
  <c r="I272" i="56"/>
  <c r="H272" i="56"/>
  <c r="G272" i="56"/>
  <c r="C272" i="56"/>
  <c r="N271" i="56"/>
  <c r="M271" i="56"/>
  <c r="L271" i="56"/>
  <c r="I271" i="56"/>
  <c r="H271" i="56"/>
  <c r="G271" i="56"/>
  <c r="C271" i="56"/>
  <c r="N270" i="56"/>
  <c r="M270" i="56"/>
  <c r="L270" i="56"/>
  <c r="I270" i="56"/>
  <c r="H270" i="56"/>
  <c r="G270" i="56"/>
  <c r="C270" i="56"/>
  <c r="N269" i="56"/>
  <c r="M269" i="56"/>
  <c r="L269" i="56"/>
  <c r="I269" i="56"/>
  <c r="H269" i="56"/>
  <c r="G269" i="56"/>
  <c r="C269" i="56"/>
  <c r="N268" i="56"/>
  <c r="M268" i="56"/>
  <c r="L268" i="56"/>
  <c r="I268" i="56"/>
  <c r="H268" i="56"/>
  <c r="G268" i="56"/>
  <c r="C268" i="56"/>
  <c r="N267" i="56"/>
  <c r="M267" i="56"/>
  <c r="L267" i="56"/>
  <c r="I267" i="56"/>
  <c r="H267" i="56"/>
  <c r="G267" i="56"/>
  <c r="C267" i="56"/>
  <c r="N266" i="56"/>
  <c r="M266" i="56"/>
  <c r="L266" i="56"/>
  <c r="I266" i="56"/>
  <c r="H266" i="56"/>
  <c r="G266" i="56"/>
  <c r="C266" i="56"/>
  <c r="N265" i="56"/>
  <c r="M265" i="56"/>
  <c r="L265" i="56"/>
  <c r="I265" i="56"/>
  <c r="H265" i="56"/>
  <c r="G265" i="56"/>
  <c r="C265" i="56"/>
  <c r="N264" i="56"/>
  <c r="M264" i="56"/>
  <c r="L264" i="56"/>
  <c r="I264" i="56"/>
  <c r="H264" i="56"/>
  <c r="G264" i="56"/>
  <c r="C264" i="56"/>
  <c r="N263" i="56"/>
  <c r="M263" i="56"/>
  <c r="L263" i="56"/>
  <c r="I263" i="56"/>
  <c r="H263" i="56"/>
  <c r="G263" i="56"/>
  <c r="C263" i="56"/>
  <c r="N262" i="56"/>
  <c r="M262" i="56"/>
  <c r="L262" i="56"/>
  <c r="I262" i="56"/>
  <c r="H262" i="56"/>
  <c r="G262" i="56"/>
  <c r="C262" i="56"/>
  <c r="N261" i="56"/>
  <c r="M261" i="56"/>
  <c r="L261" i="56"/>
  <c r="I261" i="56"/>
  <c r="H261" i="56"/>
  <c r="G261" i="56"/>
  <c r="C261" i="56"/>
  <c r="N260" i="56"/>
  <c r="M260" i="56"/>
  <c r="L260" i="56"/>
  <c r="I260" i="56"/>
  <c r="H260" i="56"/>
  <c r="G260" i="56"/>
  <c r="C260" i="56"/>
  <c r="N259" i="56"/>
  <c r="M259" i="56"/>
  <c r="L259" i="56"/>
  <c r="I259" i="56"/>
  <c r="H259" i="56"/>
  <c r="G259" i="56"/>
  <c r="C259" i="56"/>
  <c r="N258" i="56"/>
  <c r="M258" i="56"/>
  <c r="L258" i="56"/>
  <c r="I258" i="56"/>
  <c r="H258" i="56"/>
  <c r="G258" i="56"/>
  <c r="C258" i="56"/>
  <c r="N257" i="56"/>
  <c r="M257" i="56"/>
  <c r="L257" i="56"/>
  <c r="I257" i="56"/>
  <c r="H257" i="56"/>
  <c r="G257" i="56"/>
  <c r="C257" i="56"/>
  <c r="N256" i="56"/>
  <c r="M256" i="56"/>
  <c r="L256" i="56"/>
  <c r="I256" i="56"/>
  <c r="H256" i="56"/>
  <c r="G256" i="56"/>
  <c r="C256" i="56"/>
  <c r="N255" i="56"/>
  <c r="M255" i="56"/>
  <c r="L255" i="56"/>
  <c r="I255" i="56"/>
  <c r="H255" i="56"/>
  <c r="G255" i="56"/>
  <c r="C255" i="56"/>
  <c r="N254" i="56"/>
  <c r="M254" i="56"/>
  <c r="L254" i="56"/>
  <c r="I254" i="56"/>
  <c r="H254" i="56"/>
  <c r="G254" i="56"/>
  <c r="C254" i="56"/>
  <c r="N253" i="56"/>
  <c r="M253" i="56"/>
  <c r="L253" i="56"/>
  <c r="I253" i="56"/>
  <c r="H253" i="56"/>
  <c r="G253" i="56"/>
  <c r="C253" i="56"/>
  <c r="N252" i="56"/>
  <c r="M252" i="56"/>
  <c r="L252" i="56"/>
  <c r="I252" i="56"/>
  <c r="H252" i="56"/>
  <c r="G252" i="56"/>
  <c r="C252" i="56"/>
  <c r="N251" i="56"/>
  <c r="M251" i="56"/>
  <c r="L251" i="56"/>
  <c r="I251" i="56"/>
  <c r="H251" i="56"/>
  <c r="G251" i="56"/>
  <c r="C251" i="56"/>
  <c r="N250" i="56"/>
  <c r="M250" i="56"/>
  <c r="L250" i="56"/>
  <c r="I250" i="56"/>
  <c r="H250" i="56"/>
  <c r="G250" i="56"/>
  <c r="C250" i="56"/>
  <c r="N249" i="56"/>
  <c r="M249" i="56"/>
  <c r="L249" i="56"/>
  <c r="I249" i="56"/>
  <c r="H249" i="56"/>
  <c r="G249" i="56"/>
  <c r="C249" i="56"/>
  <c r="N248" i="56"/>
  <c r="M248" i="56"/>
  <c r="L248" i="56"/>
  <c r="I248" i="56"/>
  <c r="H248" i="56"/>
  <c r="G248" i="56"/>
  <c r="C248" i="56"/>
  <c r="N247" i="56"/>
  <c r="M247" i="56"/>
  <c r="L247" i="56"/>
  <c r="I247" i="56"/>
  <c r="H247" i="56"/>
  <c r="G247" i="56"/>
  <c r="C247" i="56"/>
  <c r="N246" i="56"/>
  <c r="M246" i="56"/>
  <c r="L246" i="56"/>
  <c r="I246" i="56"/>
  <c r="H246" i="56"/>
  <c r="G246" i="56"/>
  <c r="C246" i="56"/>
  <c r="N245" i="56"/>
  <c r="M245" i="56"/>
  <c r="L245" i="56"/>
  <c r="I245" i="56"/>
  <c r="H245" i="56"/>
  <c r="G245" i="56"/>
  <c r="C245" i="56"/>
  <c r="N244" i="56"/>
  <c r="M244" i="56"/>
  <c r="L244" i="56"/>
  <c r="I244" i="56"/>
  <c r="H244" i="56"/>
  <c r="G244" i="56"/>
  <c r="C244" i="56"/>
  <c r="N243" i="56"/>
  <c r="M243" i="56"/>
  <c r="L243" i="56"/>
  <c r="I243" i="56"/>
  <c r="H243" i="56"/>
  <c r="G243" i="56"/>
  <c r="C243" i="56"/>
  <c r="N242" i="56"/>
  <c r="M242" i="56"/>
  <c r="L242" i="56"/>
  <c r="I242" i="56"/>
  <c r="H242" i="56"/>
  <c r="G242" i="56"/>
  <c r="C242" i="56"/>
  <c r="N241" i="56"/>
  <c r="M241" i="56"/>
  <c r="L241" i="56"/>
  <c r="I241" i="56"/>
  <c r="H241" i="56"/>
  <c r="G241" i="56"/>
  <c r="C241" i="56"/>
  <c r="N240" i="56"/>
  <c r="M240" i="56"/>
  <c r="L240" i="56"/>
  <c r="I240" i="56"/>
  <c r="H240" i="56"/>
  <c r="G240" i="56"/>
  <c r="C240" i="56"/>
  <c r="N239" i="56"/>
  <c r="M239" i="56"/>
  <c r="L239" i="56"/>
  <c r="I239" i="56"/>
  <c r="H239" i="56"/>
  <c r="G239" i="56"/>
  <c r="C239" i="56"/>
  <c r="N238" i="56"/>
  <c r="M238" i="56"/>
  <c r="L238" i="56"/>
  <c r="I238" i="56"/>
  <c r="H238" i="56"/>
  <c r="G238" i="56"/>
  <c r="C238" i="56"/>
  <c r="N237" i="56"/>
  <c r="M237" i="56"/>
  <c r="L237" i="56"/>
  <c r="I237" i="56"/>
  <c r="H237" i="56"/>
  <c r="G237" i="56"/>
  <c r="C237" i="56"/>
  <c r="N236" i="56"/>
  <c r="M236" i="56"/>
  <c r="L236" i="56"/>
  <c r="I236" i="56"/>
  <c r="H236" i="56"/>
  <c r="G236" i="56"/>
  <c r="C236" i="56"/>
  <c r="N235" i="56"/>
  <c r="M235" i="56"/>
  <c r="L235" i="56"/>
  <c r="I235" i="56"/>
  <c r="H235" i="56"/>
  <c r="G235" i="56"/>
  <c r="C235" i="56"/>
  <c r="N234" i="56"/>
  <c r="M234" i="56"/>
  <c r="L234" i="56"/>
  <c r="I234" i="56"/>
  <c r="H234" i="56"/>
  <c r="G234" i="56"/>
  <c r="C234" i="56"/>
  <c r="N233" i="56"/>
  <c r="M233" i="56"/>
  <c r="L233" i="56"/>
  <c r="I233" i="56"/>
  <c r="H233" i="56"/>
  <c r="G233" i="56"/>
  <c r="C233" i="56"/>
  <c r="N232" i="56"/>
  <c r="M232" i="56"/>
  <c r="L232" i="56"/>
  <c r="I232" i="56"/>
  <c r="H232" i="56"/>
  <c r="G232" i="56"/>
  <c r="C232" i="56"/>
  <c r="N231" i="56"/>
  <c r="M231" i="56"/>
  <c r="L231" i="56"/>
  <c r="I231" i="56"/>
  <c r="H231" i="56"/>
  <c r="G231" i="56"/>
  <c r="C231" i="56"/>
  <c r="N230" i="56"/>
  <c r="M230" i="56"/>
  <c r="L230" i="56"/>
  <c r="I230" i="56"/>
  <c r="H230" i="56"/>
  <c r="G230" i="56"/>
  <c r="C230" i="56"/>
  <c r="N229" i="56"/>
  <c r="M229" i="56"/>
  <c r="L229" i="56"/>
  <c r="I229" i="56"/>
  <c r="H229" i="56"/>
  <c r="G229" i="56"/>
  <c r="C229" i="56"/>
  <c r="N228" i="56"/>
  <c r="M228" i="56"/>
  <c r="L228" i="56"/>
  <c r="I228" i="56"/>
  <c r="H228" i="56"/>
  <c r="G228" i="56"/>
  <c r="C228" i="56"/>
  <c r="N227" i="56"/>
  <c r="M227" i="56"/>
  <c r="L227" i="56"/>
  <c r="I227" i="56"/>
  <c r="H227" i="56"/>
  <c r="G227" i="56"/>
  <c r="C227" i="56"/>
  <c r="N226" i="56"/>
  <c r="M226" i="56"/>
  <c r="L226" i="56"/>
  <c r="I226" i="56"/>
  <c r="H226" i="56"/>
  <c r="G226" i="56"/>
  <c r="C226" i="56"/>
  <c r="N225" i="56"/>
  <c r="M225" i="56"/>
  <c r="L225" i="56"/>
  <c r="I225" i="56"/>
  <c r="H225" i="56"/>
  <c r="G225" i="56"/>
  <c r="C225" i="56"/>
  <c r="N224" i="56"/>
  <c r="M224" i="56"/>
  <c r="L224" i="56"/>
  <c r="I224" i="56"/>
  <c r="H224" i="56"/>
  <c r="G224" i="56"/>
  <c r="C224" i="56"/>
  <c r="N223" i="56"/>
  <c r="M223" i="56"/>
  <c r="L223" i="56"/>
  <c r="I223" i="56"/>
  <c r="H223" i="56"/>
  <c r="G223" i="56"/>
  <c r="C223" i="56"/>
  <c r="N222" i="56"/>
  <c r="M222" i="56"/>
  <c r="L222" i="56"/>
  <c r="I222" i="56"/>
  <c r="H222" i="56"/>
  <c r="G222" i="56"/>
  <c r="C222" i="56"/>
  <c r="N221" i="56"/>
  <c r="M221" i="56"/>
  <c r="L221" i="56"/>
  <c r="I221" i="56"/>
  <c r="H221" i="56"/>
  <c r="G221" i="56"/>
  <c r="C221" i="56"/>
  <c r="N220" i="56"/>
  <c r="M220" i="56"/>
  <c r="L220" i="56"/>
  <c r="I220" i="56"/>
  <c r="H220" i="56"/>
  <c r="G220" i="56"/>
  <c r="C220" i="56"/>
  <c r="N219" i="56"/>
  <c r="M219" i="56"/>
  <c r="L219" i="56"/>
  <c r="I219" i="56"/>
  <c r="H219" i="56"/>
  <c r="G219" i="56"/>
  <c r="C219" i="56"/>
  <c r="N218" i="56"/>
  <c r="M218" i="56"/>
  <c r="L218" i="56"/>
  <c r="I218" i="56"/>
  <c r="H218" i="56"/>
  <c r="G218" i="56"/>
  <c r="C218" i="56"/>
  <c r="N217" i="56"/>
  <c r="M217" i="56"/>
  <c r="L217" i="56"/>
  <c r="I217" i="56"/>
  <c r="H217" i="56"/>
  <c r="G217" i="56"/>
  <c r="C217" i="56"/>
  <c r="N216" i="56"/>
  <c r="M216" i="56"/>
  <c r="L216" i="56"/>
  <c r="I216" i="56"/>
  <c r="H216" i="56"/>
  <c r="G216" i="56"/>
  <c r="C216" i="56"/>
  <c r="N215" i="56"/>
  <c r="M215" i="56"/>
  <c r="L215" i="56"/>
  <c r="I215" i="56"/>
  <c r="H215" i="56"/>
  <c r="G215" i="56"/>
  <c r="C215" i="56"/>
  <c r="N214" i="56"/>
  <c r="M214" i="56"/>
  <c r="L214" i="56"/>
  <c r="I214" i="56"/>
  <c r="H214" i="56"/>
  <c r="G214" i="56"/>
  <c r="C214" i="56"/>
  <c r="N213" i="56"/>
  <c r="M213" i="56"/>
  <c r="L213" i="56"/>
  <c r="I213" i="56"/>
  <c r="H213" i="56"/>
  <c r="G213" i="56"/>
  <c r="C213" i="56"/>
  <c r="N212" i="56"/>
  <c r="M212" i="56"/>
  <c r="L212" i="56"/>
  <c r="I212" i="56"/>
  <c r="H212" i="56"/>
  <c r="G212" i="56"/>
  <c r="C212" i="56"/>
  <c r="N211" i="56"/>
  <c r="M211" i="56"/>
  <c r="L211" i="56"/>
  <c r="I211" i="56"/>
  <c r="H211" i="56"/>
  <c r="G211" i="56"/>
  <c r="C211" i="56"/>
  <c r="N210" i="56"/>
  <c r="M210" i="56"/>
  <c r="L210" i="56"/>
  <c r="I210" i="56"/>
  <c r="H210" i="56"/>
  <c r="G210" i="56"/>
  <c r="C210" i="56"/>
  <c r="N209" i="56"/>
  <c r="M209" i="56"/>
  <c r="L209" i="56"/>
  <c r="I209" i="56"/>
  <c r="H209" i="56"/>
  <c r="G209" i="56"/>
  <c r="C209" i="56"/>
  <c r="N208" i="56"/>
  <c r="M208" i="56"/>
  <c r="L208" i="56"/>
  <c r="I208" i="56"/>
  <c r="H208" i="56"/>
  <c r="G208" i="56"/>
  <c r="C208" i="56"/>
  <c r="N207" i="56"/>
  <c r="M207" i="56"/>
  <c r="L207" i="56"/>
  <c r="I207" i="56"/>
  <c r="H207" i="56"/>
  <c r="G207" i="56"/>
  <c r="C207" i="56"/>
  <c r="N206" i="56"/>
  <c r="M206" i="56"/>
  <c r="L206" i="56"/>
  <c r="I206" i="56"/>
  <c r="H206" i="56"/>
  <c r="G206" i="56"/>
  <c r="C206" i="56"/>
  <c r="N205" i="56"/>
  <c r="M205" i="56"/>
  <c r="L205" i="56"/>
  <c r="I205" i="56"/>
  <c r="H205" i="56"/>
  <c r="G205" i="56"/>
  <c r="C205" i="56"/>
  <c r="N204" i="56"/>
  <c r="M204" i="56"/>
  <c r="L204" i="56"/>
  <c r="I204" i="56"/>
  <c r="H204" i="56"/>
  <c r="G204" i="56"/>
  <c r="C204" i="56"/>
  <c r="N203" i="56"/>
  <c r="M203" i="56"/>
  <c r="L203" i="56"/>
  <c r="I203" i="56"/>
  <c r="H203" i="56"/>
  <c r="G203" i="56"/>
  <c r="C203" i="56"/>
  <c r="N202" i="56"/>
  <c r="M202" i="56"/>
  <c r="L202" i="56"/>
  <c r="I202" i="56"/>
  <c r="H202" i="56"/>
  <c r="G202" i="56"/>
  <c r="C202" i="56"/>
  <c r="N201" i="56"/>
  <c r="M201" i="56"/>
  <c r="L201" i="56"/>
  <c r="I201" i="56"/>
  <c r="H201" i="56"/>
  <c r="G201" i="56"/>
  <c r="C201" i="56"/>
  <c r="N200" i="56"/>
  <c r="M200" i="56"/>
  <c r="L200" i="56"/>
  <c r="I200" i="56"/>
  <c r="H200" i="56"/>
  <c r="G200" i="56"/>
  <c r="C200" i="56"/>
  <c r="N199" i="56"/>
  <c r="M199" i="56"/>
  <c r="L199" i="56"/>
  <c r="I199" i="56"/>
  <c r="H199" i="56"/>
  <c r="G199" i="56"/>
  <c r="C199" i="56"/>
  <c r="N198" i="56"/>
  <c r="M198" i="56"/>
  <c r="L198" i="56"/>
  <c r="I198" i="56"/>
  <c r="H198" i="56"/>
  <c r="G198" i="56"/>
  <c r="C198" i="56"/>
  <c r="N197" i="56"/>
  <c r="M197" i="56"/>
  <c r="L197" i="56"/>
  <c r="I197" i="56"/>
  <c r="H197" i="56"/>
  <c r="G197" i="56"/>
  <c r="C197" i="56"/>
  <c r="N196" i="56"/>
  <c r="M196" i="56"/>
  <c r="L196" i="56"/>
  <c r="I196" i="56"/>
  <c r="H196" i="56"/>
  <c r="G196" i="56"/>
  <c r="C196" i="56"/>
  <c r="N195" i="56"/>
  <c r="M195" i="56"/>
  <c r="L195" i="56"/>
  <c r="I195" i="56"/>
  <c r="H195" i="56"/>
  <c r="G195" i="56"/>
  <c r="C195" i="56"/>
  <c r="N194" i="56"/>
  <c r="M194" i="56"/>
  <c r="L194" i="56"/>
  <c r="I194" i="56"/>
  <c r="H194" i="56"/>
  <c r="G194" i="56"/>
  <c r="C194" i="56"/>
  <c r="N193" i="56"/>
  <c r="M193" i="56"/>
  <c r="L193" i="56"/>
  <c r="I193" i="56"/>
  <c r="H193" i="56"/>
  <c r="G193" i="56"/>
  <c r="C193" i="56"/>
  <c r="N192" i="56"/>
  <c r="M192" i="56"/>
  <c r="L192" i="56"/>
  <c r="I192" i="56"/>
  <c r="H192" i="56"/>
  <c r="G192" i="56"/>
  <c r="C192" i="56"/>
  <c r="N191" i="56"/>
  <c r="M191" i="56"/>
  <c r="L191" i="56"/>
  <c r="I191" i="56"/>
  <c r="H191" i="56"/>
  <c r="G191" i="56"/>
  <c r="C191" i="56"/>
  <c r="N190" i="56"/>
  <c r="M190" i="56"/>
  <c r="L190" i="56"/>
  <c r="I190" i="56"/>
  <c r="H190" i="56"/>
  <c r="G190" i="56"/>
  <c r="C190" i="56"/>
  <c r="N189" i="56"/>
  <c r="M189" i="56"/>
  <c r="L189" i="56"/>
  <c r="I189" i="56"/>
  <c r="H189" i="56"/>
  <c r="G189" i="56"/>
  <c r="C189" i="56"/>
  <c r="N188" i="56"/>
  <c r="M188" i="56"/>
  <c r="L188" i="56"/>
  <c r="I188" i="56"/>
  <c r="H188" i="56"/>
  <c r="G188" i="56"/>
  <c r="C188" i="56"/>
  <c r="N187" i="56"/>
  <c r="M187" i="56"/>
  <c r="L187" i="56"/>
  <c r="I187" i="56"/>
  <c r="H187" i="56"/>
  <c r="G187" i="56"/>
  <c r="C187" i="56"/>
  <c r="N186" i="56"/>
  <c r="M186" i="56"/>
  <c r="L186" i="56"/>
  <c r="I186" i="56"/>
  <c r="H186" i="56"/>
  <c r="G186" i="56"/>
  <c r="C186" i="56"/>
  <c r="N185" i="56"/>
  <c r="M185" i="56"/>
  <c r="L185" i="56"/>
  <c r="I185" i="56"/>
  <c r="H185" i="56"/>
  <c r="G185" i="56"/>
  <c r="C185" i="56"/>
  <c r="N184" i="56"/>
  <c r="M184" i="56"/>
  <c r="L184" i="56"/>
  <c r="I184" i="56"/>
  <c r="H184" i="56"/>
  <c r="G184" i="56"/>
  <c r="C184" i="56"/>
  <c r="N183" i="56"/>
  <c r="M183" i="56"/>
  <c r="L183" i="56"/>
  <c r="I183" i="56"/>
  <c r="H183" i="56"/>
  <c r="G183" i="56"/>
  <c r="C183" i="56"/>
  <c r="N182" i="56"/>
  <c r="M182" i="56"/>
  <c r="L182" i="56"/>
  <c r="I182" i="56"/>
  <c r="H182" i="56"/>
  <c r="G182" i="56"/>
  <c r="C182" i="56"/>
  <c r="N181" i="56"/>
  <c r="M181" i="56"/>
  <c r="L181" i="56"/>
  <c r="I181" i="56"/>
  <c r="H181" i="56"/>
  <c r="G181" i="56"/>
  <c r="C181" i="56"/>
  <c r="N180" i="56"/>
  <c r="M180" i="56"/>
  <c r="L180" i="56"/>
  <c r="I180" i="56"/>
  <c r="H180" i="56"/>
  <c r="G180" i="56"/>
  <c r="C180" i="56"/>
  <c r="N179" i="56"/>
  <c r="M179" i="56"/>
  <c r="L179" i="56"/>
  <c r="I179" i="56"/>
  <c r="H179" i="56"/>
  <c r="G179" i="56"/>
  <c r="C179" i="56"/>
  <c r="N178" i="56"/>
  <c r="M178" i="56"/>
  <c r="L178" i="56"/>
  <c r="I178" i="56"/>
  <c r="H178" i="56"/>
  <c r="G178" i="56"/>
  <c r="C178" i="56"/>
  <c r="N177" i="56"/>
  <c r="M177" i="56"/>
  <c r="L177" i="56"/>
  <c r="I177" i="56"/>
  <c r="H177" i="56"/>
  <c r="G177" i="56"/>
  <c r="C177" i="56"/>
  <c r="N176" i="56"/>
  <c r="M176" i="56"/>
  <c r="L176" i="56"/>
  <c r="I176" i="56"/>
  <c r="H176" i="56"/>
  <c r="G176" i="56"/>
  <c r="C176" i="56"/>
  <c r="N175" i="56"/>
  <c r="M175" i="56"/>
  <c r="L175" i="56"/>
  <c r="I175" i="56"/>
  <c r="H175" i="56"/>
  <c r="G175" i="56"/>
  <c r="C175" i="56"/>
  <c r="N174" i="56"/>
  <c r="M174" i="56"/>
  <c r="L174" i="56"/>
  <c r="I174" i="56"/>
  <c r="H174" i="56"/>
  <c r="G174" i="56"/>
  <c r="C174" i="56"/>
  <c r="N173" i="56"/>
  <c r="M173" i="56"/>
  <c r="L173" i="56"/>
  <c r="I173" i="56"/>
  <c r="H173" i="56"/>
  <c r="G173" i="56"/>
  <c r="C173" i="56"/>
  <c r="N172" i="56"/>
  <c r="M172" i="56"/>
  <c r="L172" i="56"/>
  <c r="I172" i="56"/>
  <c r="H172" i="56"/>
  <c r="G172" i="56"/>
  <c r="C172" i="56"/>
  <c r="N171" i="56"/>
  <c r="M171" i="56"/>
  <c r="L171" i="56"/>
  <c r="I171" i="56"/>
  <c r="H171" i="56"/>
  <c r="G171" i="56"/>
  <c r="C171" i="56"/>
  <c r="N170" i="56"/>
  <c r="M170" i="56"/>
  <c r="L170" i="56"/>
  <c r="I170" i="56"/>
  <c r="H170" i="56"/>
  <c r="G170" i="56"/>
  <c r="C170" i="56"/>
  <c r="N169" i="56"/>
  <c r="M169" i="56"/>
  <c r="L169" i="56"/>
  <c r="I169" i="56"/>
  <c r="H169" i="56"/>
  <c r="G169" i="56"/>
  <c r="C169" i="56"/>
  <c r="N168" i="56"/>
  <c r="M168" i="56"/>
  <c r="L168" i="56"/>
  <c r="I168" i="56"/>
  <c r="H168" i="56"/>
  <c r="G168" i="56"/>
  <c r="C168" i="56"/>
  <c r="N167" i="56"/>
  <c r="M167" i="56"/>
  <c r="L167" i="56"/>
  <c r="I167" i="56"/>
  <c r="H167" i="56"/>
  <c r="G167" i="56"/>
  <c r="C167" i="56"/>
  <c r="N166" i="56"/>
  <c r="M166" i="56"/>
  <c r="L166" i="56"/>
  <c r="I166" i="56"/>
  <c r="H166" i="56"/>
  <c r="G166" i="56"/>
  <c r="C166" i="56"/>
  <c r="N165" i="56"/>
  <c r="M165" i="56"/>
  <c r="L165" i="56"/>
  <c r="I165" i="56"/>
  <c r="H165" i="56"/>
  <c r="G165" i="56"/>
  <c r="C165" i="56"/>
  <c r="N164" i="56"/>
  <c r="M164" i="56"/>
  <c r="L164" i="56"/>
  <c r="I164" i="56"/>
  <c r="H164" i="56"/>
  <c r="G164" i="56"/>
  <c r="C164" i="56"/>
  <c r="N163" i="56"/>
  <c r="M163" i="56"/>
  <c r="L163" i="56"/>
  <c r="I163" i="56"/>
  <c r="H163" i="56"/>
  <c r="G163" i="56"/>
  <c r="C163" i="56"/>
  <c r="N162" i="56"/>
  <c r="M162" i="56"/>
  <c r="L162" i="56"/>
  <c r="I162" i="56"/>
  <c r="H162" i="56"/>
  <c r="G162" i="56"/>
  <c r="C162" i="56"/>
  <c r="N161" i="56"/>
  <c r="M161" i="56"/>
  <c r="L161" i="56"/>
  <c r="I161" i="56"/>
  <c r="H161" i="56"/>
  <c r="G161" i="56"/>
  <c r="C161" i="56"/>
  <c r="N160" i="56"/>
  <c r="M160" i="56"/>
  <c r="L160" i="56"/>
  <c r="I160" i="56"/>
  <c r="H160" i="56"/>
  <c r="G160" i="56"/>
  <c r="C160" i="56"/>
  <c r="N159" i="56"/>
  <c r="M159" i="56"/>
  <c r="L159" i="56"/>
  <c r="I159" i="56"/>
  <c r="H159" i="56"/>
  <c r="G159" i="56"/>
  <c r="C159" i="56"/>
  <c r="N158" i="56"/>
  <c r="M158" i="56"/>
  <c r="L158" i="56"/>
  <c r="I158" i="56"/>
  <c r="H158" i="56"/>
  <c r="G158" i="56"/>
  <c r="C158" i="56"/>
  <c r="N157" i="56"/>
  <c r="M157" i="56"/>
  <c r="L157" i="56"/>
  <c r="I157" i="56"/>
  <c r="H157" i="56"/>
  <c r="G157" i="56"/>
  <c r="C157" i="56"/>
  <c r="N156" i="56"/>
  <c r="M156" i="56"/>
  <c r="L156" i="56"/>
  <c r="I156" i="56"/>
  <c r="H156" i="56"/>
  <c r="G156" i="56"/>
  <c r="C156" i="56"/>
  <c r="N155" i="56"/>
  <c r="M155" i="56"/>
  <c r="L155" i="56"/>
  <c r="I155" i="56"/>
  <c r="H155" i="56"/>
  <c r="G155" i="56"/>
  <c r="C155" i="56"/>
  <c r="N154" i="56"/>
  <c r="M154" i="56"/>
  <c r="L154" i="56"/>
  <c r="I154" i="56"/>
  <c r="H154" i="56"/>
  <c r="G154" i="56"/>
  <c r="C154" i="56"/>
  <c r="N153" i="56"/>
  <c r="M153" i="56"/>
  <c r="L153" i="56"/>
  <c r="I153" i="56"/>
  <c r="H153" i="56"/>
  <c r="G153" i="56"/>
  <c r="C153" i="56"/>
  <c r="N152" i="56"/>
  <c r="M152" i="56"/>
  <c r="L152" i="56"/>
  <c r="I152" i="56"/>
  <c r="H152" i="56"/>
  <c r="G152" i="56"/>
  <c r="C152" i="56"/>
  <c r="N151" i="56"/>
  <c r="M151" i="56"/>
  <c r="L151" i="56"/>
  <c r="I151" i="56"/>
  <c r="H151" i="56"/>
  <c r="G151" i="56"/>
  <c r="C151" i="56"/>
  <c r="N150" i="56"/>
  <c r="M150" i="56"/>
  <c r="L150" i="56"/>
  <c r="I150" i="56"/>
  <c r="H150" i="56"/>
  <c r="G150" i="56"/>
  <c r="C150" i="56"/>
  <c r="N149" i="56"/>
  <c r="M149" i="56"/>
  <c r="L149" i="56"/>
  <c r="I149" i="56"/>
  <c r="H149" i="56"/>
  <c r="G149" i="56"/>
  <c r="C149" i="56"/>
  <c r="N148" i="56"/>
  <c r="M148" i="56"/>
  <c r="L148" i="56"/>
  <c r="I148" i="56"/>
  <c r="H148" i="56"/>
  <c r="G148" i="56"/>
  <c r="C148" i="56"/>
  <c r="N147" i="56"/>
  <c r="M147" i="56"/>
  <c r="L147" i="56"/>
  <c r="I147" i="56"/>
  <c r="H147" i="56"/>
  <c r="G147" i="56"/>
  <c r="C147" i="56"/>
  <c r="N146" i="56"/>
  <c r="M146" i="56"/>
  <c r="L146" i="56"/>
  <c r="I146" i="56"/>
  <c r="H146" i="56"/>
  <c r="G146" i="56"/>
  <c r="C146" i="56"/>
  <c r="N145" i="56"/>
  <c r="M145" i="56"/>
  <c r="L145" i="56"/>
  <c r="I145" i="56"/>
  <c r="H145" i="56"/>
  <c r="G145" i="56"/>
  <c r="C145" i="56"/>
  <c r="N144" i="56"/>
  <c r="M144" i="56"/>
  <c r="L144" i="56"/>
  <c r="I144" i="56"/>
  <c r="H144" i="56"/>
  <c r="G144" i="56"/>
  <c r="C144" i="56"/>
  <c r="N143" i="56"/>
  <c r="M143" i="56"/>
  <c r="L143" i="56"/>
  <c r="I143" i="56"/>
  <c r="H143" i="56"/>
  <c r="G143" i="56"/>
  <c r="C143" i="56"/>
  <c r="N142" i="56"/>
  <c r="M142" i="56"/>
  <c r="L142" i="56"/>
  <c r="I142" i="56"/>
  <c r="H142" i="56"/>
  <c r="G142" i="56"/>
  <c r="C142" i="56"/>
  <c r="N141" i="56"/>
  <c r="M141" i="56"/>
  <c r="L141" i="56"/>
  <c r="I141" i="56"/>
  <c r="H141" i="56"/>
  <c r="G141" i="56"/>
  <c r="C141" i="56"/>
  <c r="N140" i="56"/>
  <c r="M140" i="56"/>
  <c r="L140" i="56"/>
  <c r="I140" i="56"/>
  <c r="H140" i="56"/>
  <c r="G140" i="56"/>
  <c r="C140" i="56"/>
  <c r="N139" i="56"/>
  <c r="M139" i="56"/>
  <c r="L139" i="56"/>
  <c r="I139" i="56"/>
  <c r="H139" i="56"/>
  <c r="G139" i="56"/>
  <c r="C139" i="56"/>
  <c r="N138" i="56"/>
  <c r="M138" i="56"/>
  <c r="L138" i="56"/>
  <c r="I138" i="56"/>
  <c r="H138" i="56"/>
  <c r="G138" i="56"/>
  <c r="C138" i="56"/>
  <c r="N137" i="56"/>
  <c r="M137" i="56"/>
  <c r="L137" i="56"/>
  <c r="I137" i="56"/>
  <c r="H137" i="56"/>
  <c r="G137" i="56"/>
  <c r="C137" i="56"/>
  <c r="N136" i="56"/>
  <c r="M136" i="56"/>
  <c r="L136" i="56"/>
  <c r="I136" i="56"/>
  <c r="H136" i="56"/>
  <c r="G136" i="56"/>
  <c r="C136" i="56"/>
  <c r="N135" i="56"/>
  <c r="M135" i="56"/>
  <c r="L135" i="56"/>
  <c r="I135" i="56"/>
  <c r="H135" i="56"/>
  <c r="G135" i="56"/>
  <c r="C135" i="56"/>
  <c r="N134" i="56"/>
  <c r="M134" i="56"/>
  <c r="L134" i="56"/>
  <c r="I134" i="56"/>
  <c r="H134" i="56"/>
  <c r="G134" i="56"/>
  <c r="C134" i="56"/>
  <c r="N133" i="56"/>
  <c r="M133" i="56"/>
  <c r="L133" i="56"/>
  <c r="I133" i="56"/>
  <c r="H133" i="56"/>
  <c r="G133" i="56"/>
  <c r="C133" i="56"/>
  <c r="N132" i="56"/>
  <c r="M132" i="56"/>
  <c r="L132" i="56"/>
  <c r="I132" i="56"/>
  <c r="H132" i="56"/>
  <c r="G132" i="56"/>
  <c r="C132" i="56"/>
  <c r="N131" i="56"/>
  <c r="M131" i="56"/>
  <c r="L131" i="56"/>
  <c r="I131" i="56"/>
  <c r="H131" i="56"/>
  <c r="G131" i="56"/>
  <c r="C131" i="56"/>
  <c r="N130" i="56"/>
  <c r="M130" i="56"/>
  <c r="L130" i="56"/>
  <c r="I130" i="56"/>
  <c r="H130" i="56"/>
  <c r="G130" i="56"/>
  <c r="C130" i="56"/>
  <c r="N129" i="56"/>
  <c r="M129" i="56"/>
  <c r="L129" i="56"/>
  <c r="I129" i="56"/>
  <c r="H129" i="56"/>
  <c r="G129" i="56"/>
  <c r="C129" i="56"/>
  <c r="N128" i="56"/>
  <c r="M128" i="56"/>
  <c r="L128" i="56"/>
  <c r="I128" i="56"/>
  <c r="H128" i="56"/>
  <c r="G128" i="56"/>
  <c r="C128" i="56"/>
  <c r="N127" i="56"/>
  <c r="M127" i="56"/>
  <c r="L127" i="56"/>
  <c r="I127" i="56"/>
  <c r="H127" i="56"/>
  <c r="G127" i="56"/>
  <c r="C127" i="56"/>
  <c r="N126" i="56"/>
  <c r="M126" i="56"/>
  <c r="L126" i="56"/>
  <c r="I126" i="56"/>
  <c r="H126" i="56"/>
  <c r="G126" i="56"/>
  <c r="C126" i="56"/>
  <c r="N125" i="56"/>
  <c r="M125" i="56"/>
  <c r="L125" i="56"/>
  <c r="I125" i="56"/>
  <c r="H125" i="56"/>
  <c r="G125" i="56"/>
  <c r="C125" i="56"/>
  <c r="N124" i="56"/>
  <c r="M124" i="56"/>
  <c r="L124" i="56"/>
  <c r="I124" i="56"/>
  <c r="H124" i="56"/>
  <c r="G124" i="56"/>
  <c r="C124" i="56"/>
  <c r="N123" i="56"/>
  <c r="M123" i="56"/>
  <c r="L123" i="56"/>
  <c r="I123" i="56"/>
  <c r="H123" i="56"/>
  <c r="G123" i="56"/>
  <c r="C123" i="56"/>
  <c r="N122" i="56"/>
  <c r="M122" i="56"/>
  <c r="L122" i="56"/>
  <c r="I122" i="56"/>
  <c r="H122" i="56"/>
  <c r="G122" i="56"/>
  <c r="C122" i="56"/>
  <c r="N121" i="56"/>
  <c r="M121" i="56"/>
  <c r="L121" i="56"/>
  <c r="I121" i="56"/>
  <c r="H121" i="56"/>
  <c r="G121" i="56"/>
  <c r="C121" i="56"/>
  <c r="N120" i="56"/>
  <c r="M120" i="56"/>
  <c r="L120" i="56"/>
  <c r="I120" i="56"/>
  <c r="H120" i="56"/>
  <c r="G120" i="56"/>
  <c r="C120" i="56"/>
  <c r="N119" i="56"/>
  <c r="M119" i="56"/>
  <c r="L119" i="56"/>
  <c r="I119" i="56"/>
  <c r="H119" i="56"/>
  <c r="G119" i="56"/>
  <c r="C119" i="56"/>
  <c r="N118" i="56"/>
  <c r="M118" i="56"/>
  <c r="L118" i="56"/>
  <c r="I118" i="56"/>
  <c r="H118" i="56"/>
  <c r="G118" i="56"/>
  <c r="C118" i="56"/>
  <c r="N117" i="56"/>
  <c r="M117" i="56"/>
  <c r="L117" i="56"/>
  <c r="I117" i="56"/>
  <c r="H117" i="56"/>
  <c r="G117" i="56"/>
  <c r="C117" i="56"/>
  <c r="N116" i="56"/>
  <c r="M116" i="56"/>
  <c r="L116" i="56"/>
  <c r="I116" i="56"/>
  <c r="H116" i="56"/>
  <c r="G116" i="56"/>
  <c r="C116" i="56"/>
  <c r="N115" i="56"/>
  <c r="M115" i="56"/>
  <c r="L115" i="56"/>
  <c r="I115" i="56"/>
  <c r="H115" i="56"/>
  <c r="G115" i="56"/>
  <c r="C115" i="56"/>
  <c r="N114" i="56"/>
  <c r="M114" i="56"/>
  <c r="L114" i="56"/>
  <c r="I114" i="56"/>
  <c r="H114" i="56"/>
  <c r="G114" i="56"/>
  <c r="C114" i="56"/>
  <c r="N113" i="56"/>
  <c r="M113" i="56"/>
  <c r="L113" i="56"/>
  <c r="I113" i="56"/>
  <c r="H113" i="56"/>
  <c r="G113" i="56"/>
  <c r="C113" i="56"/>
  <c r="N112" i="56"/>
  <c r="M112" i="56"/>
  <c r="L112" i="56"/>
  <c r="I112" i="56"/>
  <c r="H112" i="56"/>
  <c r="G112" i="56"/>
  <c r="C112" i="56"/>
  <c r="N111" i="56"/>
  <c r="M111" i="56"/>
  <c r="L111" i="56"/>
  <c r="I111" i="56"/>
  <c r="H111" i="56"/>
  <c r="G111" i="56"/>
  <c r="C111" i="56"/>
  <c r="N110" i="56"/>
  <c r="M110" i="56"/>
  <c r="L110" i="56"/>
  <c r="I110" i="56"/>
  <c r="H110" i="56"/>
  <c r="G110" i="56"/>
  <c r="C110" i="56"/>
  <c r="N109" i="56"/>
  <c r="M109" i="56"/>
  <c r="L109" i="56"/>
  <c r="I109" i="56"/>
  <c r="H109" i="56"/>
  <c r="G109" i="56"/>
  <c r="C109" i="56"/>
  <c r="N108" i="56"/>
  <c r="M108" i="56"/>
  <c r="L108" i="56"/>
  <c r="I108" i="56"/>
  <c r="H108" i="56"/>
  <c r="G108" i="56"/>
  <c r="C108" i="56"/>
  <c r="N107" i="56"/>
  <c r="M107" i="56"/>
  <c r="L107" i="56"/>
  <c r="I107" i="56"/>
  <c r="H107" i="56"/>
  <c r="G107" i="56"/>
  <c r="C107" i="56"/>
  <c r="N106" i="56"/>
  <c r="M106" i="56"/>
  <c r="L106" i="56"/>
  <c r="I106" i="56"/>
  <c r="H106" i="56"/>
  <c r="G106" i="56"/>
  <c r="C106" i="56"/>
  <c r="N105" i="56"/>
  <c r="M105" i="56"/>
  <c r="L105" i="56"/>
  <c r="I105" i="56"/>
  <c r="H105" i="56"/>
  <c r="G105" i="56"/>
  <c r="C105" i="56"/>
  <c r="N104" i="56"/>
  <c r="M104" i="56"/>
  <c r="L104" i="56"/>
  <c r="I104" i="56"/>
  <c r="H104" i="56"/>
  <c r="G104" i="56"/>
  <c r="C104" i="56"/>
  <c r="N103" i="56"/>
  <c r="M103" i="56"/>
  <c r="L103" i="56"/>
  <c r="I103" i="56"/>
  <c r="H103" i="56"/>
  <c r="G103" i="56"/>
  <c r="C103" i="56"/>
  <c r="N102" i="56"/>
  <c r="M102" i="56"/>
  <c r="L102" i="56"/>
  <c r="I102" i="56"/>
  <c r="H102" i="56"/>
  <c r="G102" i="56"/>
  <c r="C102" i="56"/>
  <c r="N101" i="56"/>
  <c r="M101" i="56"/>
  <c r="L101" i="56"/>
  <c r="I101" i="56"/>
  <c r="H101" i="56"/>
  <c r="G101" i="56"/>
  <c r="C101" i="56"/>
  <c r="N100" i="56"/>
  <c r="M100" i="56"/>
  <c r="L100" i="56"/>
  <c r="I100" i="56"/>
  <c r="H100" i="56"/>
  <c r="G100" i="56"/>
  <c r="C100" i="56"/>
  <c r="N99" i="56"/>
  <c r="M99" i="56"/>
  <c r="L99" i="56"/>
  <c r="I99" i="56"/>
  <c r="H99" i="56"/>
  <c r="G99" i="56"/>
  <c r="C99" i="56"/>
  <c r="N98" i="56"/>
  <c r="M98" i="56"/>
  <c r="L98" i="56"/>
  <c r="I98" i="56"/>
  <c r="H98" i="56"/>
  <c r="G98" i="56"/>
  <c r="C98" i="56"/>
  <c r="N97" i="56"/>
  <c r="M97" i="56"/>
  <c r="L97" i="56"/>
  <c r="I97" i="56"/>
  <c r="H97" i="56"/>
  <c r="G97" i="56"/>
  <c r="C97" i="56"/>
  <c r="N96" i="56"/>
  <c r="M96" i="56"/>
  <c r="L96" i="56"/>
  <c r="I96" i="56"/>
  <c r="H96" i="56"/>
  <c r="G96" i="56"/>
  <c r="C96" i="56"/>
  <c r="N95" i="56"/>
  <c r="M95" i="56"/>
  <c r="L95" i="56"/>
  <c r="I95" i="56"/>
  <c r="H95" i="56"/>
  <c r="G95" i="56"/>
  <c r="C95" i="56"/>
  <c r="N94" i="56"/>
  <c r="M94" i="56"/>
  <c r="L94" i="56"/>
  <c r="I94" i="56"/>
  <c r="H94" i="56"/>
  <c r="G94" i="56"/>
  <c r="C94" i="56"/>
  <c r="N93" i="56"/>
  <c r="M93" i="56"/>
  <c r="L93" i="56"/>
  <c r="I93" i="56"/>
  <c r="H93" i="56"/>
  <c r="G93" i="56"/>
  <c r="C93" i="56"/>
  <c r="N92" i="56"/>
  <c r="M92" i="56"/>
  <c r="L92" i="56"/>
  <c r="I92" i="56"/>
  <c r="H92" i="56"/>
  <c r="G92" i="56"/>
  <c r="C92" i="56"/>
  <c r="N91" i="56"/>
  <c r="M91" i="56"/>
  <c r="L91" i="56"/>
  <c r="I91" i="56"/>
  <c r="H91" i="56"/>
  <c r="G91" i="56"/>
  <c r="C91" i="56"/>
  <c r="N90" i="56"/>
  <c r="M90" i="56"/>
  <c r="L90" i="56"/>
  <c r="I90" i="56"/>
  <c r="H90" i="56"/>
  <c r="G90" i="56"/>
  <c r="C90" i="56"/>
  <c r="N89" i="56"/>
  <c r="M89" i="56"/>
  <c r="L89" i="56"/>
  <c r="I89" i="56"/>
  <c r="H89" i="56"/>
  <c r="G89" i="56"/>
  <c r="C89" i="56"/>
  <c r="N88" i="56"/>
  <c r="M88" i="56"/>
  <c r="L88" i="56"/>
  <c r="I88" i="56"/>
  <c r="H88" i="56"/>
  <c r="G88" i="56"/>
  <c r="C88" i="56"/>
  <c r="N87" i="56"/>
  <c r="M87" i="56"/>
  <c r="L87" i="56"/>
  <c r="I87" i="56"/>
  <c r="H87" i="56"/>
  <c r="G87" i="56"/>
  <c r="C87" i="56"/>
  <c r="N86" i="56"/>
  <c r="M86" i="56"/>
  <c r="L86" i="56"/>
  <c r="I86" i="56"/>
  <c r="H86" i="56"/>
  <c r="G86" i="56"/>
  <c r="C86" i="56"/>
  <c r="N85" i="56"/>
  <c r="M85" i="56"/>
  <c r="L85" i="56"/>
  <c r="I85" i="56"/>
  <c r="H85" i="56"/>
  <c r="G85" i="56"/>
  <c r="C85" i="56"/>
  <c r="N84" i="56"/>
  <c r="M84" i="56"/>
  <c r="L84" i="56"/>
  <c r="I84" i="56"/>
  <c r="H84" i="56"/>
  <c r="G84" i="56"/>
  <c r="C84" i="56"/>
  <c r="N83" i="56"/>
  <c r="M83" i="56"/>
  <c r="L83" i="56"/>
  <c r="I83" i="56"/>
  <c r="H83" i="56"/>
  <c r="G83" i="56"/>
  <c r="C83" i="56"/>
  <c r="N82" i="56"/>
  <c r="M82" i="56"/>
  <c r="L82" i="56"/>
  <c r="I82" i="56"/>
  <c r="H82" i="56"/>
  <c r="G82" i="56"/>
  <c r="C82" i="56"/>
  <c r="N81" i="56"/>
  <c r="M81" i="56"/>
  <c r="L81" i="56"/>
  <c r="I81" i="56"/>
  <c r="H81" i="56"/>
  <c r="G81" i="56"/>
  <c r="C81" i="56"/>
  <c r="N80" i="56"/>
  <c r="M80" i="56"/>
  <c r="L80" i="56"/>
  <c r="I80" i="56"/>
  <c r="H80" i="56"/>
  <c r="G80" i="56"/>
  <c r="C80" i="56"/>
  <c r="N79" i="56"/>
  <c r="M79" i="56"/>
  <c r="L79" i="56"/>
  <c r="I79" i="56"/>
  <c r="H79" i="56"/>
  <c r="G79" i="56"/>
  <c r="C79" i="56"/>
  <c r="N78" i="56"/>
  <c r="M78" i="56"/>
  <c r="L78" i="56"/>
  <c r="I78" i="56"/>
  <c r="H78" i="56"/>
  <c r="G78" i="56"/>
  <c r="C78" i="56"/>
  <c r="N77" i="56"/>
  <c r="M77" i="56"/>
  <c r="L77" i="56"/>
  <c r="I77" i="56"/>
  <c r="H77" i="56"/>
  <c r="G77" i="56"/>
  <c r="C77" i="56"/>
  <c r="N76" i="56"/>
  <c r="M76" i="56"/>
  <c r="L76" i="56"/>
  <c r="I76" i="56"/>
  <c r="H76" i="56"/>
  <c r="G76" i="56"/>
  <c r="C76" i="56"/>
  <c r="N75" i="56"/>
  <c r="M75" i="56"/>
  <c r="L75" i="56"/>
  <c r="I75" i="56"/>
  <c r="H75" i="56"/>
  <c r="G75" i="56"/>
  <c r="C75" i="56"/>
  <c r="N74" i="56"/>
  <c r="M74" i="56"/>
  <c r="L74" i="56"/>
  <c r="I74" i="56"/>
  <c r="H74" i="56"/>
  <c r="G74" i="56"/>
  <c r="C74" i="56"/>
  <c r="N73" i="56"/>
  <c r="M73" i="56"/>
  <c r="L73" i="56"/>
  <c r="I73" i="56"/>
  <c r="H73" i="56"/>
  <c r="G73" i="56"/>
  <c r="C73" i="56"/>
  <c r="N72" i="56"/>
  <c r="M72" i="56"/>
  <c r="L72" i="56"/>
  <c r="I72" i="56"/>
  <c r="H72" i="56"/>
  <c r="G72" i="56"/>
  <c r="C72" i="56"/>
  <c r="N71" i="56"/>
  <c r="M71" i="56"/>
  <c r="L71" i="56"/>
  <c r="I71" i="56"/>
  <c r="H71" i="56"/>
  <c r="G71" i="56"/>
  <c r="C71" i="56"/>
  <c r="N70" i="56"/>
  <c r="M70" i="56"/>
  <c r="L70" i="56"/>
  <c r="I70" i="56"/>
  <c r="H70" i="56"/>
  <c r="G70" i="56"/>
  <c r="C70" i="56"/>
  <c r="N69" i="56"/>
  <c r="M69" i="56"/>
  <c r="L69" i="56"/>
  <c r="I69" i="56"/>
  <c r="H69" i="56"/>
  <c r="G69" i="56"/>
  <c r="C69" i="56"/>
  <c r="N68" i="56"/>
  <c r="M68" i="56"/>
  <c r="L68" i="56"/>
  <c r="I68" i="56"/>
  <c r="H68" i="56"/>
  <c r="G68" i="56"/>
  <c r="C68" i="56"/>
  <c r="N67" i="56"/>
  <c r="M67" i="56"/>
  <c r="L67" i="56"/>
  <c r="I67" i="56"/>
  <c r="H67" i="56"/>
  <c r="G67" i="56"/>
  <c r="C67" i="56"/>
  <c r="N66" i="56"/>
  <c r="M66" i="56"/>
  <c r="L66" i="56"/>
  <c r="I66" i="56"/>
  <c r="H66" i="56"/>
  <c r="G66" i="56"/>
  <c r="C66" i="56"/>
  <c r="N65" i="56"/>
  <c r="M65" i="56"/>
  <c r="L65" i="56"/>
  <c r="I65" i="56"/>
  <c r="H65" i="56"/>
  <c r="G65" i="56"/>
  <c r="C65" i="56"/>
  <c r="N64" i="56"/>
  <c r="M64" i="56"/>
  <c r="L64" i="56"/>
  <c r="I64" i="56"/>
  <c r="H64" i="56"/>
  <c r="G64" i="56"/>
  <c r="C64" i="56"/>
  <c r="N63" i="56"/>
  <c r="M63" i="56"/>
  <c r="L63" i="56"/>
  <c r="I63" i="56"/>
  <c r="H63" i="56"/>
  <c r="G63" i="56"/>
  <c r="C63" i="56"/>
  <c r="N62" i="56"/>
  <c r="M62" i="56"/>
  <c r="L62" i="56"/>
  <c r="I62" i="56"/>
  <c r="H62" i="56"/>
  <c r="G62" i="56"/>
  <c r="C62" i="56"/>
  <c r="N61" i="56"/>
  <c r="M61" i="56"/>
  <c r="L61" i="56"/>
  <c r="I61" i="56"/>
  <c r="H61" i="56"/>
  <c r="G61" i="56"/>
  <c r="C61" i="56"/>
  <c r="N60" i="56"/>
  <c r="M60" i="56"/>
  <c r="L60" i="56"/>
  <c r="I60" i="56"/>
  <c r="H60" i="56"/>
  <c r="G60" i="56"/>
  <c r="C60" i="56"/>
  <c r="N59" i="56"/>
  <c r="M59" i="56"/>
  <c r="L59" i="56"/>
  <c r="I59" i="56"/>
  <c r="H59" i="56"/>
  <c r="G59" i="56"/>
  <c r="C59" i="56"/>
  <c r="N58" i="56"/>
  <c r="M58" i="56"/>
  <c r="L58" i="56"/>
  <c r="I58" i="56"/>
  <c r="H58" i="56"/>
  <c r="G58" i="56"/>
  <c r="C58" i="56"/>
  <c r="N57" i="56"/>
  <c r="M57" i="56"/>
  <c r="L57" i="56"/>
  <c r="I57" i="56"/>
  <c r="H57" i="56"/>
  <c r="G57" i="56"/>
  <c r="C57" i="56"/>
  <c r="N56" i="56"/>
  <c r="M56" i="56"/>
  <c r="L56" i="56"/>
  <c r="I56" i="56"/>
  <c r="H56" i="56"/>
  <c r="G56" i="56"/>
  <c r="C56" i="56"/>
  <c r="N55" i="56"/>
  <c r="M55" i="56"/>
  <c r="L55" i="56"/>
  <c r="I55" i="56"/>
  <c r="H55" i="56"/>
  <c r="G55" i="56"/>
  <c r="C55" i="56"/>
  <c r="N54" i="56"/>
  <c r="M54" i="56"/>
  <c r="L54" i="56"/>
  <c r="I54" i="56"/>
  <c r="H54" i="56"/>
  <c r="G54" i="56"/>
  <c r="C54" i="56"/>
  <c r="N53" i="56"/>
  <c r="M53" i="56"/>
  <c r="L53" i="56"/>
  <c r="I53" i="56"/>
  <c r="H53" i="56"/>
  <c r="G53" i="56"/>
  <c r="C53" i="56"/>
  <c r="N52" i="56"/>
  <c r="M52" i="56"/>
  <c r="L52" i="56"/>
  <c r="I52" i="56"/>
  <c r="H52" i="56"/>
  <c r="G52" i="56"/>
  <c r="C52" i="56"/>
  <c r="N51" i="56"/>
  <c r="M51" i="56"/>
  <c r="L51" i="56"/>
  <c r="I51" i="56"/>
  <c r="H51" i="56"/>
  <c r="G51" i="56"/>
  <c r="C51" i="56"/>
  <c r="N50" i="56"/>
  <c r="M50" i="56"/>
  <c r="L50" i="56"/>
  <c r="I50" i="56"/>
  <c r="H50" i="56"/>
  <c r="G50" i="56"/>
  <c r="C50" i="56"/>
  <c r="N49" i="56"/>
  <c r="M49" i="56"/>
  <c r="L49" i="56"/>
  <c r="I49" i="56"/>
  <c r="H49" i="56"/>
  <c r="G49" i="56"/>
  <c r="C49" i="56"/>
  <c r="N48" i="56"/>
  <c r="M48" i="56"/>
  <c r="L48" i="56"/>
  <c r="I48" i="56"/>
  <c r="H48" i="56"/>
  <c r="G48" i="56"/>
  <c r="C48" i="56"/>
  <c r="N47" i="56"/>
  <c r="M47" i="56"/>
  <c r="L47" i="56"/>
  <c r="I47" i="56"/>
  <c r="H47" i="56"/>
  <c r="G47" i="56"/>
  <c r="C47" i="56"/>
  <c r="N46" i="56"/>
  <c r="M46" i="56"/>
  <c r="L46" i="56"/>
  <c r="I46" i="56"/>
  <c r="H46" i="56"/>
  <c r="G46" i="56"/>
  <c r="C46" i="56"/>
  <c r="N45" i="56"/>
  <c r="M45" i="56"/>
  <c r="L45" i="56"/>
  <c r="I45" i="56"/>
  <c r="H45" i="56"/>
  <c r="G45" i="56"/>
  <c r="C45" i="56"/>
  <c r="N44" i="56"/>
  <c r="M44" i="56"/>
  <c r="L44" i="56"/>
  <c r="I44" i="56"/>
  <c r="H44" i="56"/>
  <c r="G44" i="56"/>
  <c r="C44" i="56"/>
  <c r="N43" i="56"/>
  <c r="M43" i="56"/>
  <c r="L43" i="56"/>
  <c r="I43" i="56"/>
  <c r="H43" i="56"/>
  <c r="G43" i="56"/>
  <c r="C43" i="56"/>
  <c r="N42" i="56"/>
  <c r="M42" i="56"/>
  <c r="L42" i="56"/>
  <c r="I42" i="56"/>
  <c r="H42" i="56"/>
  <c r="G42" i="56"/>
  <c r="C42" i="56"/>
  <c r="N41" i="56"/>
  <c r="M41" i="56"/>
  <c r="L41" i="56"/>
  <c r="I41" i="56"/>
  <c r="H41" i="56"/>
  <c r="G41" i="56"/>
  <c r="C41" i="56"/>
  <c r="N40" i="56"/>
  <c r="M40" i="56"/>
  <c r="L40" i="56"/>
  <c r="I40" i="56"/>
  <c r="H40" i="56"/>
  <c r="G40" i="56"/>
  <c r="C40" i="56"/>
  <c r="N39" i="56"/>
  <c r="M39" i="56"/>
  <c r="L39" i="56"/>
  <c r="I39" i="56"/>
  <c r="H39" i="56"/>
  <c r="G39" i="56"/>
  <c r="C39" i="56"/>
  <c r="N38" i="56"/>
  <c r="M38" i="56"/>
  <c r="L38" i="56"/>
  <c r="I38" i="56"/>
  <c r="H38" i="56"/>
  <c r="G38" i="56"/>
  <c r="C38" i="56"/>
  <c r="N37" i="56"/>
  <c r="M37" i="56"/>
  <c r="L37" i="56"/>
  <c r="I37" i="56"/>
  <c r="H37" i="56"/>
  <c r="G37" i="56"/>
  <c r="C37" i="56"/>
  <c r="N36" i="56"/>
  <c r="M36" i="56"/>
  <c r="L36" i="56"/>
  <c r="I36" i="56"/>
  <c r="H36" i="56"/>
  <c r="G36" i="56"/>
  <c r="C36" i="56"/>
  <c r="N35" i="56"/>
  <c r="M35" i="56"/>
  <c r="L35" i="56"/>
  <c r="I35" i="56"/>
  <c r="H35" i="56"/>
  <c r="G35" i="56"/>
  <c r="C35" i="56"/>
  <c r="N34" i="56"/>
  <c r="M34" i="56"/>
  <c r="L34" i="56"/>
  <c r="I34" i="56"/>
  <c r="H34" i="56"/>
  <c r="G34" i="56"/>
  <c r="C34" i="56"/>
  <c r="N33" i="56"/>
  <c r="M33" i="56"/>
  <c r="L33" i="56"/>
  <c r="I33" i="56"/>
  <c r="H33" i="56"/>
  <c r="G33" i="56"/>
  <c r="C33" i="56"/>
  <c r="N32" i="56"/>
  <c r="M32" i="56"/>
  <c r="L32" i="56"/>
  <c r="I32" i="56"/>
  <c r="H32" i="56"/>
  <c r="G32" i="56"/>
  <c r="C32" i="56"/>
  <c r="N31" i="56"/>
  <c r="M31" i="56"/>
  <c r="L31" i="56"/>
  <c r="I31" i="56"/>
  <c r="H31" i="56"/>
  <c r="G31" i="56"/>
  <c r="C31" i="56"/>
  <c r="N30" i="56"/>
  <c r="M30" i="56"/>
  <c r="L30" i="56"/>
  <c r="I30" i="56"/>
  <c r="H30" i="56"/>
  <c r="G30" i="56"/>
  <c r="C30" i="56"/>
  <c r="N29" i="56"/>
  <c r="M29" i="56"/>
  <c r="L29" i="56"/>
  <c r="I29" i="56"/>
  <c r="H29" i="56"/>
  <c r="G29" i="56"/>
  <c r="C29" i="56"/>
  <c r="N28" i="56"/>
  <c r="M28" i="56"/>
  <c r="L28" i="56"/>
  <c r="I28" i="56"/>
  <c r="H28" i="56"/>
  <c r="G28" i="56"/>
  <c r="C28" i="56"/>
  <c r="N27" i="56"/>
  <c r="M27" i="56"/>
  <c r="L27" i="56"/>
  <c r="I27" i="56"/>
  <c r="H27" i="56"/>
  <c r="G27" i="56"/>
  <c r="C27" i="56"/>
  <c r="N26" i="56"/>
  <c r="M26" i="56"/>
  <c r="L26" i="56"/>
  <c r="I26" i="56"/>
  <c r="H26" i="56"/>
  <c r="G26" i="56"/>
  <c r="C26" i="56"/>
  <c r="N25" i="56"/>
  <c r="M25" i="56"/>
  <c r="L25" i="56"/>
  <c r="I25" i="56"/>
  <c r="H25" i="56"/>
  <c r="G25" i="56"/>
  <c r="C25" i="56"/>
  <c r="N24" i="56"/>
  <c r="M24" i="56"/>
  <c r="L24" i="56"/>
  <c r="I24" i="56"/>
  <c r="H24" i="56"/>
  <c r="G24" i="56"/>
  <c r="C24" i="56"/>
  <c r="N23" i="56"/>
  <c r="M23" i="56"/>
  <c r="L23" i="56"/>
  <c r="I23" i="56"/>
  <c r="H23" i="56"/>
  <c r="G23" i="56"/>
  <c r="C23" i="56"/>
  <c r="N22" i="56"/>
  <c r="M22" i="56"/>
  <c r="L22" i="56"/>
  <c r="I22" i="56"/>
  <c r="H22" i="56"/>
  <c r="G22" i="56"/>
  <c r="C22" i="56"/>
  <c r="N21" i="56"/>
  <c r="M21" i="56"/>
  <c r="L21" i="56"/>
  <c r="I21" i="56"/>
  <c r="H21" i="56"/>
  <c r="G21" i="56"/>
  <c r="C21" i="56"/>
  <c r="N20" i="56"/>
  <c r="M20" i="56"/>
  <c r="L20" i="56"/>
  <c r="I20" i="56"/>
  <c r="H20" i="56"/>
  <c r="G20" i="56"/>
  <c r="C20" i="56"/>
  <c r="N19" i="56"/>
  <c r="M19" i="56"/>
  <c r="L19" i="56"/>
  <c r="I19" i="56"/>
  <c r="H19" i="56"/>
  <c r="G19" i="56"/>
  <c r="C19" i="56"/>
  <c r="N18" i="56"/>
  <c r="M18" i="56"/>
  <c r="L18" i="56"/>
  <c r="I18" i="56"/>
  <c r="H18" i="56"/>
  <c r="G18" i="56"/>
  <c r="C18" i="56"/>
  <c r="N17" i="56"/>
  <c r="M17" i="56"/>
  <c r="L17" i="56"/>
  <c r="I17" i="56"/>
  <c r="H17" i="56"/>
  <c r="G17" i="56"/>
  <c r="C17" i="56"/>
  <c r="N16" i="56"/>
  <c r="M16" i="56"/>
  <c r="L16" i="56"/>
  <c r="I16" i="56"/>
  <c r="H16" i="56"/>
  <c r="G16" i="56"/>
  <c r="C16" i="56"/>
  <c r="N15" i="56"/>
  <c r="M15" i="56"/>
  <c r="L15" i="56"/>
  <c r="I15" i="56"/>
  <c r="H15" i="56"/>
  <c r="G15" i="56"/>
  <c r="C15" i="56"/>
  <c r="N14" i="56"/>
  <c r="M14" i="56"/>
  <c r="L14" i="56"/>
  <c r="I14" i="56"/>
  <c r="H14" i="56"/>
  <c r="G14" i="56"/>
  <c r="C14" i="56"/>
  <c r="N13" i="56"/>
  <c r="M13" i="56"/>
  <c r="L13" i="56"/>
  <c r="I13" i="56"/>
  <c r="H13" i="56"/>
  <c r="G13" i="56"/>
  <c r="C13" i="56"/>
  <c r="N12" i="56"/>
  <c r="M12" i="56"/>
  <c r="L12" i="56"/>
  <c r="I12" i="56"/>
  <c r="H12" i="56"/>
  <c r="G12" i="56"/>
  <c r="C12" i="56"/>
  <c r="N11" i="56"/>
  <c r="M11" i="56"/>
  <c r="L11" i="56"/>
  <c r="I11" i="56"/>
  <c r="H11" i="56"/>
  <c r="G11" i="56"/>
  <c r="C11" i="56"/>
  <c r="N10" i="56"/>
  <c r="M10" i="56"/>
  <c r="L10" i="56"/>
  <c r="I10" i="56"/>
  <c r="H10" i="56"/>
  <c r="G10" i="56"/>
  <c r="C10" i="56"/>
  <c r="H4" i="56"/>
  <c r="H3" i="56"/>
  <c r="G438" i="56" l="1"/>
  <c r="I389" i="56"/>
  <c r="M399" i="56"/>
  <c r="H404" i="56"/>
  <c r="I405" i="56"/>
  <c r="M415" i="56"/>
  <c r="M423" i="56"/>
  <c r="M431" i="56"/>
  <c r="E438" i="56"/>
  <c r="J438" i="56"/>
  <c r="R72" i="4" l="1"/>
  <c r="R72" i="3"/>
  <c r="R72" i="2"/>
  <c r="B15" i="11"/>
  <c r="C15" i="11"/>
  <c r="D15" i="11"/>
  <c r="G15" i="11" s="1"/>
  <c r="E15" i="11"/>
  <c r="F15" i="11"/>
  <c r="H15" i="11"/>
  <c r="I15" i="11"/>
  <c r="B42" i="5"/>
  <c r="C42" i="5"/>
  <c r="D42" i="5"/>
  <c r="E42" i="5"/>
  <c r="F42" i="5"/>
  <c r="H42" i="5"/>
  <c r="I42" i="5"/>
  <c r="B22" i="5"/>
  <c r="F22" i="5" s="1"/>
  <c r="C22" i="5"/>
  <c r="D22" i="5"/>
  <c r="E22" i="5"/>
  <c r="H22" i="5"/>
  <c r="I22" i="5"/>
  <c r="B16" i="19"/>
  <c r="F16" i="19" s="1"/>
  <c r="C16" i="19"/>
  <c r="D16" i="19"/>
  <c r="E16" i="19"/>
  <c r="H16" i="19"/>
  <c r="I16" i="19"/>
  <c r="C38" i="18"/>
  <c r="D38" i="18"/>
  <c r="G38" i="18" s="1"/>
  <c r="E38" i="18"/>
  <c r="H38" i="18" s="1"/>
  <c r="F38" i="18"/>
  <c r="I38" i="18"/>
  <c r="J38" i="18"/>
  <c r="K38" i="18"/>
  <c r="L38" i="18"/>
  <c r="B33" i="17"/>
  <c r="F33" i="17" s="1"/>
  <c r="C33" i="17"/>
  <c r="D33" i="17"/>
  <c r="G33" i="17" s="1"/>
  <c r="E33" i="17"/>
  <c r="H33" i="17"/>
  <c r="I33" i="17"/>
  <c r="B70" i="16"/>
  <c r="C70" i="16"/>
  <c r="D70" i="16"/>
  <c r="E70" i="16"/>
  <c r="H70" i="16"/>
  <c r="I70" i="16"/>
  <c r="J70" i="16"/>
  <c r="K70" i="16"/>
  <c r="L70" i="16"/>
  <c r="M70" i="16"/>
  <c r="P70" i="16"/>
  <c r="Q70" i="16"/>
  <c r="J10" i="12"/>
  <c r="J11" i="12"/>
  <c r="J12" i="12"/>
  <c r="J13" i="12"/>
  <c r="J14" i="12"/>
  <c r="J15" i="12"/>
  <c r="J16" i="12"/>
  <c r="J17" i="12"/>
  <c r="K10" i="12"/>
  <c r="K11" i="12"/>
  <c r="K12" i="12"/>
  <c r="K13" i="12"/>
  <c r="K14" i="12"/>
  <c r="K15" i="12"/>
  <c r="K16" i="12"/>
  <c r="K17" i="12"/>
  <c r="D282" i="36"/>
  <c r="E282" i="36"/>
  <c r="F282" i="36"/>
  <c r="G282" i="36"/>
  <c r="D281" i="35"/>
  <c r="J281" i="35" s="1"/>
  <c r="E281" i="35"/>
  <c r="F281" i="35"/>
  <c r="G281" i="35"/>
  <c r="D283" i="10"/>
  <c r="E283" i="10"/>
  <c r="F283" i="10"/>
  <c r="G283" i="10"/>
  <c r="H283" i="10"/>
  <c r="J283" i="10"/>
  <c r="B16" i="13"/>
  <c r="D10" i="13" s="1"/>
  <c r="C16" i="13"/>
  <c r="E15" i="13" s="1"/>
  <c r="F16" i="13"/>
  <c r="H10" i="13" s="1"/>
  <c r="G16" i="13"/>
  <c r="I13" i="13" s="1"/>
  <c r="D14" i="13"/>
  <c r="D15" i="13"/>
  <c r="E12" i="13"/>
  <c r="E11" i="13"/>
  <c r="E13" i="13"/>
  <c r="E14" i="13"/>
  <c r="I12" i="13"/>
  <c r="I11" i="13"/>
  <c r="J8" i="13"/>
  <c r="J10" i="13"/>
  <c r="J9" i="13"/>
  <c r="J12" i="13"/>
  <c r="J11" i="13"/>
  <c r="J13" i="13"/>
  <c r="J14" i="13"/>
  <c r="J15" i="13"/>
  <c r="C372" i="8"/>
  <c r="D372" i="8"/>
  <c r="L281" i="35" s="1"/>
  <c r="E372" i="8"/>
  <c r="F372" i="8"/>
  <c r="M281" i="35" s="1"/>
  <c r="G372" i="8"/>
  <c r="I372" i="8"/>
  <c r="J372" i="8"/>
  <c r="K372" i="8"/>
  <c r="L372" i="8"/>
  <c r="N70" i="16" l="1"/>
  <c r="H372" i="8"/>
  <c r="I283" i="10"/>
  <c r="E9" i="13"/>
  <c r="L282" i="36"/>
  <c r="G42" i="5"/>
  <c r="I9" i="13"/>
  <c r="I10" i="13"/>
  <c r="I8" i="13"/>
  <c r="M282" i="36"/>
  <c r="I15" i="13"/>
  <c r="E10" i="13"/>
  <c r="M283" i="10"/>
  <c r="G22" i="5"/>
  <c r="H11" i="13"/>
  <c r="I14" i="13"/>
  <c r="H8" i="13"/>
  <c r="E8" i="13"/>
  <c r="L283" i="10"/>
  <c r="K283" i="10"/>
  <c r="I282" i="36"/>
  <c r="G70" i="16"/>
  <c r="G16" i="19"/>
  <c r="F70" i="16"/>
  <c r="I281" i="35"/>
  <c r="J282" i="36"/>
  <c r="O70" i="16"/>
  <c r="H282" i="36"/>
  <c r="K282" i="36"/>
  <c r="H281" i="35"/>
  <c r="K281" i="35"/>
  <c r="H14" i="13"/>
  <c r="H9" i="13"/>
  <c r="D11" i="13"/>
  <c r="D9" i="13"/>
  <c r="D8" i="13"/>
  <c r="H15" i="13"/>
  <c r="H13" i="13"/>
  <c r="H12" i="13"/>
  <c r="D13" i="13"/>
  <c r="D12" i="13"/>
  <c r="R71" i="4" l="1"/>
  <c r="R71" i="3"/>
  <c r="R71" i="2"/>
  <c r="R70" i="4" l="1"/>
  <c r="R70" i="3"/>
  <c r="R70" i="2"/>
  <c r="R69" i="4" l="1"/>
  <c r="R69" i="3"/>
  <c r="R69" i="2"/>
  <c r="R68" i="4" l="1"/>
  <c r="R68" i="3"/>
  <c r="R68" i="2"/>
  <c r="R67" i="4" l="1"/>
  <c r="R67" i="3"/>
  <c r="R67" i="2"/>
  <c r="R66" i="4" l="1"/>
  <c r="R65" i="4"/>
  <c r="R64" i="4"/>
  <c r="R63" i="4"/>
  <c r="R62" i="4"/>
  <c r="R61" i="4"/>
  <c r="R66" i="3" l="1"/>
  <c r="R66" i="2"/>
  <c r="G22" i="1" l="1"/>
  <c r="F22" i="1"/>
  <c r="G23" i="1"/>
  <c r="F23" i="1"/>
  <c r="H22" i="1" l="1"/>
  <c r="H23" i="1"/>
  <c r="R65" i="3" l="1"/>
  <c r="R65" i="2"/>
  <c r="R64" i="3" l="1"/>
  <c r="R64" i="2"/>
  <c r="H16" i="13" l="1"/>
  <c r="D16" i="13"/>
  <c r="E16" i="13"/>
  <c r="I16" i="13"/>
  <c r="R63" i="3" l="1"/>
  <c r="R63" i="2"/>
  <c r="R62" i="3" l="1"/>
  <c r="R62" i="2"/>
  <c r="R60" i="2" l="1"/>
  <c r="R59" i="2"/>
  <c r="R58" i="2"/>
  <c r="R57" i="2"/>
  <c r="R56" i="2"/>
  <c r="R55" i="2"/>
  <c r="R54" i="2"/>
  <c r="R53" i="2"/>
  <c r="R52" i="2"/>
  <c r="R51" i="2"/>
  <c r="R50" i="2"/>
  <c r="R49" i="2"/>
  <c r="R61" i="3" l="1"/>
  <c r="R61" i="2"/>
  <c r="R49" i="4" l="1"/>
  <c r="S18" i="4"/>
  <c r="R18" i="4"/>
  <c r="R19" i="4"/>
  <c r="R60" i="3"/>
  <c r="R59" i="3"/>
  <c r="R58" i="3"/>
  <c r="R57" i="3"/>
  <c r="R56" i="3"/>
  <c r="R55" i="3"/>
  <c r="R54" i="3"/>
  <c r="R53" i="3"/>
  <c r="R52" i="3"/>
  <c r="R51" i="3"/>
  <c r="R50" i="3"/>
  <c r="R49" i="3"/>
  <c r="S18" i="3"/>
  <c r="R18" i="3"/>
  <c r="R19" i="3"/>
  <c r="Q18" i="36"/>
  <c r="P18" i="36"/>
  <c r="Q18" i="35"/>
  <c r="P18" i="35"/>
  <c r="P19" i="35"/>
  <c r="S18" i="2"/>
  <c r="R18" i="2"/>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8" i="12" l="1"/>
  <c r="D10" i="12" l="1"/>
  <c r="D11" i="12"/>
  <c r="D13" i="12"/>
  <c r="D15" i="12"/>
  <c r="D17" i="12"/>
  <c r="D12" i="12"/>
  <c r="D14" i="12"/>
  <c r="D16" i="12"/>
  <c r="G18" i="12" l="1"/>
  <c r="F18" i="12"/>
  <c r="C18" i="12"/>
  <c r="D18" i="12"/>
  <c r="H11" i="12" l="1"/>
  <c r="H13" i="12"/>
  <c r="H15" i="12"/>
  <c r="H17" i="12"/>
  <c r="H10" i="12"/>
  <c r="H12" i="12"/>
  <c r="H14" i="12"/>
  <c r="H16" i="12"/>
  <c r="E11" i="12"/>
  <c r="E13" i="12"/>
  <c r="E15" i="12"/>
  <c r="E17" i="12"/>
  <c r="E10" i="12"/>
  <c r="E12" i="12"/>
  <c r="E14" i="12"/>
  <c r="E16" i="12"/>
  <c r="I11" i="12"/>
  <c r="I13" i="12"/>
  <c r="I15" i="12"/>
  <c r="I17" i="12"/>
  <c r="I10" i="12"/>
  <c r="I12" i="12"/>
  <c r="I14" i="12"/>
  <c r="I16" i="12"/>
  <c r="H18" i="12"/>
  <c r="J18" i="12"/>
  <c r="E18" i="12"/>
  <c r="I18" i="12"/>
  <c r="K18"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8" i="12"/>
  <c r="F8" i="12"/>
  <c r="C8" i="12"/>
  <c r="B8"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8" i="12"/>
  <c r="K8" i="12"/>
  <c r="E8" i="12"/>
  <c r="J8"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8" i="12"/>
  <c r="H8" i="12"/>
  <c r="H39" i="36"/>
  <c r="K38" i="35"/>
  <c r="J40" i="10"/>
  <c r="K40" i="10"/>
  <c r="G6" i="8"/>
  <c r="R60" i="4" l="1"/>
  <c r="R59" i="4"/>
  <c r="R58" i="4"/>
  <c r="R57" i="4"/>
  <c r="R56" i="4"/>
  <c r="R55" i="4"/>
  <c r="R54" i="4"/>
  <c r="R53" i="4"/>
  <c r="R52" i="4"/>
  <c r="R51" i="4"/>
  <c r="R50" i="4"/>
  <c r="Q19" i="36" l="1"/>
  <c r="P19" i="36"/>
  <c r="R18" i="36"/>
  <c r="R18" i="35" l="1"/>
  <c r="Q19" i="35"/>
  <c r="G12" i="1" l="1"/>
  <c r="F12" i="1"/>
  <c r="G31" i="1"/>
  <c r="G30" i="1" s="1"/>
  <c r="F31" i="1"/>
  <c r="F30" i="1" s="1"/>
  <c r="G19" i="1"/>
  <c r="F19" i="1"/>
  <c r="G26" i="1"/>
  <c r="F26" i="1"/>
  <c r="G25" i="1" l="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C000000}" keepAlive="1" name="bdsql12 BDnewRegistrations getAggPBCO2EmissionsWLTP" type="5" refreshedVersion="4" savePassword="1" deleted="1" saveData="1">
    <dbPr connection="" command=""/>
  </connection>
  <connection id="12" xr16:uid="{00000000-0015-0000-FFFF-FFFF0D000000}" keepAlive="1" name="bdsql12 BDnewRegistrations getAggPBFuelTypes" type="5" refreshedVersion="4" savePassword="1" deleted="1" saveData="1">
    <dbPr connection="" command=""/>
  </connection>
  <connection id="13" xr16:uid="{00000000-0015-0000-FFFF-FFFF0E000000}" keepAlive="1" name="bdsql12 BDnewRegistrations getAggRechargeModelsII" type="5" refreshedVersion="4" savePassword="1" deleted="1" saveData="1">
    <dbPr connection="" command=""/>
  </connection>
  <connection id="14" xr16:uid="{00000000-0015-0000-FFFF-FFFF0F000000}" keepAlive="1" name="bdsql12 BDnewRegistrations getAggRechargeModelsII1" type="5" refreshedVersion="4" savePassword="1" deleted="1" saveData="1">
    <dbPr connection="" command=""/>
  </connection>
  <connection id="15" xr16:uid="{00000000-0015-0000-FFFF-FFFF10000000}" keepAlive="1" name="bdsql12 BDnewRegistrations getAggRechargeModelsII11" type="5" refreshedVersion="4" savePassword="1" deleted="1" saveData="1">
    <dbPr connection="" command=""/>
  </connection>
  <connection id="16" xr16:uid="{00000000-0015-0000-FFFF-FFFF12000000}" keepAlive="1" name="bdsql12 Transportstyrelsen sumPrelNyregImportBUSS" type="5" refreshedVersion="4" savePassword="1" deleted="1" saveData="1">
    <dbPr connection="" command=""/>
  </connection>
  <connection id="17"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<sst xmlns="http://schemas.openxmlformats.org/spreadsheetml/2006/main" count="3250" uniqueCount="1374">
  <si>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</si>
  <si>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</si>
  <si>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</si>
  <si>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</si>
  <si>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</si>
  <si>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</si>
  <si>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</si>
  <si>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</si>
  <si>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</si>
  <si>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</si>
  <si>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</si>
  <si>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</si>
  <si>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</si>
  <si>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</si>
  <si>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</si>
  <si>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</si>
  <si>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</si>
  <si>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</si>
  <si>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</si>
  <si>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</si>
  <si>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</si>
  <si>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</si>
  <si>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</si>
  <si>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</si>
  <si>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</si>
  <si>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</si>
  <si>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</si>
  <si>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</si>
  <si>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</si>
  <si>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</si>
  <si>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</si>
  <si>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</si>
  <si>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</si>
  <si>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</si>
  <si>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</si>
  <si>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</si>
  <si>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</si>
  <si>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</si>
  <si>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</si>
  <si>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</si>
  <si>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</si>
  <si>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</si>
  <si>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</si>
  <si>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</si>
  <si>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</si>
  <si>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</si>
  <si>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</si>
  <si>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</si>
  <si>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</si>
  <si>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</si>
  <si>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</si>
  <si>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</si>
  <si>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</si>
  <si>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</si>
  <si>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</si>
  <si>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</si>
  <si>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</si>
  <si>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</si>
  <si>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</si>
  <si>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</si>
  <si>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</si>
  <si>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</si>
  <si>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</si>
  <si>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</si>
  <si>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</si>
  <si>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</si>
  <si>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</si>
  <si>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</si>
  <si>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</si>
  <si>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</si>
  <si>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</si>
  <si>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</si>
  <si>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</si>
  <si>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</si>
  <si>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</si>
  <si>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</si>
  <si>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</si>
  <si>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</si>
  <si>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</si>
  <si>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</si>
  <si>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</si>
  <si>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</si>
  <si>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</si>
  <si>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</si>
  <si>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</si>
  <si>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</si>
  <si>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</si>
  <si>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</si>
  <si>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</si>
  <si>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</si>
  <si>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</si>
  <si>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</si>
  <si>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</si>
  <si>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</si>
  <si>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</si>
  <si>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</si>
  <si>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</si>
  <si>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</si>
  <si>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</si>
  <si>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</si>
  <si>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</si>
  <si>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</si>
  <si>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</si>
  <si>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</si>
  <si>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</si>
  <si>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</si>
  <si>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</si>
  <si>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</si>
  <si>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</si>
  <si>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</si>
  <si>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</si>
  <si>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</si>
  <si>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</si>
  <si>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</si>
  <si>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</si>
  <si>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</si>
  <si>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</si>
  <si>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</si>
  <si>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</si>
  <si>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</si>
  <si>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</si>
  <si>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</si>
  <si>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</si>
  <si>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</si>
  <si>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</si>
  <si>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</si>
  <si>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</si>
  <si>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</si>
  <si>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</si>
  <si>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</si>
  <si>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</si>
  <si>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</si>
  <si>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</si>
  <si>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</si>
  <si>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</si>
  <si>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</si>
  <si>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</si>
  <si>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</si>
  <si>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</si>
  <si>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</si>
  <si>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</si>
  <si>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</si>
  <si>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</si>
  <si>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</si>
  <si>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</si>
  <si>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</si>
  <si>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</si>
  <si>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</si>
  <si>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</si>
  <si>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</si>
  <si>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</si>
  <si>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</si>
  <si>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</si>
  <si>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</si>
  <si>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</si>
  <si>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</si>
  <si>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</si>
  <si>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</si>
  <si>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</si>
  <si>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</si>
  <si>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</si>
  <si>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</si>
  <si>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</si>
  <si>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</si>
  <si>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</si>
  <si>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</si>
  <si>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</si>
  <si>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</si>
  <si>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</si>
  <si>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</si>
  <si>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</si>
  <si>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</si>
  <si>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</si>
  <si>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</si>
  <si>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</si>
  <si>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</si>
  <si>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</si>
  <si>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</si>
  <si>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</si>
  <si>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</si>
  <si>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</si>
  <si>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</si>
  <si>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</si>
  <si>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</si>
  <si>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</si>
  <si>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</si>
  <si>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</si>
  <si>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</si>
  <si>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</si>
  <si>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</si>
  <si>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</si>
  <si>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</si>
  <si>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</si>
  <si>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</si>
  <si>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</si>
  <si>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</si>
  <si>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</si>
  <si>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</si>
  <si>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</si>
  <si>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</si>
  <si>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</si>
  <si>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</si>
  <si>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</si>
  <si>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</si>
  <si>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</si>
  <si>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</si>
  <si>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</si>
  <si>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</si>
  <si>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</si>
  <si>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</si>
  <si>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</si>
  <si>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</si>
  <si>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</si>
  <si>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</si>
  <si>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</si>
  <si>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</si>
  <si>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</si>
  <si>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</si>
  <si>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</si>
  <si>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</si>
  <si>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</si>
  <si>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</si>
  <si>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</si>
  <si>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</si>
  <si>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</si>
  <si>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</si>
  <si>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</si>
  <si>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</si>
  <si>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</si>
  <si>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</si>
  <si>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</si>
  <si>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</si>
  <si>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</si>
  <si>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</si>
  <si>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</si>
  <si>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</si>
  <si>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</si>
  <si>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</si>
  <si>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</si>
  <si>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</si>
  <si>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</si>
  <si>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</si>
  <si>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</si>
  <si>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</si>
  <si>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</si>
  <si>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</si>
  <si>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</si>
  <si>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</si>
  <si>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</si>
  <si>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</si>
  <si>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</si>
  <si>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</si>
  <si>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</si>
  <si>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</si>
  <si>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</si>
  <si>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</si>
  <si>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</si>
  <si>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</si>
  <si>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</si>
  <si>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</si>
  <si>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</si>
  <si>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</si>
  <si>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</si>
  <si>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</si>
  <si>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</si>
  <si>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</si>
  <si>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</si>
  <si>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</si>
  <si>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</si>
  <si>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</si>
  <si>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</si>
  <si>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</si>
  <si>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</si>
  <si>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</si>
  <si>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</si>
  <si>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</si>
  <si>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</si>
  <si>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</si>
  <si>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</si>
  <si>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</si>
  <si>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</si>
  <si>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</si>
  <si>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</si>
  <si>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</si>
  <si>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</si>
  <si>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</si>
  <si>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</si>
  <si>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</si>
  <si>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</si>
  <si>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</si>
  <si>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</si>
  <si>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</si>
  <si>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</si>
  <si>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</si>
  <si>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</si>
  <si>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</si>
  <si>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</si>
  <si>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</si>
  <si>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</si>
  <si>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</si>
  <si>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</si>
  <si>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</si>
  <si>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</si>
  <si>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</si>
  <si>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</si>
  <si>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</si>
  <si>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</si>
  <si>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</si>
  <si>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</si>
  <si>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</si>
  <si>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</si>
  <si>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</si>
  <si>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</si>
  <si>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</si>
  <si>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</si>
  <si>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</si>
  <si>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</si>
  <si>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</si>
  <si>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</si>
  <si>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</si>
  <si>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</si>
  <si>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</si>
  <si>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</si>
  <si>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</si>
  <si>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</si>
  <si>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</si>
  <si>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</si>
  <si>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</si>
  <si>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</si>
  <si>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</si>
  <si>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</si>
  <si>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</si>
  <si>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</si>
  <si>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</si>
  <si>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</si>
  <si>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</si>
  <si>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</si>
  <si>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</si>
  <si>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</si>
  <si>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</si>
  <si>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</si>
  <si>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</si>
  <si>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</si>
  <si>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</si>
  <si>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</si>
  <si>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</si>
  <si>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</si>
  <si>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</si>
  <si>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</si>
  <si>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MERCEDES C-KLASS (205)</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</si>
  <si>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</si>
  <si>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</si>
  <si>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</si>
  <si>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</si>
  <si>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</si>
  <si>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</si>
  <si>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</si>
  <si>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</si>
  <si>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</si>
  <si>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</si>
  <si>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</si>
  <si>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</si>
  <si>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</si>
  <si>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</si>
  <si>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</si>
  <si>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</si>
  <si>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</si>
  <si>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</si>
  <si>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</si>
  <si>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</si>
  <si>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</si>
  <si>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</si>
  <si>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</si>
  <si>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</si>
  <si>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</si>
  <si>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</si>
  <si>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</si>
  <si>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</si>
  <si>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</si>
  <si>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</si>
  <si>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</si>
  <si>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</si>
  <si>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</si>
  <si>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</si>
  <si>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</si>
  <si>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</si>
  <si>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</si>
  <si>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</si>
  <si>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</si>
  <si>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</si>
  <si>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</si>
  <si>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</si>
  <si>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</si>
  <si>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</si>
  <si>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</si>
  <si>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</si>
  <si>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</si>
  <si>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</si>
  <si>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</si>
  <si>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</si>
  <si>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</si>
  <si>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</si>
  <si>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</si>
  <si>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</si>
  <si>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</si>
  <si>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</si>
  <si>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</si>
  <si>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</si>
  <si>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</si>
  <si>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</si>
  <si>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</si>
  <si>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</si>
  <si>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</si>
  <si>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</si>
  <si>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</si>
  <si>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</si>
  <si>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</si>
  <si>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</si>
  <si>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</si>
  <si>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</si>
  <si>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</si>
  <si>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</si>
  <si>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</si>
  <si>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</si>
  <si>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</si>
  <si>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</si>
  <si>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</si>
  <si>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</si>
  <si>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</si>
  <si>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</si>
  <si>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</si>
  <si>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</si>
  <si>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</si>
  <si>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</si>
  <si>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</si>
  <si>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</si>
  <si>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</si>
  <si>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</si>
  <si>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</si>
  <si>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</si>
  <si>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</si>
  <si>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</si>
  <si>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</si>
  <si>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</si>
  <si>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</si>
  <si>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</si>
  <si>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</si>
  <si>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</si>
  <si>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</si>
  <si>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</si>
  <si>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</si>
  <si>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</si>
  <si>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</si>
  <si>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</si>
  <si>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</si>
  <si>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</si>
  <si>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</si>
  <si>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</si>
  <si>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</si>
  <si>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</si>
  <si>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</si>
  <si>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</si>
  <si>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</si>
  <si>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</si>
  <si>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</si>
  <si>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</si>
  <si>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</si>
  <si>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</si>
  <si>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</si>
  <si>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</si>
  <si>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</si>
  <si>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</si>
  <si>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</si>
  <si>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</si>
  <si>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</si>
  <si>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</si>
  <si>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</si>
  <si>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</si>
  <si>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</si>
  <si>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</si>
  <si>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</si>
  <si>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</si>
  <si>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</si>
  <si>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</si>
  <si>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</si>
  <si>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</si>
  <si>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</si>
  <si>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</si>
  <si>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</si>
  <si>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</si>
  <si>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</si>
  <si>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</si>
  <si>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</si>
  <si>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</si>
  <si>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</si>
  <si>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</si>
  <si>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</si>
  <si>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</si>
  <si>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</si>
  <si>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</si>
  <si>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</si>
  <si>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</si>
  <si>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</si>
  <si>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</si>
  <si>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</si>
  <si>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</si>
  <si>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</si>
  <si>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</si>
  <si>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</si>
  <si>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</si>
  <si>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</si>
  <si>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</si>
  <si>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</si>
  <si>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</si>
  <si>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</si>
  <si>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</si>
  <si>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</si>
  <si>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</si>
  <si>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</si>
  <si>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</si>
  <si>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</si>
  <si>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</si>
  <si>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</si>
  <si>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</si>
  <si>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</si>
  <si>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</si>
  <si>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</si>
  <si>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</si>
  <si>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</si>
  <si>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</si>
  <si>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</si>
  <si>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</si>
  <si>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</si>
  <si>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</si>
  <si>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</si>
  <si>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</si>
  <si>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</si>
  <si>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</si>
  <si>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</si>
  <si>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</si>
  <si>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</si>
  <si>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</si>
  <si>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</si>
  <si>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</si>
  <si>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</si>
  <si>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</si>
  <si>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</si>
  <si>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</si>
  <si>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</si>
  <si>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</si>
  <si>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</si>
  <si>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</si>
  <si>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</si>
  <si>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</si>
  <si>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</si>
  <si>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</si>
  <si>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</si>
  <si>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</si>
  <si>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</si>
  <si>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</si>
  <si>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</si>
  <si>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</si>
  <si>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</si>
  <si>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</si>
  <si>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</si>
  <si>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</si>
  <si>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</si>
  <si>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</si>
  <si>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</si>
  <si>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</si>
  <si>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</si>
  <si>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</si>
  <si>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</si>
  <si>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</si>
  <si>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</si>
  <si>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</si>
  <si>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</si>
  <si>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</si>
  <si>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</si>
  <si>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</si>
  <si>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</si>
  <si>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</si>
  <si>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</si>
  <si>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</si>
  <si>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</si>
  <si>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</si>
  <si>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</si>
  <si>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</si>
  <si>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</si>
  <si>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</si>
  <si>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</si>
  <si>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</si>
  <si>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</si>
  <si>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</si>
  <si>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</si>
  <si>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</si>
  <si>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</si>
  <si>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</si>
  <si>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</si>
  <si>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</si>
  <si>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</si>
  <si>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</si>
  <si>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</si>
  <si>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</si>
  <si>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</si>
  <si>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</si>
  <si>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</si>
  <si>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</si>
  <si>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</si>
  <si>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</si>
  <si>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</si>
  <si>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</si>
  <si>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</si>
  <si>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</si>
  <si>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</si>
  <si>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</si>
  <si>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</si>
  <si>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</si>
  <si>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</si>
  <si>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</si>
  <si>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</si>
  <si>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</si>
  <si>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</si>
  <si>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</si>
  <si>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</si>
  <si>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</si>
  <si>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</si>
  <si>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</si>
  <si>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</si>
  <si>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</si>
  <si>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</si>
  <si>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</si>
  <si>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</si>
  <si>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</si>
  <si>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</si>
  <si>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</si>
  <si>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</si>
  <si>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</si>
  <si>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</si>
  <si>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</si>
  <si>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</si>
  <si>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</si>
  <si>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</si>
  <si>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</si>
  <si>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</si>
  <si>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</si>
  <si>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</si>
  <si>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</si>
  <si>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</si>
  <si>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</si>
  <si>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</si>
  <si>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</si>
  <si>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</si>
  <si>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</si>
  <si>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</si>
  <si>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</si>
  <si>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</si>
  <si>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</si>
  <si>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</si>
  <si>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</si>
  <si>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</si>
  <si>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</si>
  <si>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</si>
  <si>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</si>
  <si>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</si>
  <si>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</si>
  <si>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</si>
  <si>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</si>
  <si>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</si>
  <si>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</si>
  <si>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</si>
  <si>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</si>
  <si>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</si>
  <si>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</si>
  <si>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</si>
  <si>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</si>
  <si>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</si>
  <si>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</si>
  <si>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</si>
  <si>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</si>
  <si>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</si>
  <si>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</si>
  <si>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</si>
  <si>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</si>
  <si>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</si>
  <si>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</si>
  <si>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</si>
  <si>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</si>
  <si>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</si>
  <si>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</si>
  <si>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</si>
  <si>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</si>
  <si>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</si>
  <si>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</si>
  <si>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</si>
  <si>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</si>
  <si>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</si>
  <si>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</si>
  <si>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</si>
  <si>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</si>
  <si>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</si>
  <si>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</si>
  <si>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</si>
  <si>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</si>
  <si>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</si>
  <si>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</si>
  <si>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</si>
  <si>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</si>
  <si>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</si>
  <si>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</si>
  <si>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</si>
  <si>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</si>
  <si>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</si>
  <si>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</si>
  <si>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</si>
  <si>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</si>
  <si>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</si>
  <si>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</si>
  <si>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</si>
  <si>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</si>
  <si>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</si>
  <si>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</si>
  <si>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</si>
  <si>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</si>
  <si>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</si>
  <si>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</si>
  <si>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</si>
  <si>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</si>
  <si>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</si>
  <si>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</si>
  <si>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</si>
  <si>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</si>
  <si>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</si>
  <si>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</si>
  <si>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</si>
  <si>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</si>
  <si>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</si>
  <si>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</si>
  <si>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</si>
  <si>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</si>
  <si>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</si>
  <si>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</si>
  <si>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</si>
  <si>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</si>
  <si>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</si>
  <si>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</si>
  <si>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</si>
  <si>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</si>
  <si>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</si>
  <si>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</si>
  <si>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</si>
  <si>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</si>
  <si>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</si>
  <si>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</si>
  <si>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</si>
  <si>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</si>
  <si>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</si>
  <si>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</si>
  <si>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</si>
  <si>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</si>
  <si>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</si>
  <si>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</si>
  <si>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</si>
  <si>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</si>
  <si>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</si>
  <si>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</si>
  <si>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</si>
  <si>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</si>
  <si>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</si>
  <si>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</si>
  <si>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</si>
  <si>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</si>
  <si>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</si>
  <si>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</si>
  <si>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</si>
  <si>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</si>
  <si>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</si>
  <si>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</si>
  <si>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</si>
  <si>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</si>
  <si>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</si>
  <si>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</si>
  <si>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</si>
  <si>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</si>
  <si>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</si>
  <si>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</si>
  <si>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</si>
  <si>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</si>
  <si>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</si>
  <si>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</si>
  <si>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</si>
  <si>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</si>
  <si>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</si>
  <si>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</si>
  <si>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</si>
  <si>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</si>
  <si>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</si>
  <si>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</si>
  <si>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</si>
  <si>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</si>
  <si>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</si>
  <si>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</si>
  <si>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</si>
  <si>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</si>
  <si>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</si>
  <si>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</si>
  <si>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</si>
  <si>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</si>
  <si>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</si>
  <si>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</si>
  <si>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</si>
  <si>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</si>
  <si>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</si>
  <si>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</si>
  <si>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</si>
  <si>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</si>
  <si>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</si>
  <si>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</si>
  <si>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</si>
  <si>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</si>
  <si>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</si>
  <si>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</si>
  <si>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</si>
  <si>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</si>
  <si>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</si>
  <si>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</si>
  <si>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</si>
  <si>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</si>
  <si>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</si>
  <si>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</si>
  <si>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</si>
  <si>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</si>
  <si>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</si>
  <si>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</si>
  <si>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</si>
  <si>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</si>
  <si>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</si>
  <si>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</si>
  <si>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</si>
  <si>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</si>
  <si>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</si>
  <si>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</si>
  <si>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</si>
  <si>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</si>
  <si>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</si>
  <si>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</si>
  <si>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</si>
  <si>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</si>
  <si>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</si>
  <si>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</si>
  <si>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</si>
  <si>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</si>
  <si>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</si>
  <si>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</si>
  <si>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</si>
  <si>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</si>
  <si>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</si>
  <si>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</si>
  <si>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</si>
  <si>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</si>
  <si>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</si>
  <si>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</si>
  <si>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</si>
  <si>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</si>
  <si>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</si>
  <si>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</si>
  <si>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</si>
  <si>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</si>
  <si>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</si>
  <si>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</si>
  <si>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</si>
  <si>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</si>
  <si>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</si>
  <si>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</si>
  <si>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</si>
  <si>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</si>
  <si>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</si>
  <si>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</si>
  <si>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</si>
  <si>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</si>
  <si>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</si>
  <si>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</si>
  <si>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</si>
  <si>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</si>
  <si>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</si>
  <si>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</si>
  <si>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</si>
  <si>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</si>
  <si>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</si>
  <si>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</si>
  <si>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</si>
  <si>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</si>
  <si>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</si>
  <si>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</si>
  <si>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</si>
  <si>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</si>
  <si>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</si>
  <si>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</si>
  <si>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</si>
  <si>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</si>
  <si>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</si>
  <si>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</si>
  <si>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</si>
  <si>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</si>
  <si>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</si>
  <si>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</si>
  <si>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</si>
  <si>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</si>
  <si>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</si>
  <si>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</si>
  <si>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</si>
  <si>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</si>
  <si>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</si>
  <si>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</si>
  <si>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</si>
  <si>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</si>
  <si>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</si>
  <si>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</si>
  <si>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</si>
  <si>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</si>
  <si>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</si>
  <si>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</si>
  <si>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</si>
  <si>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</si>
  <si>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</si>
  <si>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</si>
  <si>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</si>
  <si>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</si>
  <si>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</si>
  <si>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</si>
  <si>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</si>
  <si>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</si>
  <si>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</si>
  <si>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</si>
  <si>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</si>
  <si>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</si>
  <si>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</si>
  <si>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</si>
  <si>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</si>
  <si>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</si>
  <si>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</si>
  <si>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</si>
  <si>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</si>
  <si>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</si>
  <si>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</si>
  <si>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</si>
  <si>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</si>
  <si>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</si>
  <si>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</si>
  <si>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</si>
  <si>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</si>
  <si>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</si>
  <si>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</si>
  <si>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</si>
  <si>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</si>
  <si>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</si>
  <si>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</si>
  <si>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</si>
  <si>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</si>
  <si>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</si>
  <si>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</si>
  <si>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</si>
  <si>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</si>
  <si>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</si>
  <si>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</si>
  <si>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</si>
  <si>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</si>
  <si>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</si>
  <si>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</si>
  <si>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</si>
  <si>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</si>
  <si>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</si>
  <si>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</si>
  <si>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</si>
  <si>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</si>
  <si>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</si>
  <si>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</si>
  <si>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</si>
  <si>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</si>
  <si>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</si>
  <si>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</si>
  <si>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</si>
  <si>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</si>
  <si>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</si>
  <si>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</si>
  <si>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</si>
  <si>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</si>
  <si>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</si>
  <si>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</si>
  <si>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</si>
  <si>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</si>
  <si>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</si>
  <si>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</si>
  <si>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</si>
  <si>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</si>
  <si>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</si>
  <si>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</si>
  <si>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</si>
  <si>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</si>
  <si>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</si>
  <si>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</si>
  <si>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</si>
  <si>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</si>
  <si>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</si>
  <si>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</si>
  <si>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</si>
  <si>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</si>
  <si>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</si>
  <si>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</si>
  <si>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</si>
  <si>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</si>
  <si>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</si>
  <si>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</si>
  <si>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</si>
  <si>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</si>
  <si>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</si>
  <si>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</si>
  <si>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</si>
  <si>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</si>
  <si>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</si>
  <si>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</si>
  <si>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</si>
  <si>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</si>
  <si>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</si>
  <si>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</si>
  <si>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</si>
  <si>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</si>
  <si>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</si>
  <si>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</si>
  <si>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</si>
  <si>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</si>
  <si>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</si>
  <si>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</si>
  <si>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</si>
  <si>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</si>
  <si>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</si>
  <si>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</si>
  <si>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</si>
  <si>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</si>
  <si>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Jan - dec 2022</t>
  </si>
  <si>
    <t>Dec-22</t>
  </si>
  <si>
    <t>Model s</t>
  </si>
  <si>
    <t>Kangoo</t>
  </si>
  <si>
    <t>Ora</t>
  </si>
  <si>
    <t>Funky cat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</si>
  <si>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</si>
  <si>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</si>
  <si>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</si>
  <si>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</si>
  <si>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</si>
  <si>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</si>
  <si>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</si>
  <si>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</si>
  <si>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</si>
  <si>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</si>
  <si>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</si>
  <si>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</si>
  <si>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</si>
  <si>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</si>
  <si>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</si>
  <si>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</si>
  <si>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</si>
  <si>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</si>
  <si>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</si>
  <si>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</si>
  <si>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</si>
  <si>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</si>
  <si>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</si>
  <si>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</si>
  <si>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</si>
  <si>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</si>
  <si>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</si>
  <si>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</si>
  <si>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</si>
  <si>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</si>
  <si>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</si>
  <si>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</si>
  <si>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</si>
  <si>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</si>
  <si>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</si>
  <si>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</si>
  <si>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</si>
  <si>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</si>
  <si>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</si>
  <si>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</si>
  <si>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</si>
  <si>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</si>
  <si>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</si>
  <si>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</si>
  <si>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</si>
  <si>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</si>
  <si>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</si>
  <si>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</si>
  <si>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</si>
  <si>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</si>
  <si>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</si>
  <si>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</si>
  <si>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</si>
  <si>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</si>
  <si>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</si>
  <si>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</si>
  <si>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</si>
  <si>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</si>
  <si>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</si>
  <si>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</si>
  <si>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</si>
  <si>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</si>
  <si>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</si>
  <si>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</si>
  <si>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</si>
  <si>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</si>
  <si>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</si>
  <si>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</si>
  <si>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</si>
  <si>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</si>
  <si>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</si>
  <si>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</si>
  <si>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</si>
  <si>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</si>
  <si>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</si>
  <si>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</si>
  <si>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</si>
  <si>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</si>
  <si>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</si>
  <si>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</si>
  <si>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</si>
  <si>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</si>
  <si>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</si>
  <si>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</si>
  <si>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</si>
  <si>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</si>
  <si>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</si>
  <si>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</si>
  <si>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</si>
  <si>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</si>
  <si>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</si>
  <si>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</si>
  <si>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</si>
  <si>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</si>
  <si>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</si>
  <si>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</si>
  <si>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</si>
  <si>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</si>
  <si>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</si>
  <si>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</si>
  <si>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</si>
  <si>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</si>
  <si>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</si>
  <si>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</si>
  <si>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</si>
  <si>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</si>
  <si>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</si>
  <si>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</si>
  <si>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CUPRA LEON VZ</t>
  </si>
  <si>
    <t>SMART ED</t>
  </si>
  <si>
    <t>BMW M760LI XDRIVE</t>
  </si>
  <si>
    <t>LEVC TX ICON</t>
  </si>
  <si>
    <t>Smart</t>
  </si>
  <si>
    <t>Xpeng</t>
  </si>
  <si>
    <t>XPENG MOTORS</t>
  </si>
  <si>
    <t>Apr-23</t>
  </si>
  <si>
    <t>6(7)</t>
  </si>
  <si>
    <t>7(5)</t>
  </si>
  <si>
    <t>XM</t>
  </si>
  <si>
    <t>RZ</t>
  </si>
  <si>
    <t>Mifa 9</t>
  </si>
  <si>
    <t>XF</t>
  </si>
  <si>
    <t>Camaro</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</si>
  <si>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</si>
  <si>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</si>
  <si>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</si>
  <si>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</si>
  <si>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</si>
  <si>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</si>
  <si>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</si>
  <si>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</si>
  <si>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</si>
  <si>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</si>
  <si>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</si>
  <si>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</si>
  <si>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</si>
  <si>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</si>
  <si>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</si>
  <si>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</si>
  <si>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</si>
  <si>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</si>
  <si>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Maj-23</t>
  </si>
  <si>
    <t>S8</t>
  </si>
  <si>
    <t>Austral</t>
  </si>
  <si>
    <t>Movano</t>
  </si>
  <si>
    <t>Panda</t>
  </si>
  <si>
    <t>ES</t>
  </si>
  <si>
    <t>LC</t>
  </si>
  <si>
    <t>RC</t>
  </si>
  <si>
    <t>LS</t>
  </si>
  <si>
    <t>Discovery</t>
  </si>
  <si>
    <t>Grand cherokee</t>
  </si>
  <si>
    <t>Escalade</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</si>
  <si>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</si>
  <si>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</si>
  <si>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</si>
  <si>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</si>
  <si>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</si>
  <si>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</si>
  <si>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</si>
  <si>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</si>
  <si>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</si>
  <si>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</si>
  <si>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</si>
  <si>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</si>
  <si>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</si>
  <si>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OPEL ASTRA SPORTS TOURER</t>
  </si>
  <si>
    <t>GEELY</t>
  </si>
  <si>
    <t>MERCEDES GT (290)</t>
  </si>
  <si>
    <t>Jun-23</t>
  </si>
  <si>
    <t>Zr-v</t>
  </si>
  <si>
    <t>Grenadier</t>
  </si>
  <si>
    <t>BENTLEY FLYING SPUR</t>
  </si>
  <si>
    <t>CR-V RS8</t>
  </si>
  <si>
    <t>RENAULT KANGOO E-TECH EL</t>
  </si>
  <si>
    <t>MERCEDES-BENZ CITAN</t>
  </si>
  <si>
    <t>Jul-23</t>
  </si>
  <si>
    <t>5(10)</t>
  </si>
  <si>
    <t>Flying spur</t>
  </si>
  <si>
    <t>HYUNDAI IONIQ 6</t>
  </si>
  <si>
    <t>JEEP AVENGER</t>
  </si>
  <si>
    <t>HONDA E:NY1</t>
  </si>
  <si>
    <t xml:space="preserve">RENAULT ESPACE          </t>
  </si>
  <si>
    <t>HYUNDAI GRAND SANTA FE</t>
  </si>
  <si>
    <t>FORD GT</t>
  </si>
  <si>
    <t>NISSAN GT-R</t>
  </si>
  <si>
    <t>E:NY1 RS1</t>
  </si>
  <si>
    <t>SsangYong</t>
  </si>
  <si>
    <t>Aug-23</t>
  </si>
  <si>
    <t>2(2)</t>
  </si>
  <si>
    <t>9(8)</t>
  </si>
  <si>
    <t>12(9)</t>
  </si>
  <si>
    <t>Ioniq 6</t>
  </si>
  <si>
    <t>Grand santa fe</t>
  </si>
  <si>
    <t>Espace</t>
  </si>
  <si>
    <t>15(13)</t>
  </si>
  <si>
    <t>Gt-r</t>
  </si>
  <si>
    <t>E:ny1</t>
  </si>
  <si>
    <t>Avenger</t>
  </si>
  <si>
    <t>XPENG G9</t>
  </si>
  <si>
    <t>MERCEDES EQT</t>
  </si>
  <si>
    <t>MAN CHASSI HUSBIL</t>
  </si>
  <si>
    <t>BMW I5</t>
  </si>
  <si>
    <t>JAC E-JS4</t>
  </si>
  <si>
    <t>FORD BRONCO</t>
  </si>
  <si>
    <t>MERCEDES-BENZ EQT</t>
  </si>
  <si>
    <t>SMART 1</t>
  </si>
  <si>
    <t>BMW I5 M60 XDRIVE</t>
  </si>
  <si>
    <t>MERCEDES E-KLASS (214)</t>
  </si>
  <si>
    <t>JAC</t>
  </si>
  <si>
    <t>Sep-23</t>
  </si>
  <si>
    <t>3(3)</t>
  </si>
  <si>
    <t>4(4)</t>
  </si>
  <si>
    <t>I5</t>
  </si>
  <si>
    <t>EQT</t>
  </si>
  <si>
    <t>Bronco</t>
  </si>
  <si>
    <t>G9</t>
  </si>
  <si>
    <t>Jac</t>
  </si>
  <si>
    <t>E-js4</t>
  </si>
  <si>
    <t>Man</t>
  </si>
  <si>
    <t>Chassi husbil</t>
  </si>
  <si>
    <t>KIA EV9</t>
  </si>
  <si>
    <t>LOTUS ELETRE</t>
  </si>
  <si>
    <t>MERCEDES CLE</t>
  </si>
  <si>
    <t>NIO EL6</t>
  </si>
  <si>
    <t>BYD DOLPHIN</t>
  </si>
  <si>
    <t>SUBARU CROSSTREK</t>
  </si>
  <si>
    <t>MG HS</t>
  </si>
  <si>
    <t>LEXUS LM</t>
  </si>
  <si>
    <t>SSANGYONG REXTON</t>
  </si>
  <si>
    <t>DACIA SPRING</t>
  </si>
  <si>
    <t>SSANGYONG TORRES</t>
  </si>
  <si>
    <t>PORSCHE CAYENNE E-HYBRID</t>
  </si>
  <si>
    <t>BMW I5 EDRIVE40</t>
  </si>
  <si>
    <t>Lotus</t>
  </si>
  <si>
    <t>General Motors Sweden</t>
  </si>
  <si>
    <t>KIA Sweden</t>
  </si>
  <si>
    <t>Lotus Cars Sweden</t>
  </si>
  <si>
    <t>Okt-23</t>
  </si>
  <si>
    <t>EV9</t>
  </si>
  <si>
    <t>CLE</t>
  </si>
  <si>
    <t>HS</t>
  </si>
  <si>
    <t>Dolphin</t>
  </si>
  <si>
    <t>Crosstrek</t>
  </si>
  <si>
    <t>Spring</t>
  </si>
  <si>
    <t>LM</t>
  </si>
  <si>
    <t>26(16)</t>
  </si>
  <si>
    <t>EL6</t>
  </si>
  <si>
    <t>Eletre</t>
  </si>
  <si>
    <t>54(51)</t>
  </si>
  <si>
    <t>Ssangyong</t>
  </si>
  <si>
    <t>Rexton</t>
  </si>
  <si>
    <t>Torres</t>
  </si>
  <si>
    <t>Hedin Mobility Group avser följande företag/fabrikat:</t>
  </si>
  <si>
    <t>Hedin Electric Mobility</t>
  </si>
  <si>
    <t>VW ID.7</t>
  </si>
  <si>
    <t>MG ZS</t>
  </si>
  <si>
    <t>SKODA OCTAVIA MHEV</t>
  </si>
  <si>
    <t>BMW 550E XDRIVE</t>
  </si>
  <si>
    <t>MAN TGE EL</t>
  </si>
  <si>
    <t>Nov-23</t>
  </si>
  <si>
    <t>Id.7</t>
  </si>
  <si>
    <t>ZS</t>
  </si>
  <si>
    <t>28(21)</t>
  </si>
  <si>
    <t>40(41)</t>
  </si>
  <si>
    <t>44(39)</t>
  </si>
  <si>
    <t>57(61)</t>
  </si>
  <si>
    <t>60(50)</t>
  </si>
  <si>
    <t>VOLVO EX30</t>
  </si>
  <si>
    <t>BYD SEAL</t>
  </si>
  <si>
    <t>LEXUS LX</t>
  </si>
  <si>
    <t>EX30 PURE ELECTRIC</t>
  </si>
  <si>
    <t>December  2023</t>
  </si>
  <si>
    <t>December</t>
  </si>
  <si>
    <t>Januari - december</t>
  </si>
  <si>
    <t xml:space="preserve"> 2023-12</t>
  </si>
  <si>
    <t xml:space="preserve"> 2022-12</t>
  </si>
  <si>
    <t>Jan - dec 2023</t>
  </si>
  <si>
    <t>Dec-23</t>
  </si>
  <si>
    <t>Personbilar nyregistreringar december 2023</t>
  </si>
  <si>
    <t>2023-12-01 -&gt; 2023-12-31</t>
  </si>
  <si>
    <t>EX30</t>
  </si>
  <si>
    <t>10(12)</t>
  </si>
  <si>
    <t>11(11)</t>
  </si>
  <si>
    <t>13(14)</t>
  </si>
  <si>
    <t>14(15)</t>
  </si>
  <si>
    <t>16(53)</t>
  </si>
  <si>
    <t>17(18)</t>
  </si>
  <si>
    <t>18(17)</t>
  </si>
  <si>
    <t>19(30)</t>
  </si>
  <si>
    <t>Seal</t>
  </si>
  <si>
    <t>20(22)</t>
  </si>
  <si>
    <t>21(19)</t>
  </si>
  <si>
    <t>22(24)</t>
  </si>
  <si>
    <t>23(26)</t>
  </si>
  <si>
    <t>24(23)</t>
  </si>
  <si>
    <t>25(28)</t>
  </si>
  <si>
    <t>LX</t>
  </si>
  <si>
    <t>27(20)</t>
  </si>
  <si>
    <t>29(27)</t>
  </si>
  <si>
    <t>30(25)</t>
  </si>
  <si>
    <t>31(29)</t>
  </si>
  <si>
    <t>32(31)</t>
  </si>
  <si>
    <t>33(36)</t>
  </si>
  <si>
    <t>34(32)</t>
  </si>
  <si>
    <t>35(33)</t>
  </si>
  <si>
    <t>36(49)</t>
  </si>
  <si>
    <t>37(38)</t>
  </si>
  <si>
    <t>38(59)</t>
  </si>
  <si>
    <t>39(34)</t>
  </si>
  <si>
    <t>41(35)</t>
  </si>
  <si>
    <t>42(54)</t>
  </si>
  <si>
    <t>43(40)</t>
  </si>
  <si>
    <t>45(37)</t>
  </si>
  <si>
    <t>46(42)</t>
  </si>
  <si>
    <t>47(43)</t>
  </si>
  <si>
    <t>48(55)</t>
  </si>
  <si>
    <t>49(44)</t>
  </si>
  <si>
    <t>50(46)</t>
  </si>
  <si>
    <t>51(57)</t>
  </si>
  <si>
    <t>52(48)</t>
  </si>
  <si>
    <t>53(45)</t>
  </si>
  <si>
    <t>55(47)</t>
  </si>
  <si>
    <t>56(56)</t>
  </si>
  <si>
    <t>58(58)</t>
  </si>
  <si>
    <t>59(60)</t>
  </si>
  <si>
    <t>61(52)</t>
  </si>
  <si>
    <t>Utgått</t>
  </si>
  <si>
    <t>OBS Denna lista är sammanlänkad med A.5 Laddbara PB, vilket medför att placeringarna i kolumn A och marknadsandelarna är beräknade på laddbara bilar totalt.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</si>
</sst>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2">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cellStyleXfs>
  <cellXfs count="276">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0" fontId="17" fillId="0" borderId="35" xfId="0" applyFont="1" applyBorder="1" applyAlignment="1">
      <alignment horizontal="center"/>
    </xf>
    <xf numFmtId="0" fontId="51" fillId="0" borderId="0" xfId="0" applyFont="1" applyAlignment="1">
      <alignment vertical="center"/>
    </xf>
    <xf numFmtId="166" fontId="49" fillId="0" borderId="26" xfId="0" applyNumberFormat="1" applyFont="1" applyBorder="1"/>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cellXfs>
  <cellStyles count="8">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 name="Tusental 2 2" xfId="7" xr:uid="{00000000-0005-0000-0000-000007000000}"/>
  </cellStyles>
  <dxfs count="471">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pt idx="5">
                  <c:v>28283</c:v>
                </c:pt>
                <c:pt idx="6">
                  <c:v>17300</c:v>
                </c:pt>
                <c:pt idx="7">
                  <c:v>23871</c:v>
                </c:pt>
                <c:pt idx="8">
                  <c:v>28135</c:v>
                </c:pt>
                <c:pt idx="9">
                  <c:v>25016</c:v>
                </c:pt>
                <c:pt idx="10">
                  <c:v>25406</c:v>
                </c:pt>
                <c:pt idx="11">
                  <c:v>29274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9009536"/>
        <c:axId val="109015424"/>
        <c:extLst/>
      </c:barChart>
      <c:catAx>
        <c:axId val="1090095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9015424"/>
        <c:crosses val="autoZero"/>
        <c:auto val="1"/>
        <c:lblAlgn val="ctr"/>
        <c:lblOffset val="100"/>
        <c:noMultiLvlLbl val="0"/>
      </c:catAx>
      <c:valAx>
        <c:axId val="1090154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900953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lastbilar'!$Q$37:$Q$72</c:f>
              <c:strCache>
                <c:ptCount val="36"/>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pt idx="34">
                  <c:v>Nov-23</c:v>
                </c:pt>
                <c:pt idx="35">
                  <c:v>Dec-23</c:v>
                </c:pt>
              </c:strCache>
            </c:strRef>
          </c:cat>
          <c:val>
            <c:numRef>
              <c:f>'B.4 Tunga lastbilar'!$R$37:$R$72</c:f>
              <c:numCache>
                <c:formatCode>0.0</c:formatCode>
                <c:ptCount val="36"/>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pt idx="28">
                  <c:v>25.098039215686274</c:v>
                </c:pt>
                <c:pt idx="29">
                  <c:v>17.871485943775099</c:v>
                </c:pt>
                <c:pt idx="30">
                  <c:v>17.180616740088105</c:v>
                </c:pt>
                <c:pt idx="31">
                  <c:v>291.72932330827069</c:v>
                </c:pt>
                <c:pt idx="32">
                  <c:v>-60.405156537753221</c:v>
                </c:pt>
                <c:pt idx="33">
                  <c:v>-38.582677165354326</c:v>
                </c:pt>
                <c:pt idx="34">
                  <c:v>-24.347826086956523</c:v>
                </c:pt>
                <c:pt idx="35">
                  <c:v>-21.035598705501616</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2538752"/>
        <c:axId val="132540288"/>
        <c:extLst/>
      </c:barChart>
      <c:catAx>
        <c:axId val="13253875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540288"/>
        <c:crosses val="autoZero"/>
        <c:auto val="1"/>
        <c:lblAlgn val="ctr"/>
        <c:lblOffset val="100"/>
        <c:noMultiLvlLbl val="0"/>
      </c:catAx>
      <c:valAx>
        <c:axId val="13254028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253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Personbilar'!$Q$37:$Q$72</c:f>
              <c:strCache>
                <c:ptCount val="36"/>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pt idx="34">
                  <c:v>Nov-23</c:v>
                </c:pt>
                <c:pt idx="35">
                  <c:v>Dec-23</c:v>
                </c:pt>
              </c:strCache>
            </c:strRef>
          </c:cat>
          <c:val>
            <c:numRef>
              <c:f>'A. Personbilar'!$R$37:$R$72</c:f>
              <c:numCache>
                <c:formatCode>#\ ##0.0</c:formatCode>
                <c:ptCount val="36"/>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pt idx="29">
                  <c:v>8.4138301134621294</c:v>
                </c:pt>
                <c:pt idx="30">
                  <c:v>-2.9942805876415837</c:v>
                </c:pt>
                <c:pt idx="31">
                  <c:v>16.013802488335926</c:v>
                </c:pt>
                <c:pt idx="32">
                  <c:v>27.607946298984036</c:v>
                </c:pt>
                <c:pt idx="33">
                  <c:v>11.76339185989367</c:v>
                </c:pt>
                <c:pt idx="34">
                  <c:v>-0.71127090823823669</c:v>
                </c:pt>
                <c:pt idx="35">
                  <c:v>-17.482241515390687</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3284992"/>
        <c:axId val="113286528"/>
        <c:extLst/>
      </c:barChart>
      <c:catAx>
        <c:axId val="11328499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3286528"/>
        <c:crosses val="autoZero"/>
        <c:auto val="1"/>
        <c:lblAlgn val="ctr"/>
        <c:lblOffset val="100"/>
        <c:noMultiLvlLbl val="0"/>
      </c:catAx>
      <c:valAx>
        <c:axId val="113286528"/>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328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Laddhybrid</c:v>
                </c:pt>
                <c:pt idx="2">
                  <c:v>Bensin</c:v>
                </c:pt>
                <c:pt idx="3">
                  <c:v>Elhybrid</c:v>
                </c:pt>
                <c:pt idx="4">
                  <c:v>Diesel</c:v>
                </c:pt>
                <c:pt idx="5">
                  <c:v>Etanol</c:v>
                </c:pt>
                <c:pt idx="6">
                  <c:v>Gas</c:v>
                </c:pt>
              </c:strCache>
            </c:strRef>
          </c:cat>
          <c:val>
            <c:numRef>
              <c:f>'A.4 Drivmedel PB'!$M$32:$M$38</c:f>
              <c:numCache>
                <c:formatCode>0.0</c:formatCode>
                <c:ptCount val="7"/>
                <c:pt idx="0">
                  <c:v>38.705055840367322</c:v>
                </c:pt>
                <c:pt idx="1">
                  <c:v>21.065368615469595</c:v>
                </c:pt>
                <c:pt idx="2">
                  <c:v>21.588731810884987</c:v>
                </c:pt>
                <c:pt idx="3">
                  <c:v>8.0800234753939897</c:v>
                </c:pt>
                <c:pt idx="4">
                  <c:v>8.2219115184782421</c:v>
                </c:pt>
                <c:pt idx="5">
                  <c:v>1.6270519393092022</c:v>
                </c:pt>
                <c:pt idx="6">
                  <c:v>0.71151157371446327</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pt idx="5">
                  <c:v>59.2</c:v>
                </c:pt>
                <c:pt idx="6">
                  <c:v>59.9</c:v>
                </c:pt>
                <c:pt idx="7">
                  <c:v>60.1</c:v>
                </c:pt>
                <c:pt idx="8">
                  <c:v>63.4</c:v>
                </c:pt>
                <c:pt idx="9">
                  <c:v>60.6</c:v>
                </c:pt>
                <c:pt idx="10">
                  <c:v>60.5</c:v>
                </c:pt>
                <c:pt idx="11">
                  <c:v>63.1</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2720512"/>
        <c:axId val="2722048"/>
        <c:extLst/>
      </c:barChart>
      <c:catAx>
        <c:axId val="272051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2722048"/>
        <c:crosses val="autoZero"/>
        <c:auto val="1"/>
        <c:lblAlgn val="ctr"/>
        <c:lblOffset val="100"/>
        <c:noMultiLvlLbl val="0"/>
      </c:catAx>
      <c:valAx>
        <c:axId val="27220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2720512"/>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4203</c:v>
                </c:pt>
                <c:pt idx="1">
                  <c:v>6124</c:v>
                </c:pt>
                <c:pt idx="2">
                  <c:v>12577</c:v>
                </c:pt>
                <c:pt idx="3">
                  <c:v>6928</c:v>
                </c:pt>
                <c:pt idx="4">
                  <c:v>11657</c:v>
                </c:pt>
                <c:pt idx="5">
                  <c:v>10956</c:v>
                </c:pt>
                <c:pt idx="6">
                  <c:v>6487</c:v>
                </c:pt>
                <c:pt idx="7">
                  <c:v>9784</c:v>
                </c:pt>
                <c:pt idx="8">
                  <c:v>12500</c:v>
                </c:pt>
                <c:pt idx="9">
                  <c:v>9408</c:v>
                </c:pt>
                <c:pt idx="10">
                  <c:v>10076</c:v>
                </c:pt>
                <c:pt idx="11">
                  <c:v>11415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652032"/>
        <c:axId val="128653568"/>
        <c:extLst/>
      </c:barChart>
      <c:catAx>
        <c:axId val="12865203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653568"/>
        <c:crosses val="autoZero"/>
        <c:auto val="1"/>
        <c:lblAlgn val="ctr"/>
        <c:lblOffset val="100"/>
        <c:noMultiLvlLbl val="0"/>
      </c:catAx>
      <c:valAx>
        <c:axId val="1286535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652032"/>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3424</c:v>
                </c:pt>
                <c:pt idx="1">
                  <c:v>3842</c:v>
                </c:pt>
                <c:pt idx="2">
                  <c:v>5540</c:v>
                </c:pt>
                <c:pt idx="3">
                  <c:v>4549</c:v>
                </c:pt>
                <c:pt idx="4">
                  <c:v>5975</c:v>
                </c:pt>
                <c:pt idx="5">
                  <c:v>5798</c:v>
                </c:pt>
                <c:pt idx="6">
                  <c:v>3882</c:v>
                </c:pt>
                <c:pt idx="7">
                  <c:v>4557</c:v>
                </c:pt>
                <c:pt idx="8">
                  <c:v>5337</c:v>
                </c:pt>
                <c:pt idx="9">
                  <c:v>5749</c:v>
                </c:pt>
                <c:pt idx="10">
                  <c:v>5307</c:v>
                </c:pt>
                <c:pt idx="11">
                  <c:v>7059</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8756736"/>
        <c:axId val="131547904"/>
        <c:extLst/>
      </c:barChart>
      <c:catAx>
        <c:axId val="1287567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547904"/>
        <c:crosses val="autoZero"/>
        <c:auto val="1"/>
        <c:lblAlgn val="ctr"/>
        <c:lblOffset val="100"/>
        <c:noMultiLvlLbl val="0"/>
      </c:catAx>
      <c:valAx>
        <c:axId val="1315479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875673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pt idx="5">
                  <c:v>4111</c:v>
                </c:pt>
                <c:pt idx="6">
                  <c:v>2010</c:v>
                </c:pt>
                <c:pt idx="7">
                  <c:v>4044</c:v>
                </c:pt>
                <c:pt idx="8">
                  <c:v>4477</c:v>
                </c:pt>
                <c:pt idx="9">
                  <c:v>4199</c:v>
                </c:pt>
                <c:pt idx="10">
                  <c:v>3850</c:v>
                </c:pt>
                <c:pt idx="11">
                  <c:v>4897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2131456"/>
        <c:axId val="132149632"/>
        <c:extLst/>
      </c:barChart>
      <c:catAx>
        <c:axId val="13213145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149632"/>
        <c:crosses val="autoZero"/>
        <c:auto val="1"/>
        <c:lblAlgn val="ctr"/>
        <c:lblOffset val="100"/>
        <c:noMultiLvlLbl val="0"/>
      </c:catAx>
      <c:valAx>
        <c:axId val="13214963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13145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lastbilar'!$Q$37:$Q$72</c:f>
              <c:strCache>
                <c:ptCount val="36"/>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pt idx="33">
                  <c:v>Okt-23</c:v>
                </c:pt>
                <c:pt idx="34">
                  <c:v>Nov-23</c:v>
                </c:pt>
                <c:pt idx="35">
                  <c:v>Dec-23</c:v>
                </c:pt>
              </c:strCache>
            </c:strRef>
          </c:cat>
          <c:val>
            <c:numRef>
              <c:f>'B.1 Lätta lastbilar'!$R$37:$R$72</c:f>
              <c:numCache>
                <c:formatCode>0.0</c:formatCode>
                <c:ptCount val="36"/>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pt idx="29">
                  <c:v>57.811900191938584</c:v>
                </c:pt>
                <c:pt idx="30">
                  <c:v>31.115459882583167</c:v>
                </c:pt>
                <c:pt idx="31">
                  <c:v>31.941272430668842</c:v>
                </c:pt>
                <c:pt idx="32">
                  <c:v>36.660561660561655</c:v>
                </c:pt>
                <c:pt idx="33">
                  <c:v>63.258164852255049</c:v>
                </c:pt>
                <c:pt idx="34" formatCode="General">
                  <c:v>14.345114345114347</c:v>
                </c:pt>
                <c:pt idx="35" formatCode="General">
                  <c:v>20.853899308983216</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28489728"/>
        <c:axId val="128495616"/>
        <c:extLst/>
      </c:barChart>
      <c:catAx>
        <c:axId val="128489728"/>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495616"/>
        <c:crosses val="autoZero"/>
        <c:auto val="1"/>
        <c:lblAlgn val="ctr"/>
        <c:lblOffset val="100"/>
        <c:noMultiLvlLbl val="0"/>
      </c:catAx>
      <c:valAx>
        <c:axId val="128495616"/>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28489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pt idx="4">
                  <c:v>638</c:v>
                </c:pt>
                <c:pt idx="5">
                  <c:v>587</c:v>
                </c:pt>
                <c:pt idx="6">
                  <c:v>266</c:v>
                </c:pt>
                <c:pt idx="7">
                  <c:v>1563</c:v>
                </c:pt>
                <c:pt idx="8">
                  <c:v>215</c:v>
                </c:pt>
                <c:pt idx="9">
                  <c:v>312</c:v>
                </c:pt>
                <c:pt idx="10">
                  <c:v>435</c:v>
                </c:pt>
                <c:pt idx="11">
                  <c:v>488</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29184512"/>
        <c:axId val="129186048"/>
        <c:extLst/>
      </c:barChart>
      <c:catAx>
        <c:axId val="12918451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186048"/>
        <c:crosses val="autoZero"/>
        <c:auto val="1"/>
        <c:lblAlgn val="ctr"/>
        <c:lblOffset val="100"/>
        <c:noMultiLvlLbl val="0"/>
      </c:catAx>
      <c:valAx>
        <c:axId val="12918604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29184512"/>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0.75019</cdr:x>
      <cdr:y>0.93505</cdr:y>
    </cdr:from>
    <cdr:to>
      <cdr:x>0.98489</cdr:x>
      <cdr:y>1</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6616701" y="5385888"/>
          <a:ext cx="2070030" cy="374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0.74875</cdr:x>
      <cdr:y>0.93505</cdr:y>
    </cdr:from>
    <cdr:to>
      <cdr:x>0.98489</cdr:x>
      <cdr:y>0.97896</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6604001" y="5385888"/>
          <a:ext cx="2082730" cy="2529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0.7581</cdr:x>
      <cdr:y>0.93266</cdr:y>
    </cdr:from>
    <cdr:to>
      <cdr:x>1</cdr:x>
      <cdr:y>0.97543</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6686470" y="5372100"/>
          <a:ext cx="2133530" cy="246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352660</xdr:colOff>
      <xdr:row>2</xdr:row>
      <xdr:rowOff>10406</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6200"/>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0.77611</cdr:x>
      <cdr:y>0.93505</cdr:y>
    </cdr:from>
    <cdr:to>
      <cdr:x>0.98489</cdr:x>
      <cdr:y>0.97185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6845301" y="5217579"/>
          <a:ext cx="1841430" cy="205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0.79858</cdr:x>
      <cdr:y>0.93725</cdr:y>
    </cdr:from>
    <cdr:to>
      <cdr:x>1</cdr:x>
      <cdr:y>0.98337</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043485" y="5398588"/>
          <a:ext cx="1776515" cy="2656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0.76655</cdr:x>
      <cdr:y>0.93505</cdr:y>
    </cdr:from>
    <cdr:to>
      <cdr:x>1</cdr:x>
      <cdr:y>0.9893</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6748087" y="5385888"/>
          <a:ext cx="2055091" cy="3124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dec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290.634489930555" createdVersion="6" refreshedVersion="4" minRefreshableVersion="3" recordCount="56" xr:uid="{00000000-000A-0000-FFFF-FFFF05000000}">
  <cacheSource type="external" connectionId="5"/>
  <cacheFields count="14">
    <cacheField name="gaNamn" numFmtId="0">
      <sharedItems count="41">
        <s v="Astara"/>
        <s v="BC Sweden"/>
        <s v="BMW Northern Europe"/>
        <s v="General Motors Sweden"/>
        <s v="Hedin Mobility Group"/>
        <s v="Honda Nordic"/>
        <s v="Hyundai Bilar Import"/>
        <s v="IM Nordic"/>
        <s v="Iveco"/>
        <s v="KIA Sweden"/>
        <s v="KW Bruun Autoimport"/>
        <s v="KW Bruun MMC"/>
        <s v="LEVC"/>
        <s v="Lotus Cars Sweden"/>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KIA Motors Sweden" u="1"/>
        <s v="Subaru Nordic" u="1"/>
        <s v="SC Motors Sweden" u="1"/>
        <s v="NEVS" u="1"/>
        <s v="Tesla" u="1"/>
        <s v="RN Nordic" u="1"/>
        <s v="Hedin Electric Mobility" u="1"/>
        <s v="Hedin MG Sweden" u="1"/>
        <s v="Hedin Motor Company" u="1"/>
        <s v="FCA Sweden" u="1"/>
        <s v="General Motors Mobility" u="1"/>
        <s v="Renault Nordic Sverige" u="1"/>
      </sharedItems>
    </cacheField>
    <cacheField name="modell" numFmtId="0">
      <sharedItems count="55">
        <s v="Alfa Romeo"/>
        <s v="Fiat"/>
        <s v="Jeep"/>
        <s v="Jaguar"/>
        <s v="Land Rover"/>
        <s v="BMW"/>
        <s v="Mini"/>
        <s v="Cadillac"/>
        <s v="Övriga"/>
        <s v="Alpine"/>
        <s v="BYD"/>
        <s v="Dacia"/>
        <s v="Ford"/>
        <s v="Hongqi"/>
        <s v="Ineos"/>
        <s v="MG"/>
        <s v="Renault"/>
        <s v="Honda"/>
        <s v="Hyundai"/>
        <s v="ORA"/>
        <s v="Subaru"/>
        <s v="Iveco"/>
        <s v="Kia"/>
        <s v="Citroen"/>
        <s v="DS"/>
        <s v="Opel"/>
        <s v="Peugeot"/>
        <s v="Mitsubishi"/>
        <s v="LEVC"/>
        <s v="Suzuki"/>
        <s v="Lynk &amp; Co"/>
        <s v="Mazda"/>
        <s v="Mercedes"/>
        <s v="Mercedes AMG"/>
        <s v="Smart"/>
        <s v="Nio"/>
        <s v="Nissan"/>
        <s v="Polestar"/>
        <s v="JAC"/>
        <s v="Maxus"/>
        <s v="SsangYong"/>
        <s v="Tesla"/>
        <s v="Lexus"/>
        <s v="Toyota"/>
        <s v="Audi"/>
        <s v="CUPRA"/>
        <s v="Porsche"/>
        <s v="Seat"/>
        <s v="Skoda"/>
        <s v="Volkswagen"/>
        <s v="Volvo"/>
        <s v="Xpeng"/>
        <s v="MAN"/>
        <s v="NEVS" u="1"/>
        <s v="Polestar 2" u="1"/>
      </sharedItems>
    </cacheField>
    <cacheField name="antalPerioden" numFmtId="0">
      <sharedItems containsSemiMixedTypes="0" containsString="0" containsNumber="1" containsInteger="1" minValue="0" maxValue="6091"/>
    </cacheField>
    <cacheField name="antalFGPeriod" numFmtId="0">
      <sharedItems containsSemiMixedTypes="0" containsString="0" containsNumber="1" containsInteger="1" minValue="0" maxValue="8804"/>
    </cacheField>
    <cacheField name="antalÅret" numFmtId="0">
      <sharedItems containsSemiMixedTypes="0" containsString="0" containsNumber="1" containsInteger="1" minValue="0" maxValue="41308"/>
    </cacheField>
    <cacheField name="antalFGAr" numFmtId="0">
      <sharedItems containsSemiMixedTypes="0" containsString="0" containsNumber="1" containsInteger="1" minValue="0" maxValue="45899"/>
    </cacheField>
    <cacheField name="changePeriod" numFmtId="0">
      <sharedItems containsSemiMixedTypes="0" containsString="0" containsNumber="1" minValue="-100" maxValue="95.68"/>
    </cacheField>
    <cacheField name="changeAret" numFmtId="0">
      <sharedItems containsSemiMixedTypes="0" containsString="0" containsNumber="1" minValue="-100" maxValue="2250"/>
    </cacheField>
    <cacheField name="shrPeriod" numFmtId="0">
      <sharedItems containsSemiMixedTypes="0" containsString="0" containsNumber="1" minValue="0" maxValue="20.81"/>
    </cacheField>
    <cacheField name="shrYear" numFmtId="0">
      <sharedItems containsSemiMixedTypes="0" containsString="0" containsNumber="1" minValue="0" maxValue="14.26"/>
    </cacheField>
    <cacheField name="shrPrevPeriod" numFmtId="0">
      <sharedItems containsSemiMixedTypes="0" containsString="0" containsNumber="1" minValue="0" maxValue="24.82"/>
    </cacheField>
    <cacheField name="shrPrevYear" numFmtId="0">
      <sharedItems containsSemiMixedTypes="0" containsString="0" containsNumber="1" minValue="0" maxValue="15.93"/>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90.634490856479" createdVersion="6" refreshedVersion="4" minRefreshableVersion="3" recordCount="16" xr:uid="{00000000-000A-0000-FFFF-FFFF07000000}">
  <cacheSource type="external" connectionId="16"/>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1" maxValue="89" count="13">
        <n v="1"/>
        <n v="5"/>
        <n v="2"/>
        <n v="16"/>
        <n v="10"/>
        <n v="6"/>
        <n v="3"/>
        <n v="7"/>
        <n v="37"/>
        <n v="57"/>
        <n v="8"/>
        <n v="86"/>
        <n v="89"/>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4" count="5">
        <n v="0"/>
        <n v="3"/>
        <n v="1"/>
        <n v="2"/>
        <n v="4"/>
      </sharedItems>
    </cacheField>
    <cacheField name="Aug" numFmtId="0">
      <sharedItems containsSemiMixedTypes="0" containsString="0" containsNumber="1" containsInteger="1" minValue="0" maxValue="9" count="6">
        <n v="0"/>
        <n v="3"/>
        <n v="1"/>
        <n v="8"/>
        <n v="5"/>
        <n v="9"/>
      </sharedItems>
    </cacheField>
    <cacheField name="Sep" numFmtId="0">
      <sharedItems containsSemiMixedTypes="0" containsString="0" containsNumber="1" containsInteger="1" minValue="0" maxValue="3" count="4">
        <n v="0"/>
        <n v="1"/>
        <n v="3"/>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7">
        <n v="0"/>
        <n v="1"/>
        <n v="6"/>
        <n v="2"/>
        <n v="4"/>
        <n v="3"/>
        <n v="11"/>
      </sharedItems>
    </cacheField>
    <cacheField name="Dec" numFmtId="0">
      <sharedItems containsSemiMixedTypes="0" containsString="0" containsNumber="1" containsInteger="1" minValue="0" maxValue="14" count="7">
        <n v="0"/>
        <n v="1"/>
        <n v="2"/>
        <n v="5"/>
        <n v="8"/>
        <n v="3"/>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90.634495138889" createdVersion="6" refreshedVersion="4" minRefreshableVersion="3" recordCount="4" xr:uid="{00000000-000A-0000-FFFF-FFFF09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18" maxValue="4897" count="4">
        <n v="4897"/>
        <n v="18"/>
        <n v="24"/>
        <n v="488"/>
      </sharedItems>
    </cacheField>
    <cacheField name="antalPeriodenFG" numFmtId="0">
      <sharedItems containsSemiMixedTypes="0" containsString="0" containsNumber="1" containsInteger="1" minValue="30" maxValue="4052" count="4">
        <n v="4052"/>
        <n v="30"/>
        <n v="34"/>
        <n v="618"/>
      </sharedItems>
    </cacheField>
    <cacheField name="antalAret" numFmtId="0">
      <sharedItems containsSemiMixedTypes="0" containsString="0" containsNumber="1" containsInteger="1" minValue="238" maxValue="43703" count="4">
        <n v="43703"/>
        <n v="238"/>
        <n v="322"/>
        <n v="6620"/>
      </sharedItems>
    </cacheField>
    <cacheField name="antalAretFG" numFmtId="0">
      <sharedItems containsSemiMixedTypes="0" containsString="0" containsNumber="1" containsInteger="1" minValue="204" maxValue="34516" count="4">
        <n v="34516"/>
        <n v="204"/>
        <n v="328"/>
        <n v="5492"/>
      </sharedItems>
    </cacheField>
    <cacheField name="chgPerioden" numFmtId="0">
      <sharedItems containsSemiMixedTypes="0" containsString="0" containsNumber="1" minValue="-40" maxValue="20.9" count="4">
        <n v="20.9"/>
        <n v="-40"/>
        <n v="-29.4"/>
        <n v="-21"/>
      </sharedItems>
    </cacheField>
    <cacheField name="chgAret" numFmtId="0">
      <sharedItems containsSemiMixedTypes="0" containsString="0" containsNumber="1" minValue="-1.8" maxValue="26.6" count="4">
        <n v="26.6"/>
        <n v="16.7"/>
        <n v="-1.8"/>
        <n v="20.5"/>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x v="0"/>
    <x v="0"/>
    <x v="0"/>
    <x v="0"/>
    <x v="0"/>
    <x v="0"/>
    <x v="0"/>
    <x v="0"/>
    <x v="0"/>
    <x v="0"/>
    <x v="0"/>
    <x v="0"/>
    <x v="0"/>
  </r>
  <r>
    <x v="1"/>
    <x v="1"/>
    <x v="1"/>
    <x v="0"/>
    <x v="0"/>
    <x v="0"/>
    <x v="0"/>
    <x v="0"/>
    <x v="0"/>
    <x v="0"/>
    <x v="1"/>
    <x v="1"/>
    <x v="0"/>
    <x v="0"/>
    <x v="0"/>
  </r>
  <r>
    <x v="1"/>
    <x v="0"/>
    <x v="2"/>
    <x v="0"/>
    <x v="1"/>
    <x v="0"/>
    <x v="1"/>
    <x v="1"/>
    <x v="0"/>
    <x v="0"/>
    <x v="0"/>
    <x v="0"/>
    <x v="0"/>
    <x v="0"/>
    <x v="0"/>
  </r>
  <r>
    <x v="2"/>
    <x v="0"/>
    <x v="0"/>
    <x v="0"/>
    <x v="0"/>
    <x v="0"/>
    <x v="0"/>
    <x v="1"/>
    <x v="0"/>
    <x v="0"/>
    <x v="0"/>
    <x v="1"/>
    <x v="0"/>
    <x v="0"/>
    <x v="0"/>
  </r>
  <r>
    <x v="3"/>
    <x v="1"/>
    <x v="3"/>
    <x v="0"/>
    <x v="2"/>
    <x v="0"/>
    <x v="2"/>
    <x v="0"/>
    <x v="0"/>
    <x v="1"/>
    <x v="0"/>
    <x v="1"/>
    <x v="0"/>
    <x v="0"/>
    <x v="1"/>
  </r>
  <r>
    <x v="3"/>
    <x v="0"/>
    <x v="4"/>
    <x v="1"/>
    <x v="0"/>
    <x v="1"/>
    <x v="1"/>
    <x v="0"/>
    <x v="1"/>
    <x v="2"/>
    <x v="0"/>
    <x v="0"/>
    <x v="1"/>
    <x v="0"/>
    <x v="0"/>
  </r>
  <r>
    <x v="4"/>
    <x v="1"/>
    <x v="5"/>
    <x v="0"/>
    <x v="0"/>
    <x v="2"/>
    <x v="3"/>
    <x v="1"/>
    <x v="0"/>
    <x v="0"/>
    <x v="0"/>
    <x v="0"/>
    <x v="0"/>
    <x v="0"/>
    <x v="0"/>
  </r>
  <r>
    <x v="4"/>
    <x v="0"/>
    <x v="6"/>
    <x v="1"/>
    <x v="0"/>
    <x v="0"/>
    <x v="0"/>
    <x v="0"/>
    <x v="0"/>
    <x v="0"/>
    <x v="0"/>
    <x v="1"/>
    <x v="0"/>
    <x v="0"/>
    <x v="0"/>
  </r>
  <r>
    <x v="5"/>
    <x v="1"/>
    <x v="3"/>
    <x v="2"/>
    <x v="3"/>
    <x v="3"/>
    <x v="1"/>
    <x v="2"/>
    <x v="1"/>
    <x v="0"/>
    <x v="2"/>
    <x v="0"/>
    <x v="0"/>
    <x v="1"/>
    <x v="2"/>
  </r>
  <r>
    <x v="5"/>
    <x v="0"/>
    <x v="7"/>
    <x v="0"/>
    <x v="0"/>
    <x v="0"/>
    <x v="1"/>
    <x v="1"/>
    <x v="0"/>
    <x v="0"/>
    <x v="0"/>
    <x v="0"/>
    <x v="0"/>
    <x v="2"/>
    <x v="3"/>
  </r>
  <r>
    <x v="6"/>
    <x v="1"/>
    <x v="8"/>
    <x v="3"/>
    <x v="4"/>
    <x v="4"/>
    <x v="4"/>
    <x v="2"/>
    <x v="0"/>
    <x v="2"/>
    <x v="2"/>
    <x v="1"/>
    <x v="0"/>
    <x v="3"/>
    <x v="0"/>
  </r>
  <r>
    <x v="6"/>
    <x v="0"/>
    <x v="9"/>
    <x v="4"/>
    <x v="5"/>
    <x v="2"/>
    <x v="5"/>
    <x v="3"/>
    <x v="2"/>
    <x v="3"/>
    <x v="3"/>
    <x v="0"/>
    <x v="1"/>
    <x v="4"/>
    <x v="4"/>
  </r>
  <r>
    <x v="7"/>
    <x v="1"/>
    <x v="5"/>
    <x v="0"/>
    <x v="6"/>
    <x v="3"/>
    <x v="6"/>
    <x v="1"/>
    <x v="0"/>
    <x v="0"/>
    <x v="0"/>
    <x v="0"/>
    <x v="0"/>
    <x v="0"/>
    <x v="0"/>
  </r>
  <r>
    <x v="7"/>
    <x v="0"/>
    <x v="10"/>
    <x v="1"/>
    <x v="1"/>
    <x v="3"/>
    <x v="0"/>
    <x v="4"/>
    <x v="0"/>
    <x v="0"/>
    <x v="2"/>
    <x v="0"/>
    <x v="2"/>
    <x v="1"/>
    <x v="1"/>
  </r>
  <r>
    <x v="8"/>
    <x v="1"/>
    <x v="11"/>
    <x v="5"/>
    <x v="7"/>
    <x v="5"/>
    <x v="7"/>
    <x v="3"/>
    <x v="1"/>
    <x v="4"/>
    <x v="4"/>
    <x v="2"/>
    <x v="0"/>
    <x v="5"/>
    <x v="5"/>
  </r>
  <r>
    <x v="8"/>
    <x v="0"/>
    <x v="12"/>
    <x v="5"/>
    <x v="8"/>
    <x v="6"/>
    <x v="8"/>
    <x v="5"/>
    <x v="3"/>
    <x v="1"/>
    <x v="5"/>
    <x v="3"/>
    <x v="3"/>
    <x v="6"/>
    <x v="6"/>
  </r>
</pivotCacheRecords>
</file>

<file path=xl/pivotCache/pivotCacheRecords2.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92" firstHeaderRow="0" firstDataRow="1" firstDataCol="1"/>
  <pivotFields count="14">
    <pivotField axis="axisRow" showAll="0" sortType="ascending">
      <items count="42">
        <item x="0"/>
        <item x="1"/>
        <item m="1" x="28"/>
        <item x="2"/>
        <item m="1" x="38"/>
        <item m="1" x="39"/>
        <item x="3"/>
        <item m="1" x="35"/>
        <item m="1" x="36"/>
        <item x="4"/>
        <item m="1" x="37"/>
        <item x="5"/>
        <item x="6"/>
        <item x="7"/>
        <item x="8"/>
        <item m="1" x="29"/>
        <item x="9"/>
        <item x="10"/>
        <item x="11"/>
        <item x="12"/>
        <item x="13"/>
        <item x="14"/>
        <item x="15"/>
        <item x="16"/>
        <item x="17"/>
        <item m="1" x="32"/>
        <item x="18"/>
        <item x="19"/>
        <item x="20"/>
        <item m="1" x="40"/>
        <item m="1" x="34"/>
        <item x="21"/>
        <item m="1" x="31"/>
        <item m="1" x="30"/>
        <item m="1" x="33"/>
        <item x="22"/>
        <item x="23"/>
        <item x="24"/>
        <item x="25"/>
        <item x="26"/>
        <item x="27"/>
        <item t="default"/>
      </items>
    </pivotField>
    <pivotField axis="axisRow" showAll="0">
      <items count="56">
        <item x="0"/>
        <item x="44"/>
        <item x="5"/>
        <item x="23"/>
        <item x="11"/>
        <item x="24"/>
        <item x="1"/>
        <item x="12"/>
        <item x="17"/>
        <item x="18"/>
        <item x="21"/>
        <item x="3"/>
        <item x="2"/>
        <item x="22"/>
        <item x="4"/>
        <item x="42"/>
        <item x="39"/>
        <item x="31"/>
        <item x="32"/>
        <item x="33"/>
        <item x="6"/>
        <item x="27"/>
        <item m="1" x="53"/>
        <item x="36"/>
        <item x="25"/>
        <item x="26"/>
        <item x="37"/>
        <item x="46"/>
        <item x="16"/>
        <item x="47"/>
        <item x="48"/>
        <item x="34"/>
        <item x="20"/>
        <item x="29"/>
        <item x="41"/>
        <item x="43"/>
        <item x="49"/>
        <item x="50"/>
        <item x="8"/>
        <item x="7"/>
        <item x="30"/>
        <item m="1" x="54"/>
        <item x="9"/>
        <item x="15"/>
        <item x="40"/>
        <item x="28"/>
        <item x="51"/>
        <item x="10"/>
        <item x="19"/>
        <item x="35"/>
        <item x="45"/>
        <item x="13"/>
        <item x="14"/>
        <item x="38"/>
        <item x="52"/>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85">
    <i>
      <x/>
    </i>
    <i r="1">
      <x/>
    </i>
    <i r="1">
      <x v="6"/>
    </i>
    <i r="1">
      <x v="12"/>
    </i>
    <i>
      <x v="1"/>
    </i>
    <i r="1">
      <x v="11"/>
    </i>
    <i r="1">
      <x v="14"/>
    </i>
    <i>
      <x v="3"/>
    </i>
    <i r="1">
      <x v="2"/>
    </i>
    <i r="1">
      <x v="20"/>
    </i>
    <i>
      <x v="6"/>
    </i>
    <i r="1">
      <x v="38"/>
    </i>
    <i r="1">
      <x v="39"/>
    </i>
    <i>
      <x v="9"/>
    </i>
    <i r="1">
      <x v="4"/>
    </i>
    <i r="1">
      <x v="7"/>
    </i>
    <i r="1">
      <x v="28"/>
    </i>
    <i r="1">
      <x v="42"/>
    </i>
    <i r="1">
      <x v="43"/>
    </i>
    <i r="1">
      <x v="47"/>
    </i>
    <i r="1">
      <x v="51"/>
    </i>
    <i r="1">
      <x v="52"/>
    </i>
    <i>
      <x v="11"/>
    </i>
    <i r="1">
      <x v="8"/>
    </i>
    <i>
      <x v="12"/>
    </i>
    <i r="1">
      <x v="9"/>
    </i>
    <i>
      <x v="13"/>
    </i>
    <i r="1">
      <x v="32"/>
    </i>
    <i r="1">
      <x v="48"/>
    </i>
    <i>
      <x v="14"/>
    </i>
    <i r="1">
      <x v="10"/>
    </i>
    <i>
      <x v="16"/>
    </i>
    <i r="1">
      <x v="13"/>
    </i>
    <i>
      <x v="17"/>
    </i>
    <i r="1">
      <x v="3"/>
    </i>
    <i r="1">
      <x v="5"/>
    </i>
    <i r="1">
      <x v="24"/>
    </i>
    <i r="1">
      <x v="25"/>
    </i>
    <i>
      <x v="18"/>
    </i>
    <i r="1">
      <x v="21"/>
    </i>
    <i>
      <x v="19"/>
    </i>
    <i r="1">
      <x v="45"/>
    </i>
    <i>
      <x v="20"/>
    </i>
    <i r="1">
      <x v="38"/>
    </i>
    <i>
      <x v="21"/>
    </i>
    <i r="1">
      <x v="33"/>
    </i>
    <i>
      <x v="22"/>
    </i>
    <i r="1">
      <x v="40"/>
    </i>
    <i>
      <x v="23"/>
    </i>
    <i r="1">
      <x v="17"/>
    </i>
    <i>
      <x v="24"/>
    </i>
    <i r="1">
      <x v="18"/>
    </i>
    <i r="1">
      <x v="19"/>
    </i>
    <i r="1">
      <x v="31"/>
    </i>
    <i>
      <x v="26"/>
    </i>
    <i r="1">
      <x v="49"/>
    </i>
    <i>
      <x v="27"/>
    </i>
    <i r="1">
      <x v="23"/>
    </i>
    <i>
      <x v="28"/>
    </i>
    <i r="1">
      <x v="26"/>
    </i>
    <i>
      <x v="31"/>
    </i>
    <i r="1">
      <x v="16"/>
    </i>
    <i r="1">
      <x v="44"/>
    </i>
    <i r="1">
      <x v="53"/>
    </i>
    <i>
      <x v="35"/>
    </i>
    <i r="1">
      <x v="34"/>
    </i>
    <i>
      <x v="36"/>
    </i>
    <i r="1">
      <x v="15"/>
    </i>
    <i r="1">
      <x v="35"/>
    </i>
    <i>
      <x v="37"/>
    </i>
    <i r="1">
      <x v="1"/>
    </i>
    <i r="1">
      <x v="27"/>
    </i>
    <i r="1">
      <x v="29"/>
    </i>
    <i r="1">
      <x v="30"/>
    </i>
    <i r="1">
      <x v="36"/>
    </i>
    <i r="1">
      <x v="50"/>
    </i>
    <i>
      <x v="38"/>
    </i>
    <i r="1">
      <x v="26"/>
    </i>
    <i r="1">
      <x v="37"/>
    </i>
    <i>
      <x v="39"/>
    </i>
    <i r="1">
      <x v="46"/>
    </i>
    <i>
      <x v="40"/>
    </i>
    <i r="1">
      <x v="38"/>
    </i>
    <i r="1">
      <x v="54"/>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4">
      <pivotArea type="all" dataOnly="0" outline="0" fieldPosition="0"/>
    </format>
    <format dxfId="433">
      <pivotArea outline="0" collapsedLevelsAreSubtotals="1" fieldPosition="0"/>
    </format>
    <format dxfId="432">
      <pivotArea field="0" type="button" dataOnly="0" labelOnly="1" outline="0" axis="axisRow" fieldPosition="0"/>
    </format>
    <format dxfId="431">
      <pivotArea dataOnly="0" labelOnly="1" fieldPosition="0">
        <references count="1">
          <reference field="0" count="0"/>
        </references>
      </pivotArea>
    </format>
    <format dxfId="430">
      <pivotArea dataOnly="0" labelOnly="1" grandRow="1" outline="0" fieldPosition="0"/>
    </format>
    <format dxfId="429">
      <pivotArea dataOnly="0" labelOnly="1" fieldPosition="0">
        <references count="2">
          <reference field="0" count="1" selected="0">
            <x v="1"/>
          </reference>
          <reference field="1" count="2">
            <x v="11"/>
            <x v="14"/>
          </reference>
        </references>
      </pivotArea>
    </format>
    <format dxfId="428">
      <pivotArea dataOnly="0" labelOnly="1" fieldPosition="0">
        <references count="2">
          <reference field="0" count="1" selected="0">
            <x v="2"/>
          </reference>
          <reference field="1" count="3">
            <x v="0"/>
            <x v="6"/>
            <x v="12"/>
          </reference>
        </references>
      </pivotArea>
    </format>
    <format dxfId="427">
      <pivotArea dataOnly="0" labelOnly="1" fieldPosition="0">
        <references count="2">
          <reference field="0" count="1" selected="0">
            <x v="3"/>
          </reference>
          <reference field="1" count="2">
            <x v="2"/>
            <x v="20"/>
          </reference>
        </references>
      </pivotArea>
    </format>
    <format dxfId="426">
      <pivotArea dataOnly="0" labelOnly="1" fieldPosition="0">
        <references count="2">
          <reference field="0" count="1" selected="0">
            <x v="5"/>
          </reference>
          <reference field="1" count="1">
            <x v="39"/>
          </reference>
        </references>
      </pivotArea>
    </format>
    <format dxfId="425">
      <pivotArea dataOnly="0" labelOnly="1" fieldPosition="0">
        <references count="2">
          <reference field="0" count="1" selected="0">
            <x v="8"/>
          </reference>
          <reference field="1" count="1">
            <x v="43"/>
          </reference>
        </references>
      </pivotArea>
    </format>
    <format dxfId="424">
      <pivotArea dataOnly="0" labelOnly="1" fieldPosition="0">
        <references count="2">
          <reference field="0" count="1" selected="0">
            <x v="10"/>
          </reference>
          <reference field="1" count="1">
            <x v="7"/>
          </reference>
        </references>
      </pivotArea>
    </format>
    <format dxfId="423">
      <pivotArea dataOnly="0" labelOnly="1" fieldPosition="0">
        <references count="2">
          <reference field="0" count="1" selected="0">
            <x v="11"/>
          </reference>
          <reference field="1" count="1">
            <x v="8"/>
          </reference>
        </references>
      </pivotArea>
    </format>
    <format dxfId="422">
      <pivotArea dataOnly="0" labelOnly="1" fieldPosition="0">
        <references count="2">
          <reference field="0" count="1" selected="0">
            <x v="12"/>
          </reference>
          <reference field="1" count="1">
            <x v="9"/>
          </reference>
        </references>
      </pivotArea>
    </format>
    <format dxfId="421">
      <pivotArea dataOnly="0" labelOnly="1" fieldPosition="0">
        <references count="2">
          <reference field="0" count="1" selected="0">
            <x v="14"/>
          </reference>
          <reference field="1" count="1">
            <x v="10"/>
          </reference>
        </references>
      </pivotArea>
    </format>
    <format dxfId="420">
      <pivotArea dataOnly="0" labelOnly="1" fieldPosition="0">
        <references count="2">
          <reference field="0" count="1" selected="0">
            <x v="15"/>
          </reference>
          <reference field="1" count="1">
            <x v="13"/>
          </reference>
        </references>
      </pivotArea>
    </format>
    <format dxfId="419">
      <pivotArea dataOnly="0" labelOnly="1" fieldPosition="0">
        <references count="2">
          <reference field="0" count="1" selected="0">
            <x v="17"/>
          </reference>
          <reference field="1" count="4">
            <x v="3"/>
            <x v="5"/>
            <x v="24"/>
            <x v="25"/>
          </reference>
        </references>
      </pivotArea>
    </format>
    <format dxfId="418">
      <pivotArea dataOnly="0" labelOnly="1" fieldPosition="0">
        <references count="2">
          <reference field="0" count="1" selected="0">
            <x v="18"/>
          </reference>
          <reference field="1" count="1">
            <x v="21"/>
          </reference>
        </references>
      </pivotArea>
    </format>
    <format dxfId="417">
      <pivotArea dataOnly="0" labelOnly="1" fieldPosition="0">
        <references count="2">
          <reference field="0" count="1" selected="0">
            <x v="21"/>
          </reference>
          <reference field="1" count="1">
            <x v="33"/>
          </reference>
        </references>
      </pivotArea>
    </format>
    <format dxfId="416">
      <pivotArea dataOnly="0" labelOnly="1" fieldPosition="0">
        <references count="2">
          <reference field="0" count="1" selected="0">
            <x v="22"/>
          </reference>
          <reference field="1" count="1">
            <x v="40"/>
          </reference>
        </references>
      </pivotArea>
    </format>
    <format dxfId="415">
      <pivotArea dataOnly="0" labelOnly="1" fieldPosition="0">
        <references count="2">
          <reference field="0" count="1" selected="0">
            <x v="23"/>
          </reference>
          <reference field="1" count="1">
            <x v="17"/>
          </reference>
        </references>
      </pivotArea>
    </format>
    <format dxfId="414">
      <pivotArea dataOnly="0" labelOnly="1" fieldPosition="0">
        <references count="2">
          <reference field="0" count="1" selected="0">
            <x v="24"/>
          </reference>
          <reference field="1" count="2">
            <x v="18"/>
            <x v="19"/>
          </reference>
        </references>
      </pivotArea>
    </format>
    <format dxfId="413">
      <pivotArea dataOnly="0" labelOnly="1" fieldPosition="0">
        <references count="2">
          <reference field="0" count="1" selected="0">
            <x v="25"/>
          </reference>
          <reference field="1" count="1">
            <x v="22"/>
          </reference>
        </references>
      </pivotArea>
    </format>
    <format dxfId="412">
      <pivotArea dataOnly="0" labelOnly="1" fieldPosition="0">
        <references count="2">
          <reference field="0" count="1" selected="0">
            <x v="27"/>
          </reference>
          <reference field="1" count="1">
            <x v="23"/>
          </reference>
        </references>
      </pivotArea>
    </format>
    <format dxfId="411">
      <pivotArea dataOnly="0" labelOnly="1" fieldPosition="0">
        <references count="2">
          <reference field="0" count="1" selected="0">
            <x v="28"/>
          </reference>
          <reference field="1" count="1">
            <x v="26"/>
          </reference>
        </references>
      </pivotArea>
    </format>
    <format dxfId="410">
      <pivotArea dataOnly="0" labelOnly="1" fieldPosition="0">
        <references count="2">
          <reference field="0" count="1" selected="0">
            <x v="29"/>
          </reference>
          <reference field="1" count="3">
            <x v="4"/>
            <x v="28"/>
            <x v="42"/>
          </reference>
        </references>
      </pivotArea>
    </format>
    <format dxfId="409">
      <pivotArea dataOnly="0" labelOnly="1" fieldPosition="0">
        <references count="2">
          <reference field="0" count="1" selected="0">
            <x v="31"/>
          </reference>
          <reference field="1" count="1">
            <x v="16"/>
          </reference>
        </references>
      </pivotArea>
    </format>
    <format dxfId="408">
      <pivotArea dataOnly="0" labelOnly="1" fieldPosition="0">
        <references count="2">
          <reference field="0" count="1" selected="0">
            <x v="33"/>
          </reference>
          <reference field="1" count="1">
            <x v="32"/>
          </reference>
        </references>
      </pivotArea>
    </format>
    <format dxfId="407">
      <pivotArea dataOnly="0" labelOnly="1" fieldPosition="0">
        <references count="2">
          <reference field="0" count="1" selected="0">
            <x v="35"/>
          </reference>
          <reference field="1" count="1">
            <x v="34"/>
          </reference>
        </references>
      </pivotArea>
    </format>
    <format dxfId="406">
      <pivotArea dataOnly="0" labelOnly="1" fieldPosition="0">
        <references count="2">
          <reference field="0" count="1" selected="0">
            <x v="36"/>
          </reference>
          <reference field="1" count="2">
            <x v="15"/>
            <x v="35"/>
          </reference>
        </references>
      </pivotArea>
    </format>
    <format dxfId="405">
      <pivotArea dataOnly="0" labelOnly="1" fieldPosition="0">
        <references count="2">
          <reference field="0" count="1" selected="0">
            <x v="37"/>
          </reference>
          <reference field="1" count="5">
            <x v="1"/>
            <x v="27"/>
            <x v="29"/>
            <x v="30"/>
            <x v="36"/>
          </reference>
        </references>
      </pivotArea>
    </format>
    <format dxfId="404">
      <pivotArea dataOnly="0" labelOnly="1" fieldPosition="0">
        <references count="2">
          <reference field="0" count="1" selected="0">
            <x v="38"/>
          </reference>
          <reference field="1" count="2">
            <x v="26"/>
            <x v="37"/>
          </reference>
        </references>
      </pivotArea>
    </format>
    <format dxfId="403">
      <pivotArea dataOnly="0" labelOnly="1" fieldPosition="0">
        <references count="2">
          <reference field="0" count="1" selected="0">
            <x v="40"/>
          </reference>
          <reference field="1" count="1">
            <x v="38"/>
          </reference>
        </references>
      </pivotArea>
    </format>
    <format dxfId="402">
      <pivotArea dataOnly="0" labelOnly="1" outline="0" fieldPosition="0">
        <references count="1">
          <reference field="4294967294" count="8">
            <x v="0"/>
            <x v="1"/>
            <x v="2"/>
            <x v="3"/>
            <x v="4"/>
            <x v="5"/>
            <x v="6"/>
            <x v="7"/>
          </reference>
        </references>
      </pivotArea>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fieldPosition="0">
        <references count="2">
          <reference field="0" count="1" selected="0">
            <x v="1"/>
          </reference>
          <reference field="1" count="2">
            <x v="11"/>
            <x v="14"/>
          </reference>
        </references>
      </pivotArea>
    </format>
    <format dxfId="395">
      <pivotArea dataOnly="0" labelOnly="1" fieldPosition="0">
        <references count="2">
          <reference field="0" count="1" selected="0">
            <x v="2"/>
          </reference>
          <reference field="1" count="3">
            <x v="0"/>
            <x v="6"/>
            <x v="12"/>
          </reference>
        </references>
      </pivotArea>
    </format>
    <format dxfId="394">
      <pivotArea dataOnly="0" labelOnly="1" fieldPosition="0">
        <references count="2">
          <reference field="0" count="1" selected="0">
            <x v="3"/>
          </reference>
          <reference field="1" count="2">
            <x v="2"/>
            <x v="20"/>
          </reference>
        </references>
      </pivotArea>
    </format>
    <format dxfId="393">
      <pivotArea dataOnly="0" labelOnly="1" fieldPosition="0">
        <references count="2">
          <reference field="0" count="1" selected="0">
            <x v="5"/>
          </reference>
          <reference field="1" count="1">
            <x v="39"/>
          </reference>
        </references>
      </pivotArea>
    </format>
    <format dxfId="392">
      <pivotArea dataOnly="0" labelOnly="1" fieldPosition="0">
        <references count="2">
          <reference field="0" count="1" selected="0">
            <x v="8"/>
          </reference>
          <reference field="1" count="1">
            <x v="43"/>
          </reference>
        </references>
      </pivotArea>
    </format>
    <format dxfId="391">
      <pivotArea dataOnly="0" labelOnly="1" fieldPosition="0">
        <references count="2">
          <reference field="0" count="1" selected="0">
            <x v="10"/>
          </reference>
          <reference field="1" count="1">
            <x v="7"/>
          </reference>
        </references>
      </pivotArea>
    </format>
    <format dxfId="390">
      <pivotArea dataOnly="0" labelOnly="1" fieldPosition="0">
        <references count="2">
          <reference field="0" count="1" selected="0">
            <x v="11"/>
          </reference>
          <reference field="1" count="1">
            <x v="8"/>
          </reference>
        </references>
      </pivotArea>
    </format>
    <format dxfId="389">
      <pivotArea dataOnly="0" labelOnly="1" fieldPosition="0">
        <references count="2">
          <reference field="0" count="1" selected="0">
            <x v="12"/>
          </reference>
          <reference field="1" count="1">
            <x v="9"/>
          </reference>
        </references>
      </pivotArea>
    </format>
    <format dxfId="388">
      <pivotArea dataOnly="0" labelOnly="1" fieldPosition="0">
        <references count="2">
          <reference field="0" count="1" selected="0">
            <x v="14"/>
          </reference>
          <reference field="1" count="1">
            <x v="10"/>
          </reference>
        </references>
      </pivotArea>
    </format>
    <format dxfId="387">
      <pivotArea dataOnly="0" labelOnly="1" fieldPosition="0">
        <references count="2">
          <reference field="0" count="1" selected="0">
            <x v="15"/>
          </reference>
          <reference field="1" count="1">
            <x v="13"/>
          </reference>
        </references>
      </pivotArea>
    </format>
    <format dxfId="386">
      <pivotArea dataOnly="0" labelOnly="1" fieldPosition="0">
        <references count="2">
          <reference field="0" count="1" selected="0">
            <x v="17"/>
          </reference>
          <reference field="1" count="4">
            <x v="3"/>
            <x v="5"/>
            <x v="24"/>
            <x v="25"/>
          </reference>
        </references>
      </pivotArea>
    </format>
    <format dxfId="385">
      <pivotArea dataOnly="0" labelOnly="1" fieldPosition="0">
        <references count="2">
          <reference field="0" count="1" selected="0">
            <x v="18"/>
          </reference>
          <reference field="1" count="1">
            <x v="21"/>
          </reference>
        </references>
      </pivotArea>
    </format>
    <format dxfId="384">
      <pivotArea dataOnly="0" labelOnly="1" fieldPosition="0">
        <references count="2">
          <reference field="0" count="1" selected="0">
            <x v="21"/>
          </reference>
          <reference field="1" count="1">
            <x v="33"/>
          </reference>
        </references>
      </pivotArea>
    </format>
    <format dxfId="383">
      <pivotArea dataOnly="0" labelOnly="1" fieldPosition="0">
        <references count="2">
          <reference field="0" count="1" selected="0">
            <x v="22"/>
          </reference>
          <reference field="1" count="1">
            <x v="40"/>
          </reference>
        </references>
      </pivotArea>
    </format>
    <format dxfId="382">
      <pivotArea dataOnly="0" labelOnly="1" fieldPosition="0">
        <references count="2">
          <reference field="0" count="1" selected="0">
            <x v="23"/>
          </reference>
          <reference field="1" count="1">
            <x v="17"/>
          </reference>
        </references>
      </pivotArea>
    </format>
    <format dxfId="381">
      <pivotArea dataOnly="0" labelOnly="1" fieldPosition="0">
        <references count="2">
          <reference field="0" count="1" selected="0">
            <x v="24"/>
          </reference>
          <reference field="1" count="2">
            <x v="18"/>
            <x v="19"/>
          </reference>
        </references>
      </pivotArea>
    </format>
    <format dxfId="380">
      <pivotArea dataOnly="0" labelOnly="1" fieldPosition="0">
        <references count="2">
          <reference field="0" count="1" selected="0">
            <x v="25"/>
          </reference>
          <reference field="1" count="1">
            <x v="22"/>
          </reference>
        </references>
      </pivotArea>
    </format>
    <format dxfId="379">
      <pivotArea dataOnly="0" labelOnly="1" fieldPosition="0">
        <references count="2">
          <reference field="0" count="1" selected="0">
            <x v="27"/>
          </reference>
          <reference field="1" count="1">
            <x v="23"/>
          </reference>
        </references>
      </pivotArea>
    </format>
    <format dxfId="378">
      <pivotArea dataOnly="0" labelOnly="1" fieldPosition="0">
        <references count="2">
          <reference field="0" count="1" selected="0">
            <x v="28"/>
          </reference>
          <reference field="1" count="1">
            <x v="26"/>
          </reference>
        </references>
      </pivotArea>
    </format>
    <format dxfId="377">
      <pivotArea dataOnly="0" labelOnly="1" fieldPosition="0">
        <references count="2">
          <reference field="0" count="1" selected="0">
            <x v="29"/>
          </reference>
          <reference field="1" count="3">
            <x v="4"/>
            <x v="28"/>
            <x v="42"/>
          </reference>
        </references>
      </pivotArea>
    </format>
    <format dxfId="376">
      <pivotArea dataOnly="0" labelOnly="1" fieldPosition="0">
        <references count="2">
          <reference field="0" count="1" selected="0">
            <x v="31"/>
          </reference>
          <reference field="1" count="1">
            <x v="16"/>
          </reference>
        </references>
      </pivotArea>
    </format>
    <format dxfId="375">
      <pivotArea dataOnly="0" labelOnly="1" fieldPosition="0">
        <references count="2">
          <reference field="0" count="1" selected="0">
            <x v="33"/>
          </reference>
          <reference field="1" count="1">
            <x v="32"/>
          </reference>
        </references>
      </pivotArea>
    </format>
    <format dxfId="374">
      <pivotArea dataOnly="0" labelOnly="1" fieldPosition="0">
        <references count="2">
          <reference field="0" count="1" selected="0">
            <x v="35"/>
          </reference>
          <reference field="1" count="1">
            <x v="34"/>
          </reference>
        </references>
      </pivotArea>
    </format>
    <format dxfId="373">
      <pivotArea dataOnly="0" labelOnly="1" fieldPosition="0">
        <references count="2">
          <reference field="0" count="1" selected="0">
            <x v="36"/>
          </reference>
          <reference field="1" count="2">
            <x v="15"/>
            <x v="35"/>
          </reference>
        </references>
      </pivotArea>
    </format>
    <format dxfId="372">
      <pivotArea dataOnly="0" labelOnly="1" fieldPosition="0">
        <references count="2">
          <reference field="0" count="1" selected="0">
            <x v="37"/>
          </reference>
          <reference field="1" count="5">
            <x v="1"/>
            <x v="27"/>
            <x v="29"/>
            <x v="30"/>
            <x v="36"/>
          </reference>
        </references>
      </pivotArea>
    </format>
    <format dxfId="371">
      <pivotArea dataOnly="0" labelOnly="1" fieldPosition="0">
        <references count="2">
          <reference field="0" count="1" selected="0">
            <x v="38"/>
          </reference>
          <reference field="1" count="2">
            <x v="26"/>
            <x v="37"/>
          </reference>
        </references>
      </pivotArea>
    </format>
    <format dxfId="370">
      <pivotArea dataOnly="0" labelOnly="1" fieldPosition="0">
        <references count="2">
          <reference field="0" count="1" selected="0">
            <x v="40"/>
          </reference>
          <reference field="1" count="1">
            <x v="38"/>
          </reference>
        </references>
      </pivotArea>
    </format>
    <format dxfId="369">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2"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1"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7"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0" dataDxfId="469">
  <tableColumns count="4">
    <tableColumn id="1" xr3:uid="{00000000-0010-0000-0000-000001000000}" uniqueName="1" name="Grupp" queryTableFieldId="1" dataDxfId="468"/>
    <tableColumn id="2" xr3:uid="{00000000-0010-0000-0000-000002000000}" uniqueName="2" name="År" queryTableFieldId="2" headerRowDxfId="467" dataDxfId="466"/>
    <tableColumn id="3" xr3:uid="{00000000-0010-0000-0000-000003000000}" uniqueName="3" name="Månaden" queryTableFieldId="3" headerRowDxfId="465" dataDxfId="464"/>
    <tableColumn id="4" xr3:uid="{00000000-0010-0000-0000-000004000000}" uniqueName="4" name="YTD" queryTableFieldId="4" headerRowDxfId="463" dataDxfId="46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8"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2"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72" tableType="queryTable" totalsRowCount="1" headerRowDxfId="461" dataDxfId="460" totalsRowDxfId="459">
  <tableColumns count="12">
    <tableColumn id="1" xr3:uid="{00000000-0010-0000-0100-000001000000}" uniqueName="1" name="no" queryTableFieldId="1" dataDxfId="458" totalsRowDxfId="457"/>
    <tableColumn id="2" xr3:uid="{00000000-0010-0000-0100-000002000000}" uniqueName="2" name="modell" totalsRowLabel="Totalt" queryTableFieldId="2" dataDxfId="456" totalsRowDxfId="455"/>
    <tableColumn id="3" xr3:uid="{00000000-0010-0000-0100-000003000000}" uniqueName="3" name="antalPerioden" totalsRowFunction="sum" queryTableFieldId="3" dataDxfId="454" totalsRowDxfId="453"/>
    <tableColumn id="4" xr3:uid="{00000000-0010-0000-0100-000004000000}" uniqueName="4" name="antalFGPeriod" totalsRowFunction="sum" queryTableFieldId="4" dataDxfId="452" totalsRowDxfId="451"/>
    <tableColumn id="5" xr3:uid="{00000000-0010-0000-0100-000005000000}" uniqueName="5" name="antalÅret" totalsRowFunction="sum" queryTableFieldId="5" dataDxfId="450" totalsRowDxfId="449"/>
    <tableColumn id="6" xr3:uid="{00000000-0010-0000-0100-000006000000}" uniqueName="6" name="antalFGAr" totalsRowFunction="sum" queryTableFieldId="6" dataDxfId="448" totalsRowDxfId="447"/>
    <tableColumn id="7" xr3:uid="{00000000-0010-0000-0100-000007000000}" uniqueName="7" name="changePeriod" totalsRowFunction="custom" queryTableFieldId="7" dataDxfId="446" totalsRowDxfId="445">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4" totalsRowDxfId="443">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2" totalsRowDxfId="441">
      <totalsRowFormula>TEXT(100,"0,00")</totalsRowFormula>
    </tableColumn>
    <tableColumn id="10" xr3:uid="{00000000-0010-0000-0100-00000A000000}" uniqueName="10" name="shrYear" totalsRowFunction="custom" queryTableFieldId="10" dataDxfId="440" totalsRowDxfId="439">
      <totalsRowFormula>TEXT(100,"0,00")</totalsRowFormula>
    </tableColumn>
    <tableColumn id="11" xr3:uid="{00000000-0010-0000-0100-00000B000000}" uniqueName="11" name="shrPrevPeriod" totalsRowFunction="custom" queryTableFieldId="11" dataDxfId="438" totalsRowDxfId="437">
      <totalsRowFormula>TEXT(100,"0,00")</totalsRowFormula>
    </tableColumn>
    <tableColumn id="12" xr3:uid="{00000000-0010-0000-0100-00000C000000}" uniqueName="12" name="shrPrevYear" totalsRowFunction="custom" queryTableFieldId="12" dataDxfId="436" totalsRowDxfId="435">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68" dataDxfId="367" totalsRowDxfId="365" tableBorderDxfId="366" totalsRowBorderDxfId="364">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3" totalsRowDxfId="362"/>
    <tableColumn id="2" xr3:uid="{00000000-0010-0000-0200-000002000000}" uniqueName="2" name="antalPerioden" totalsRowFunction="sum" queryTableFieldId="2" dataDxfId="361" totalsRowDxfId="360"/>
    <tableColumn id="3" xr3:uid="{00000000-0010-0000-0200-000003000000}" uniqueName="3" name="antalPeriodenFG" totalsRowFunction="sum" queryTableFieldId="3" dataDxfId="359" totalsRowDxfId="358"/>
    <tableColumn id="6" xr3:uid="{00000000-0010-0000-0200-000006000000}" uniqueName="6" name="Column1" totalsRowFunction="sum" queryTableFieldId="6" dataDxfId="357" totalsRowDxfId="356">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5" totalsRowDxfId="354">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3" totalsRowDxfId="352"/>
    <tableColumn id="5" xr3:uid="{00000000-0010-0000-0200-000005000000}" uniqueName="5" name="antalAretFG" totalsRowFunction="sum" queryTableFieldId="5" dataDxfId="351" totalsRowDxfId="350"/>
    <tableColumn id="8" xr3:uid="{00000000-0010-0000-0200-000008000000}" uniqueName="8" name="Column3" totalsRowFunction="custom" queryTableFieldId="9" dataDxfId="349" totalsRowDxfId="348">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7" totalsRowDxfId="346">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5" totalsRowDxfId="344">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83" tableType="queryTable" totalsRowCount="1" headerRowDxfId="343" dataDxfId="342" totalsRowDxfId="341">
  <autoFilter ref="A41:M282" xr:uid="{00000000-0009-0000-0100-000004000000}"/>
  <tableColumns count="13">
    <tableColumn id="1" xr3:uid="{00000000-0010-0000-0300-000001000000}" uniqueName="1" name="no" queryTableFieldId="1" dataDxfId="340" totalsRowDxfId="339"/>
    <tableColumn id="2" xr3:uid="{00000000-0010-0000-0300-000002000000}" uniqueName="2" name="modben" totalsRowLabel="Totalt" queryTableFieldId="2" dataDxfId="338" totalsRowDxfId="337"/>
    <tableColumn id="3" xr3:uid="{00000000-0010-0000-0300-000003000000}" uniqueName="3" name="miljoklass" queryTableFieldId="3" dataDxfId="336" totalsRowDxfId="335"/>
    <tableColumn id="4" xr3:uid="{00000000-0010-0000-0300-000004000000}" uniqueName="4" name="antalPerioden" totalsRowFunction="sum" queryTableFieldId="4" dataDxfId="334" totalsRowDxfId="333"/>
    <tableColumn id="5" xr3:uid="{00000000-0010-0000-0300-000005000000}" uniqueName="5" name="antalFGPeriod" totalsRowFunction="sum" queryTableFieldId="5" dataDxfId="332" totalsRowDxfId="331"/>
    <tableColumn id="6" xr3:uid="{00000000-0010-0000-0300-000006000000}" uniqueName="6" name="antalÅret" totalsRowFunction="sum" queryTableFieldId="6" dataDxfId="330" totalsRowDxfId="329"/>
    <tableColumn id="7" xr3:uid="{00000000-0010-0000-0300-000007000000}" uniqueName="7" name="antalFGAr" totalsRowFunction="sum" queryTableFieldId="7" dataDxfId="328" totalsRowDxfId="327"/>
    <tableColumn id="8" xr3:uid="{00000000-0010-0000-0300-000008000000}" uniqueName="8" name="changePeriod" totalsRowFunction="custom" queryTableFieldId="8" dataDxfId="326" totalsRowDxfId="325">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4" totalsRowDxfId="323">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2" totalsRowDxfId="321">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0" totalsRowDxfId="319">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18" totalsRowDxfId="317">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6" totalsRowDxfId="315">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81" tableType="queryTable" totalsRowCount="1" headerRowDxfId="314" dataDxfId="313" totalsRowDxfId="312">
  <autoFilter ref="A39:M280"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80">
    <sortCondition descending="1" ref="F40"/>
  </sortState>
  <tableColumns count="13">
    <tableColumn id="1" xr3:uid="{00000000-0010-0000-0400-000001000000}" uniqueName="1" name="no" queryTableFieldId="1" dataDxfId="311" totalsRowDxfId="310"/>
    <tableColumn id="2" xr3:uid="{00000000-0010-0000-0400-000002000000}" uniqueName="2" name="modben" totalsRowLabel="Totalt" queryTableFieldId="2" dataDxfId="309" totalsRowDxfId="308"/>
    <tableColumn id="3" xr3:uid="{00000000-0010-0000-0400-000003000000}" uniqueName="3" name="miljoklass" queryTableFieldId="3" dataDxfId="307" totalsRowDxfId="306"/>
    <tableColumn id="4" xr3:uid="{00000000-0010-0000-0400-000004000000}" uniqueName="4" name="antalPerioden" totalsRowFunction="sum" queryTableFieldId="4" dataDxfId="305" totalsRowDxfId="304"/>
    <tableColumn id="5" xr3:uid="{00000000-0010-0000-0400-000005000000}" uniqueName="5" name="antalFGPeriod" totalsRowFunction="sum" queryTableFieldId="5" dataDxfId="303" totalsRowDxfId="302"/>
    <tableColumn id="6" xr3:uid="{00000000-0010-0000-0400-000006000000}" uniqueName="6" name="antalÅret" totalsRowFunction="sum" queryTableFieldId="6" dataDxfId="301" totalsRowDxfId="300"/>
    <tableColumn id="7" xr3:uid="{00000000-0010-0000-0400-000007000000}" uniqueName="7" name="antalFGAr" totalsRowFunction="sum" queryTableFieldId="7" dataDxfId="299" totalsRowDxfId="298"/>
    <tableColumn id="8" xr3:uid="{00000000-0010-0000-0400-000008000000}" uniqueName="8" name="changePeriod" totalsRowFunction="custom" queryTableFieldId="8" dataDxfId="297" totalsRowDxfId="296">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5" totalsRowDxfId="294">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3" totalsRowDxfId="292">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1" totalsRowDxfId="290">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89" totalsRowDxfId="288">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7" totalsRowDxfId="286">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82" tableType="queryTable" totalsRowCount="1" headerRowDxfId="285" dataDxfId="284" totalsRowDxfId="283">
  <autoFilter ref="A40:M281"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81">
    <sortCondition descending="1" ref="F43"/>
  </sortState>
  <tableColumns count="13">
    <tableColumn id="1" xr3:uid="{00000000-0010-0000-0500-000001000000}" uniqueName="1" name="no" queryTableFieldId="1" dataDxfId="282" totalsRowDxfId="281"/>
    <tableColumn id="2" xr3:uid="{00000000-0010-0000-0500-000002000000}" uniqueName="2" name="modben" totalsRowLabel="Totalt" queryTableFieldId="2" dataDxfId="280" totalsRowDxfId="279"/>
    <tableColumn id="3" xr3:uid="{00000000-0010-0000-0500-000003000000}" uniqueName="3" name="miljoklass" queryTableFieldId="3" dataDxfId="278" totalsRowDxfId="277"/>
    <tableColumn id="4" xr3:uid="{00000000-0010-0000-0500-000004000000}" uniqueName="4" name="antalPerioden" totalsRowFunction="sum" queryTableFieldId="4" dataDxfId="276" totalsRowDxfId="275"/>
    <tableColumn id="5" xr3:uid="{00000000-0010-0000-0500-000005000000}" uniqueName="5" name="antalFGPeriod" totalsRowFunction="sum" queryTableFieldId="5" dataDxfId="274" totalsRowDxfId="273"/>
    <tableColumn id="6" xr3:uid="{00000000-0010-0000-0500-000006000000}" uniqueName="6" name="antalÅret" totalsRowFunction="sum" queryTableFieldId="6" dataDxfId="272" totalsRowDxfId="271"/>
    <tableColumn id="7" xr3:uid="{00000000-0010-0000-0500-000007000000}" uniqueName="7" name="antalFGAr" totalsRowFunction="sum" queryTableFieldId="7" dataDxfId="270" totalsRowDxfId="269"/>
    <tableColumn id="8" xr3:uid="{00000000-0010-0000-0500-000008000000}" uniqueName="8" name="changePeriod" totalsRowFunction="custom" queryTableFieldId="8" dataDxfId="268" totalsRowDxfId="267">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6" totalsRowDxfId="265">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4" totalsRowDxfId="263">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2" totalsRowDxfId="261">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0" totalsRowDxfId="259">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58" totalsRowDxfId="257">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9:K17" tableType="queryTable" headerRowDxfId="256" dataDxfId="255" totalsRowDxfId="254">
  <tableColumns count="11">
    <tableColumn id="1" xr3:uid="{00000000-0010-0000-0800-000001000000}" uniqueName="1" name="drivmedel" totalsRowLabel="Total" queryTableFieldId="1" dataDxfId="253"/>
    <tableColumn id="2" xr3:uid="{00000000-0010-0000-0800-000002000000}" uniqueName="2" name="antalPerioden" totalsRowFunction="sum" queryTableFieldId="2" dataDxfId="252" totalsRowDxfId="251"/>
    <tableColumn id="3" xr3:uid="{00000000-0010-0000-0800-000003000000}" uniqueName="3" name="antalPeriodenFG" totalsRowFunction="sum" queryTableFieldId="3" dataDxfId="250" totalsRowDxfId="249"/>
    <tableColumn id="6" xr3:uid="{00000000-0010-0000-0800-000006000000}" uniqueName="6" name="Column1" queryTableFieldId="6" dataDxfId="248" totalsRowDxfId="247">
      <calculatedColumnFormula>(B10/$B$18)*100</calculatedColumnFormula>
    </tableColumn>
    <tableColumn id="7" xr3:uid="{00000000-0010-0000-0800-000007000000}" uniqueName="7" name="Column2" queryTableFieldId="7" dataDxfId="246" totalsRowDxfId="245">
      <calculatedColumnFormula>(C10/$C$18)*100</calculatedColumnFormula>
    </tableColumn>
    <tableColumn id="4" xr3:uid="{00000000-0010-0000-0800-000004000000}" uniqueName="4" name="antalAret" totalsRowFunction="sum" queryTableFieldId="4" dataDxfId="244" totalsRowDxfId="243"/>
    <tableColumn id="5" xr3:uid="{00000000-0010-0000-0800-000005000000}" uniqueName="5" name="antalAretFG" totalsRowFunction="sum" queryTableFieldId="5" dataDxfId="242" totalsRowDxfId="241"/>
    <tableColumn id="8" xr3:uid="{00000000-0010-0000-0800-000008000000}" uniqueName="8" name="Column3" queryTableFieldId="8" dataDxfId="240">
      <calculatedColumnFormula>(F10/$F$18)*100</calculatedColumnFormula>
    </tableColumn>
    <tableColumn id="9" xr3:uid="{00000000-0010-0000-0800-000009000000}" uniqueName="9" name="Column4" queryTableFieldId="9" dataDxfId="239">
      <calculatedColumnFormula>(G10/$G$18)*100</calculatedColumnFormula>
    </tableColumn>
    <tableColumn id="10" xr3:uid="{00000000-0010-0000-0800-00000A000000}" uniqueName="10" name="Column5" queryTableFieldId="10" dataDxfId="238">
      <calculatedColumnFormula>((( B10  / C10) - 1) * 100)</calculatedColumnFormula>
    </tableColumn>
    <tableColumn id="11" xr3:uid="{00000000-0010-0000-0800-00000B000000}" uniqueName="11" name="Column6" queryTableFieldId="11" dataDxfId="237">
      <calculatedColumnFormula>((( F10  / G10)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70" tableType="queryTable" totalsRowCount="1" headerRowDxfId="236" dataDxfId="235" totalsRowDxfId="234">
  <autoFilter ref="A8:Q69"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3" tableType="queryTable" totalsRowCount="1" headerRowDxfId="164" dataDxfId="163" totalsRowDxfId="162">
  <autoFilter ref="A7:I32"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5:Q99"/>
  <sheetViews>
    <sheetView showGridLines="0" tabSelected="1" zoomScaleNormal="100" workbookViewId="0">
      <selection activeCell="O29" sqref="O29"/>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469</v>
      </c>
      <c r="C7" s="56"/>
      <c r="D7" s="56"/>
      <c r="E7" s="56"/>
      <c r="F7" s="56"/>
      <c r="G7" s="56"/>
      <c r="H7" s="168" t="s">
        <v>1317</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8" t="s">
        <v>581</v>
      </c>
      <c r="D10" s="228"/>
      <c r="E10" s="228"/>
      <c r="F10" s="228"/>
      <c r="G10" s="228"/>
      <c r="H10" s="228"/>
      <c r="I10" s="228"/>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2023-12</v>
      </c>
      <c r="G12" s="39" t="str">
        <f>D80</f>
        <v xml:space="preserve"> 2022-12</v>
      </c>
      <c r="H12" s="229" t="s">
        <v>1000</v>
      </c>
      <c r="I12" s="229"/>
    </row>
    <row r="13" spans="1:17" ht="14" customHeight="1">
      <c r="A13" s="25"/>
      <c r="B13" s="38" t="s">
        <v>578</v>
      </c>
      <c r="C13" s="25"/>
      <c r="D13" s="25"/>
      <c r="E13" s="25"/>
      <c r="F13" s="25"/>
      <c r="G13" s="25"/>
      <c r="H13" s="171" t="s">
        <v>347</v>
      </c>
      <c r="I13" s="171" t="s">
        <v>534</v>
      </c>
      <c r="P13" s="215"/>
      <c r="Q13" s="215"/>
    </row>
    <row r="14" spans="1:17" ht="14" customHeight="1">
      <c r="A14" s="25"/>
      <c r="B14" s="41" t="s">
        <v>991</v>
      </c>
      <c r="C14" s="25"/>
      <c r="D14" s="25"/>
      <c r="E14" s="25"/>
      <c r="F14" s="25">
        <f>INDEX('A.4 Drivmedel PB'!$B$8:$B$16,MATCH("El",'A.4 Drivmedel PB'!$A$8:$A$16,0))</f>
        <v>11415</v>
      </c>
      <c r="G14" s="25">
        <f>INDEX('A.4 Drivmedel PB'!$C$8:$C$16,MATCH("El",'A.4 Drivmedel PB'!$A$8:$A$16,0))</f>
        <v>18205</v>
      </c>
      <c r="H14" s="42">
        <f t="shared" ref="H14:H19" si="0">IF(G14=0,"",SUM(((F14-G14)/G14)))</f>
        <v>-0.37297445756660258</v>
      </c>
      <c r="I14" s="42">
        <f>INDEX('A.4 Drivmedel PB'!$J$8:$J$16,MATCH("El",'A.4 Drivmedel PB'!$A$8:$A$16,0))</f>
        <v>0.17972325985163362</v>
      </c>
      <c r="P14" s="215"/>
      <c r="Q14" s="215"/>
    </row>
    <row r="15" spans="1:17" ht="14" customHeight="1">
      <c r="A15" s="25"/>
      <c r="B15" s="41" t="s">
        <v>992</v>
      </c>
      <c r="C15" s="25"/>
      <c r="D15" s="25"/>
      <c r="E15" s="25"/>
      <c r="F15" s="25">
        <f>INDEX('A.4 Drivmedel PB'!$B$8:$B$16,MATCH("Laddhybrid",'A.4 Drivmedel PB'!$A$8:$A$16,0))</f>
        <v>7059</v>
      </c>
      <c r="G15" s="25">
        <f>INDEX('A.4 Drivmedel PB'!$C$8:$C$16,MATCH("Laddhybrid",'A.4 Drivmedel PB'!$A$8:$A$16,0))</f>
        <v>8259</v>
      </c>
      <c r="H15" s="42">
        <f t="shared" si="0"/>
        <v>-0.1452960406828914</v>
      </c>
      <c r="I15" s="42">
        <f>INDEX('A.4 Drivmedel PB'!$J$8:$J$16,MATCH("Laddhybrid",'A.4 Drivmedel PB'!$A$8:$A$16,0))</f>
        <v>-8.399135316900351E-2</v>
      </c>
      <c r="P15" s="215"/>
      <c r="Q15" s="215"/>
    </row>
    <row r="16" spans="1:17" ht="14" customHeight="1">
      <c r="A16" s="25"/>
      <c r="B16" s="213" t="s">
        <v>994</v>
      </c>
      <c r="C16" s="214"/>
      <c r="D16" s="214"/>
      <c r="E16" s="214"/>
      <c r="F16" s="222">
        <f>INDEX('A.4 Drivmedel PB'!$D$8:$D$16,MATCH("El",'A.4 Drivmedel PB'!$A$8:$A$16,0))</f>
        <v>38.993646238983395</v>
      </c>
      <c r="G16" s="222">
        <f>INDEX('A.4 Drivmedel PB'!$E$8:$E$16,MATCH("El",'A.4 Drivmedel PB'!$A$8:$A$16,0))</f>
        <v>51.316382906753866</v>
      </c>
      <c r="H16" s="215">
        <f t="shared" si="0"/>
        <v>-0.24013260424379301</v>
      </c>
      <c r="I16" s="220">
        <f>INDEX('A.4 Drivmedel PB'!$D$8:$D$16,MATCH("El",'A.4 Drivmedel PB'!$A$8:$A$16,0))</f>
        <v>38.993646238983395</v>
      </c>
      <c r="L16" s="219"/>
    </row>
    <row r="17" spans="1:15" ht="14" customHeight="1">
      <c r="A17" s="25"/>
      <c r="B17" s="213" t="s">
        <v>995</v>
      </c>
      <c r="C17" s="214"/>
      <c r="D17" s="214"/>
      <c r="E17" s="214"/>
      <c r="F17" s="222">
        <f>INDEX('A.4 Drivmedel PB'!$D$8:$D$16,MATCH("Laddhybrid",'A.4 Drivmedel PB'!$A$8:$A$16,0))</f>
        <v>24.113547858167657</v>
      </c>
      <c r="G17" s="222">
        <f>INDEX('A.4 Drivmedel PB'!$E$8:$E$16,MATCH("Laddhybrid",'A.4 Drivmedel PB'!$A$8:$A$16,0))</f>
        <v>23.280527680685534</v>
      </c>
      <c r="H17" s="215">
        <f t="shared" si="0"/>
        <v>3.5781842615759514E-2</v>
      </c>
      <c r="I17" s="220">
        <f>INDEX('A.4 Drivmedel PB'!$D$8:$D$16,MATCH("Laddhybrid",'A.4 Drivmedel PB'!$A$8:$A$16,0))</f>
        <v>24.113547858167657</v>
      </c>
    </row>
    <row r="18" spans="1:15" ht="14" customHeight="1">
      <c r="A18" s="25"/>
      <c r="B18" s="213" t="s">
        <v>996</v>
      </c>
      <c r="C18" s="214"/>
      <c r="D18" s="214"/>
      <c r="E18" s="214"/>
      <c r="F18" s="222">
        <f>F16+F17</f>
        <v>63.107194097151051</v>
      </c>
      <c r="G18" s="222">
        <f>(G16+G17)</f>
        <v>74.596910587439396</v>
      </c>
      <c r="H18" s="215">
        <f t="shared" si="0"/>
        <v>-0.15402402592558545</v>
      </c>
      <c r="I18" s="216">
        <f>AndelLaddbaraYTD/100</f>
        <v>7.1072866855138542E-2</v>
      </c>
    </row>
    <row r="19" spans="1:15" ht="14" customHeight="1">
      <c r="A19" s="25"/>
      <c r="B19" s="43" t="s">
        <v>576</v>
      </c>
      <c r="C19" s="44"/>
      <c r="D19" s="44"/>
      <c r="E19" s="44"/>
      <c r="F19" s="218">
        <f>getAggModelsPB[[#Totals],[antalPerioden]]</f>
        <v>29274</v>
      </c>
      <c r="G19" s="45">
        <f>getAggModelsPB[[#Totals],[antalFGPeriod]]</f>
        <v>35476</v>
      </c>
      <c r="H19" s="46">
        <f t="shared" si="0"/>
        <v>-0.17482241515390687</v>
      </c>
      <c r="I19" s="42">
        <f>IF(AntalTotaltYTDFGAR=0,"",((AntalTotaltYTD-AntalTotaltYTDFGAR)/AntalTotaltYTDFGAR))</f>
        <v>5.4775120015828549E-3</v>
      </c>
    </row>
    <row r="20" spans="1:15" ht="14" customHeight="1">
      <c r="A20" s="25"/>
      <c r="B20" s="25"/>
      <c r="C20" s="25"/>
      <c r="D20" s="25"/>
      <c r="E20" s="25"/>
      <c r="F20" s="25"/>
      <c r="G20" s="25"/>
      <c r="H20" s="25"/>
      <c r="I20" s="25"/>
    </row>
    <row r="21" spans="1:15" ht="14" customHeight="1">
      <c r="A21" s="25"/>
      <c r="B21" s="38" t="s">
        <v>579</v>
      </c>
      <c r="C21" s="25"/>
      <c r="D21" s="25"/>
      <c r="E21" s="25"/>
      <c r="F21" s="25"/>
      <c r="G21" s="25"/>
      <c r="H21" s="25"/>
      <c r="I21" s="25"/>
    </row>
    <row r="22" spans="1:15" ht="14" customHeight="1">
      <c r="A22" s="25"/>
      <c r="B22" s="41" t="s">
        <v>1205</v>
      </c>
      <c r="C22" s="25"/>
      <c r="D22" s="25"/>
      <c r="E22" s="25"/>
      <c r="F22" s="25">
        <f>INDEX('B. Lastbilar'!$B$6:$B$16,MATCH("Över (&gt;=)  16,0 ton",'B. Lastbilar'!$A$6:$A$16,0))</f>
        <v>488</v>
      </c>
      <c r="G22" s="25">
        <f>INDEX('B. Lastbilar'!$C$6:$C$16,MATCH("Över (&gt;=)  16,0 ton",'B. Lastbilar'!$A$6:$A$16,0))</f>
        <v>618</v>
      </c>
      <c r="H22" s="42">
        <f>IF(G22=0,"",SUM(((F22-G22)/G22)))</f>
        <v>-0.21035598705501618</v>
      </c>
      <c r="I22" s="42">
        <f>IF(AntalTLBYTDFGAR=0,"",((AntalTLBYTD-AntalTLBYTDFGAR)/AntalTLBYTDFGAR))</f>
        <v>0.20538965768390385</v>
      </c>
    </row>
    <row r="23" spans="1:15" ht="14" customHeight="1">
      <c r="A23" s="25"/>
      <c r="B23" s="41" t="s">
        <v>1206</v>
      </c>
      <c r="C23" s="25"/>
      <c r="D23" s="25"/>
      <c r="E23" s="25"/>
      <c r="F23" s="25">
        <f>INDEX('B. Lastbilar'!$B$6:$B$16,MATCH("Högst (&lt;=)  3,5 ton",'B. Lastbilar'!$A$6:$A$16,0))</f>
        <v>4897</v>
      </c>
      <c r="G23" s="25">
        <f>INDEX('B. Lastbilar'!$C$6:$C$16,MATCH("Högst (&lt;=)  3,5 ton",'B. Lastbilar'!$A$6:$A$16,0))</f>
        <v>4052</v>
      </c>
      <c r="H23" s="42">
        <f>IF(G23=0,"",SUM(((F23-G23)/G23)))</f>
        <v>0.20853899308983218</v>
      </c>
      <c r="I23" s="42">
        <f>IF(AntalLLBYTDFGAR=0,"",((AntalLLBYTD-AntalLLBYTDFGAR)/AntalLLBYTDFGAR))</f>
        <v>0.26616641557538534</v>
      </c>
    </row>
    <row r="24" spans="1:15" ht="14" customHeight="1">
      <c r="A24" s="25"/>
      <c r="B24" s="41" t="s">
        <v>993</v>
      </c>
      <c r="C24" s="25"/>
      <c r="D24" s="25"/>
      <c r="E24" s="25"/>
      <c r="F24" s="25">
        <f>AntalLLBEL</f>
        <v>1136</v>
      </c>
      <c r="G24" s="25">
        <f>AntalLLBELFGAR</f>
        <v>1104</v>
      </c>
      <c r="H24" s="42">
        <f t="shared" ref="H24" si="1">IF(G24=0,"",SUM(((F24-G24)/G24)))</f>
        <v>2.8985507246376812E-2</v>
      </c>
      <c r="I24" s="42">
        <f>ChangeLLBELYTD/100</f>
        <v>0.72759928158052289</v>
      </c>
    </row>
    <row r="25" spans="1:15" ht="14" customHeight="1">
      <c r="A25" s="25"/>
      <c r="B25" s="213" t="s">
        <v>997</v>
      </c>
      <c r="C25" s="214"/>
      <c r="D25" s="214"/>
      <c r="E25" s="214"/>
      <c r="F25" s="215">
        <f>(F24/F23)</f>
        <v>0.23197876250765775</v>
      </c>
      <c r="G25" s="215">
        <f>(G24/G23)</f>
        <v>0.27245804540967422</v>
      </c>
      <c r="H25" s="215">
        <f>IF(G25=0,"",SUM(((F25-G25)/G25)))</f>
        <v>-0.1485707013758793</v>
      </c>
      <c r="I25" s="216"/>
      <c r="O25" s="217"/>
    </row>
    <row r="26" spans="1:15" ht="14" customHeight="1">
      <c r="A26" s="25"/>
      <c r="B26" s="43" t="s">
        <v>999</v>
      </c>
      <c r="C26" s="44"/>
      <c r="D26" s="44"/>
      <c r="E26" s="44"/>
      <c r="F26" s="218">
        <f>GETPIVOTDATA("Sum of antalPerioden",'B. Lastbilar'!$A$7)</f>
        <v>5427</v>
      </c>
      <c r="G26" s="45">
        <f>GETPIVOTDATA("Sum of antalPeriodenFG",'B. Lastbilar'!$A$7)</f>
        <v>4734</v>
      </c>
      <c r="H26" s="46">
        <f>IF(G26=0,"",SUM(((F26-G26)/G26)))</f>
        <v>0.14638783269961977</v>
      </c>
      <c r="I26" s="42">
        <f>IF(antalLBTotaltYTDFGAR=0,"",((AntalLBTotaltYTD-antalLBTotaltYTDFGAR)/antalLBTotaltYTDFGAR))</f>
        <v>0.25513073507646766</v>
      </c>
    </row>
    <row r="27" spans="1:15" ht="14" customHeight="1">
      <c r="A27" s="25"/>
      <c r="B27" s="25"/>
      <c r="C27" s="25"/>
      <c r="D27" s="25"/>
      <c r="E27" s="25"/>
      <c r="F27" s="25"/>
      <c r="G27" s="25"/>
      <c r="H27" s="25"/>
      <c r="I27" s="25"/>
    </row>
    <row r="28" spans="1:15" ht="14" customHeight="1">
      <c r="A28" s="25"/>
      <c r="B28" s="38" t="s">
        <v>580</v>
      </c>
      <c r="C28" s="25"/>
      <c r="D28" s="25"/>
      <c r="E28" s="25"/>
      <c r="F28" s="25"/>
      <c r="G28" s="25"/>
      <c r="H28" s="25"/>
      <c r="I28" s="25"/>
    </row>
    <row r="29" spans="1:15" ht="14" customHeight="1">
      <c r="A29" s="25"/>
      <c r="B29" s="41" t="s">
        <v>990</v>
      </c>
      <c r="C29" s="25"/>
      <c r="D29" s="25"/>
      <c r="E29" s="25"/>
      <c r="F29" s="25">
        <f>AntalELBUSS</f>
        <v>13</v>
      </c>
      <c r="G29" s="25">
        <f>AntalELBUSSFGAR</f>
        <v>0</v>
      </c>
      <c r="H29" s="42" t="str">
        <f>IF(G29=0,"",SUM(((F29-G29)/G29)))</f>
        <v/>
      </c>
      <c r="I29" s="42">
        <f>ChangeBUSSELYTD/100</f>
        <v>0.20463320463320464</v>
      </c>
      <c r="K29" s="41"/>
    </row>
    <row r="30" spans="1:15" ht="14" customHeight="1">
      <c r="A30" s="25"/>
      <c r="B30" s="213" t="s">
        <v>998</v>
      </c>
      <c r="C30" s="214"/>
      <c r="D30" s="214"/>
      <c r="E30" s="214"/>
      <c r="F30" s="215">
        <f>(F29/F31)</f>
        <v>7.0270270270270274E-2</v>
      </c>
      <c r="G30" s="215">
        <f>(G29/G31)</f>
        <v>0</v>
      </c>
      <c r="I30" s="227"/>
    </row>
    <row r="31" spans="1:15" ht="14" customHeight="1">
      <c r="A31" s="25"/>
      <c r="B31" s="43" t="s">
        <v>577</v>
      </c>
      <c r="C31" s="43"/>
      <c r="D31" s="43"/>
      <c r="E31" s="43"/>
      <c r="F31" s="84">
        <f>getAggBussAll[[#Totals],[antalPerioden]]</f>
        <v>185</v>
      </c>
      <c r="G31" s="44">
        <f>getAggBussAll[[#Totals],[antalPeriodenFG]]</f>
        <v>64</v>
      </c>
      <c r="H31" s="46">
        <f>IF(G31=0,"",SUM(((F31-G31)/G31)))</f>
        <v>1.890625</v>
      </c>
      <c r="I31" s="42">
        <f>IF(AntalBUSSYTDFGAR=0,"",((AntalBUSSYTD-AntalBUSSYTDFGAR)/AntalBUSSYTDFGAR))</f>
        <v>-9.9113618049959704E-2</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442</v>
      </c>
      <c r="C36" s="47"/>
      <c r="D36" s="48"/>
      <c r="E36" s="48"/>
      <c r="F36" s="48"/>
      <c r="G36" s="25"/>
      <c r="H36" s="25"/>
      <c r="I36" s="25"/>
      <c r="J36" s="25"/>
    </row>
    <row r="37" spans="1:11" ht="18">
      <c r="A37" s="25"/>
      <c r="B37" s="49"/>
      <c r="C37" s="47" t="s">
        <v>443</v>
      </c>
      <c r="D37" s="48"/>
      <c r="E37" s="48"/>
      <c r="F37" s="48"/>
      <c r="G37" s="25"/>
      <c r="H37" s="25"/>
      <c r="I37" s="25"/>
      <c r="J37" s="25"/>
    </row>
    <row r="38" spans="1:11" ht="18">
      <c r="A38" s="25"/>
      <c r="B38" s="49"/>
      <c r="C38" s="47" t="s">
        <v>526</v>
      </c>
      <c r="D38" s="48"/>
      <c r="E38" s="48"/>
      <c r="F38" s="48"/>
      <c r="G38" s="25"/>
      <c r="H38" s="25"/>
      <c r="I38" s="25"/>
      <c r="J38" s="25"/>
    </row>
    <row r="39" spans="1:11" ht="18">
      <c r="A39" s="25"/>
      <c r="B39" s="49"/>
      <c r="C39" s="47" t="s">
        <v>462</v>
      </c>
      <c r="D39" s="48"/>
      <c r="E39" s="48"/>
      <c r="F39" s="48"/>
      <c r="G39" s="25"/>
      <c r="H39" s="25"/>
      <c r="I39" s="25"/>
      <c r="J39" s="25"/>
    </row>
    <row r="40" spans="1:11" ht="18">
      <c r="A40" s="25"/>
      <c r="B40" s="49"/>
      <c r="C40" s="47" t="s">
        <v>447</v>
      </c>
      <c r="D40" s="48"/>
      <c r="E40" s="48"/>
      <c r="F40" s="48"/>
      <c r="G40" s="25"/>
      <c r="H40" s="25"/>
      <c r="I40" s="25"/>
      <c r="J40" s="25"/>
    </row>
    <row r="41" spans="1:11" ht="18">
      <c r="A41" s="25"/>
      <c r="B41" s="49"/>
      <c r="C41" s="47" t="s">
        <v>448</v>
      </c>
      <c r="D41" s="48"/>
      <c r="E41" s="48"/>
      <c r="F41" s="48"/>
      <c r="G41" s="25"/>
      <c r="H41" s="25"/>
      <c r="I41" s="25"/>
      <c r="J41" s="25"/>
    </row>
    <row r="42" spans="1:11" ht="18">
      <c r="A42" s="25"/>
      <c r="B42" s="49"/>
      <c r="C42" s="47" t="s">
        <v>616</v>
      </c>
      <c r="D42" s="48"/>
      <c r="E42" s="48"/>
      <c r="F42" s="48"/>
      <c r="G42" s="25"/>
      <c r="H42" s="25"/>
      <c r="I42" s="25"/>
      <c r="J42" s="25"/>
    </row>
    <row r="43" spans="1:11" ht="18">
      <c r="A43" s="25"/>
      <c r="B43" s="49"/>
      <c r="C43" s="47" t="s">
        <v>617</v>
      </c>
      <c r="D43" s="48"/>
      <c r="E43" s="48"/>
      <c r="F43" s="48"/>
      <c r="G43" s="25"/>
      <c r="H43" s="25"/>
      <c r="I43" s="25"/>
      <c r="J43" s="25"/>
    </row>
    <row r="44" spans="1:11" ht="18">
      <c r="A44" s="25"/>
      <c r="B44" s="50"/>
      <c r="C44" s="47" t="s">
        <v>449</v>
      </c>
      <c r="D44" s="48"/>
      <c r="E44" s="48"/>
      <c r="F44" s="48"/>
      <c r="G44" s="51" t="s">
        <v>1372</v>
      </c>
      <c r="H44" s="25"/>
      <c r="I44" s="25"/>
      <c r="J44" s="25"/>
    </row>
    <row r="45" spans="1:11" ht="18">
      <c r="A45" s="25"/>
      <c r="B45" s="50"/>
      <c r="C45" s="47" t="s">
        <v>531</v>
      </c>
      <c r="D45" s="48"/>
      <c r="E45" s="48"/>
      <c r="F45" s="48"/>
      <c r="G45" s="48"/>
      <c r="H45" s="48"/>
      <c r="I45" s="48"/>
      <c r="J45" s="25"/>
    </row>
    <row r="46" spans="1:11" ht="18">
      <c r="A46" s="25"/>
      <c r="B46" s="50"/>
      <c r="C46" s="47" t="s">
        <v>532</v>
      </c>
      <c r="D46" s="48"/>
      <c r="E46" s="48"/>
      <c r="F46" s="48"/>
      <c r="G46" s="25"/>
      <c r="H46" s="25"/>
      <c r="I46" s="25"/>
      <c r="J46" s="25"/>
    </row>
    <row r="47" spans="1:11" ht="18">
      <c r="A47" s="25"/>
      <c r="B47" s="50"/>
      <c r="C47" s="50"/>
      <c r="D47" s="48"/>
      <c r="E47" s="48"/>
      <c r="F47" s="25"/>
      <c r="G47" s="25"/>
      <c r="H47" s="25"/>
      <c r="I47" s="25"/>
      <c r="J47" s="25"/>
    </row>
    <row r="48" spans="1:11" ht="18">
      <c r="A48" s="25"/>
      <c r="B48" s="47" t="s">
        <v>444</v>
      </c>
      <c r="C48" s="47"/>
      <c r="D48" s="47"/>
      <c r="E48" s="47"/>
      <c r="F48" s="47"/>
      <c r="G48" s="51"/>
      <c r="H48" s="51"/>
      <c r="I48" s="51"/>
      <c r="J48" s="51"/>
      <c r="K48" s="17"/>
    </row>
    <row r="49" spans="1:11" ht="18">
      <c r="A49" s="25"/>
      <c r="B49" s="50"/>
      <c r="C49" s="47" t="s">
        <v>527</v>
      </c>
      <c r="D49" s="47"/>
      <c r="E49" s="47"/>
      <c r="F49" s="47"/>
      <c r="G49" s="51"/>
      <c r="H49" s="51"/>
      <c r="I49" s="51"/>
      <c r="J49" s="51"/>
      <c r="K49" s="17"/>
    </row>
    <row r="50" spans="1:11" ht="18">
      <c r="A50" s="25"/>
      <c r="B50" s="50"/>
      <c r="C50" s="47" t="s">
        <v>368</v>
      </c>
      <c r="D50" s="47"/>
      <c r="E50" s="47"/>
      <c r="F50" s="47"/>
      <c r="G50" s="51"/>
      <c r="H50" s="51"/>
      <c r="I50" s="51"/>
      <c r="J50" s="51"/>
      <c r="K50" s="17"/>
    </row>
    <row r="51" spans="1:11" ht="18">
      <c r="A51" s="25"/>
      <c r="B51" s="50"/>
      <c r="C51" s="47" t="s">
        <v>305</v>
      </c>
      <c r="D51" s="47"/>
      <c r="E51" s="47"/>
      <c r="F51" s="47"/>
      <c r="G51" s="51"/>
      <c r="H51" s="51"/>
      <c r="I51" s="51"/>
      <c r="J51" s="51"/>
      <c r="K51" s="17"/>
    </row>
    <row r="52" spans="1:11" ht="18">
      <c r="A52" s="25"/>
      <c r="B52" s="50"/>
      <c r="C52" s="47" t="s">
        <v>528</v>
      </c>
      <c r="D52" s="47"/>
      <c r="E52" s="47"/>
      <c r="F52" s="47"/>
      <c r="G52" s="51"/>
      <c r="H52" s="51"/>
      <c r="I52" s="51"/>
      <c r="J52" s="51"/>
      <c r="K52" s="17"/>
    </row>
    <row r="53" spans="1:11" ht="18">
      <c r="A53" s="25"/>
      <c r="B53" s="50"/>
      <c r="C53" s="47" t="s">
        <v>350</v>
      </c>
      <c r="D53" s="47"/>
      <c r="E53" s="47"/>
      <c r="F53" s="47"/>
      <c r="G53" s="25"/>
      <c r="H53" s="25"/>
      <c r="I53" s="25"/>
      <c r="J53" s="25"/>
    </row>
    <row r="54" spans="1:11" ht="18">
      <c r="A54" s="25"/>
      <c r="B54" s="52"/>
      <c r="C54" s="50"/>
      <c r="D54" s="47"/>
      <c r="E54" s="47"/>
      <c r="F54" s="49"/>
      <c r="G54" s="25"/>
      <c r="H54" s="25"/>
      <c r="I54" s="25"/>
      <c r="J54" s="25"/>
    </row>
    <row r="55" spans="1:11" ht="18">
      <c r="A55" s="25"/>
      <c r="B55" s="47" t="s">
        <v>445</v>
      </c>
      <c r="C55" s="47"/>
      <c r="D55" s="47"/>
      <c r="E55" s="47"/>
      <c r="F55" s="47"/>
      <c r="G55" s="25"/>
      <c r="H55" s="25"/>
      <c r="I55" s="25"/>
      <c r="J55" s="25"/>
    </row>
    <row r="56" spans="1:11" ht="18">
      <c r="A56" s="25"/>
      <c r="B56" s="50"/>
      <c r="C56" s="47" t="s">
        <v>306</v>
      </c>
      <c r="D56" s="47"/>
      <c r="E56" s="47"/>
      <c r="F56" s="47"/>
      <c r="G56" s="25"/>
      <c r="H56" s="25"/>
      <c r="I56" s="25"/>
      <c r="J56" s="25"/>
    </row>
    <row r="57" spans="1:11" ht="18">
      <c r="A57" s="25"/>
      <c r="B57" s="25"/>
      <c r="C57" s="47" t="s">
        <v>525</v>
      </c>
      <c r="D57" s="48"/>
      <c r="E57" s="48"/>
      <c r="F57" s="48"/>
      <c r="G57" s="25"/>
      <c r="H57" s="25"/>
      <c r="I57" s="25"/>
      <c r="J57" s="25"/>
    </row>
    <row r="58" spans="1:11" ht="18">
      <c r="A58" s="25"/>
      <c r="B58" s="25"/>
      <c r="C58" s="47"/>
      <c r="D58" s="25"/>
      <c r="E58" s="25"/>
      <c r="F58" s="25"/>
      <c r="G58" s="25"/>
      <c r="H58" s="25"/>
      <c r="I58" s="25"/>
      <c r="J58" s="25"/>
    </row>
    <row r="59" spans="1:11">
      <c r="A59" s="25"/>
      <c r="B59" s="53" t="s">
        <v>674</v>
      </c>
      <c r="C59" s="25"/>
      <c r="D59" s="25"/>
      <c r="E59" s="25"/>
      <c r="F59" s="25"/>
      <c r="G59" s="25"/>
      <c r="H59" s="25"/>
      <c r="I59" s="25"/>
      <c r="J59" s="25"/>
    </row>
    <row r="60" spans="1:11">
      <c r="A60" s="25"/>
      <c r="B60" s="54"/>
      <c r="C60" s="25"/>
      <c r="D60" s="25"/>
      <c r="E60" s="25"/>
      <c r="F60" s="25"/>
      <c r="G60" s="25"/>
      <c r="H60" s="25"/>
      <c r="I60" s="25"/>
      <c r="J60" s="25"/>
    </row>
    <row r="61" spans="1:11">
      <c r="A61" s="25"/>
      <c r="B61" s="55" t="s">
        <v>678</v>
      </c>
      <c r="C61" s="48"/>
      <c r="D61" s="48"/>
      <c r="E61" s="48"/>
      <c r="F61" s="48"/>
      <c r="G61" s="25"/>
      <c r="H61" s="25"/>
      <c r="I61" s="25"/>
      <c r="J61" s="25"/>
    </row>
    <row r="62" spans="1:11">
      <c r="A62" s="25"/>
      <c r="B62" s="55" t="s">
        <v>529</v>
      </c>
      <c r="C62" s="25"/>
      <c r="D62" s="25"/>
      <c r="E62" s="25"/>
      <c r="F62" s="25"/>
      <c r="G62" s="25"/>
      <c r="H62" s="25"/>
      <c r="I62" s="25"/>
      <c r="J62" s="25"/>
    </row>
    <row r="63" spans="1:11">
      <c r="A63" s="25"/>
      <c r="B63" s="51"/>
      <c r="C63" s="25"/>
      <c r="D63" s="25"/>
      <c r="E63" s="25"/>
      <c r="F63" s="25"/>
      <c r="G63" s="25"/>
      <c r="H63" s="25"/>
      <c r="I63" s="25"/>
      <c r="J63" s="25"/>
    </row>
    <row r="64" spans="1:11">
      <c r="A64" s="25"/>
      <c r="B64" s="20" t="s">
        <v>530</v>
      </c>
      <c r="C64" s="51"/>
      <c r="D64" s="51"/>
      <c r="E64" s="51"/>
      <c r="F64" s="51"/>
      <c r="G64" s="25"/>
      <c r="H64" s="25"/>
      <c r="I64" s="25"/>
      <c r="J64" s="25"/>
    </row>
    <row r="65" spans="1:10">
      <c r="A65" s="25"/>
      <c r="B65" s="7" t="s">
        <v>675</v>
      </c>
      <c r="C65" s="51"/>
      <c r="D65" s="51"/>
      <c r="E65" s="51"/>
      <c r="F65" s="51"/>
      <c r="G65" s="25"/>
      <c r="H65" s="25"/>
      <c r="I65" s="25"/>
      <c r="J65" s="25"/>
    </row>
    <row r="66" spans="1:10">
      <c r="A66" s="25"/>
      <c r="B66" s="7" t="s">
        <v>472</v>
      </c>
      <c r="C66" s="51"/>
      <c r="D66" s="51"/>
      <c r="E66" s="51"/>
      <c r="F66" s="51"/>
      <c r="G66" s="25"/>
      <c r="H66" s="25"/>
      <c r="I66" s="25"/>
      <c r="J66" s="25"/>
    </row>
    <row r="67" spans="1:10">
      <c r="A67" s="25"/>
      <c r="B67" s="7" t="s">
        <v>473</v>
      </c>
      <c r="C67" s="51"/>
      <c r="D67" s="51"/>
      <c r="E67" s="51"/>
      <c r="F67" s="51"/>
      <c r="G67" s="25"/>
      <c r="H67" s="25"/>
      <c r="I67" s="25"/>
      <c r="J67" s="25"/>
    </row>
    <row r="68" spans="1:10">
      <c r="A68" s="25"/>
      <c r="B68" s="7" t="s">
        <v>676</v>
      </c>
      <c r="C68" s="51"/>
      <c r="D68" s="51"/>
      <c r="E68" s="51"/>
      <c r="F68" s="51"/>
      <c r="G68" s="25"/>
      <c r="H68" s="25"/>
      <c r="I68" s="25"/>
      <c r="J68" s="25"/>
    </row>
    <row r="69" spans="1:10">
      <c r="A69" s="25"/>
      <c r="B69" s="7" t="s">
        <v>446</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356</v>
      </c>
      <c r="D74" s="169" t="s">
        <v>13</v>
      </c>
    </row>
    <row r="75" spans="1:10" hidden="1">
      <c r="A75" t="s">
        <v>347</v>
      </c>
      <c r="D75" s="169" t="s">
        <v>1318</v>
      </c>
    </row>
    <row r="76" spans="1:10" hidden="1">
      <c r="A76" t="s">
        <v>348</v>
      </c>
      <c r="D76" s="169" t="s">
        <v>1319</v>
      </c>
    </row>
    <row r="77" spans="1:10" hidden="1">
      <c r="A77" t="s">
        <v>345</v>
      </c>
      <c r="D77" s="169" t="s">
        <v>1064</v>
      </c>
    </row>
    <row r="78" spans="1:10" hidden="1">
      <c r="A78" t="s">
        <v>346</v>
      </c>
      <c r="D78" s="169" t="s">
        <v>655</v>
      </c>
    </row>
    <row r="79" spans="1:10" hidden="1">
      <c r="A79" t="s">
        <v>341</v>
      </c>
      <c r="D79" s="169" t="s">
        <v>1320</v>
      </c>
    </row>
    <row r="80" spans="1:10" hidden="1">
      <c r="A80" t="s">
        <v>342</v>
      </c>
      <c r="D80" s="169" t="s">
        <v>1321</v>
      </c>
    </row>
    <row r="81" spans="1:4" hidden="1">
      <c r="A81" t="s">
        <v>343</v>
      </c>
      <c r="D81" s="169" t="s">
        <v>1065</v>
      </c>
    </row>
    <row r="82" spans="1:4" hidden="1">
      <c r="A82" t="s">
        <v>344</v>
      </c>
      <c r="D82" s="169" t="s">
        <v>656</v>
      </c>
    </row>
    <row r="83" spans="1:4" hidden="1">
      <c r="D83" s="25"/>
    </row>
    <row r="84" spans="1:4" hidden="1">
      <c r="A84" t="s">
        <v>344</v>
      </c>
      <c r="D84" s="169" t="s">
        <v>1039</v>
      </c>
    </row>
    <row r="85" spans="1:4" hidden="1">
      <c r="A85" t="s">
        <v>343</v>
      </c>
      <c r="D85" s="169" t="s">
        <v>1322</v>
      </c>
    </row>
    <row r="86" spans="1:4" hidden="1">
      <c r="D86" s="25"/>
    </row>
    <row r="87" spans="1:4" hidden="1">
      <c r="A87" t="s">
        <v>357</v>
      </c>
      <c r="D87" s="169" t="s">
        <v>1323</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H14:H15">
    <cfRule type="cellIs" dxfId="13" priority="1" operator="lessThan">
      <formula>0</formula>
    </cfRule>
  </conditionalFormatting>
  <conditionalFormatting sqref="H16:I29 F30:G30 I30 H31:I31">
    <cfRule type="cellIs" dxfId="12" priority="2" operator="lessThan">
      <formula>0</formula>
    </cfRule>
  </conditionalFormatting>
  <conditionalFormatting sqref="I14:I17">
    <cfRule type="cellIs" dxfId="11" priority="5" operator="lessThan">
      <formula>0</formula>
    </cfRule>
  </conditionalFormatting>
  <conditionalFormatting sqref="P13:Q15">
    <cfRule type="cellIs" dxfId="10" priority="4"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scale="73"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4:Q21"/>
  <sheetViews>
    <sheetView workbookViewId="0">
      <selection activeCell="A21" sqref="A21"/>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4" spans="1:15" ht="19.25" customHeight="1" thickBot="1">
      <c r="A4" s="56" t="s">
        <v>354</v>
      </c>
      <c r="B4" s="56"/>
      <c r="C4" s="56"/>
      <c r="D4" s="56"/>
      <c r="E4" s="56"/>
      <c r="F4" s="56"/>
      <c r="G4"/>
    </row>
    <row r="6" spans="1:15">
      <c r="A6" s="61"/>
      <c r="B6" s="25"/>
      <c r="C6" s="61"/>
      <c r="D6" s="61"/>
      <c r="E6" s="79"/>
      <c r="F6" s="80"/>
      <c r="G6" s="259" t="s">
        <v>452</v>
      </c>
      <c r="H6" s="259"/>
      <c r="I6" s="259"/>
      <c r="J6" s="259"/>
      <c r="K6" s="259"/>
      <c r="L6" s="25"/>
    </row>
    <row r="7" spans="1:15">
      <c r="A7" s="96"/>
      <c r="B7" s="265" t="s">
        <v>535</v>
      </c>
      <c r="C7" s="266"/>
      <c r="D7" s="267" t="s">
        <v>537</v>
      </c>
      <c r="E7" s="268"/>
      <c r="F7" s="121" t="s">
        <v>535</v>
      </c>
      <c r="G7" s="122"/>
      <c r="H7" s="269" t="s">
        <v>537</v>
      </c>
      <c r="I7" s="270"/>
      <c r="J7" s="269" t="s">
        <v>536</v>
      </c>
      <c r="K7" s="270"/>
      <c r="L7" s="25"/>
    </row>
    <row r="8" spans="1:15">
      <c r="A8" s="96"/>
      <c r="B8" s="123" t="str">
        <f>Innehåll!D79</f>
        <v xml:space="preserve"> 2023-12</v>
      </c>
      <c r="C8" s="123" t="str">
        <f>Innehåll!D80</f>
        <v xml:space="preserve"> 2022-12</v>
      </c>
      <c r="D8" s="124" t="str">
        <f>B8</f>
        <v xml:space="preserve"> 2023-12</v>
      </c>
      <c r="E8" s="125" t="str">
        <f>C8</f>
        <v xml:space="preserve"> 2022-12</v>
      </c>
      <c r="F8" s="123" t="str">
        <f>Innehåll!D81</f>
        <v>YTD  2023</v>
      </c>
      <c r="G8" s="123" t="str">
        <f>Innehåll!D82</f>
        <v>YTD  2022</v>
      </c>
      <c r="H8" s="126" t="str">
        <f>F8</f>
        <v>YTD  2023</v>
      </c>
      <c r="I8" s="127" t="str">
        <f>G8</f>
        <v>YTD  2022</v>
      </c>
      <c r="J8" s="128" t="str">
        <f>B8</f>
        <v xml:space="preserve"> 2023-12</v>
      </c>
      <c r="K8" s="126" t="str">
        <f>F8</f>
        <v>YTD  2023</v>
      </c>
      <c r="L8" s="25"/>
    </row>
    <row r="9" spans="1:15" ht="15" hidden="1" customHeight="1">
      <c r="A9" s="61" t="s">
        <v>332</v>
      </c>
      <c r="B9" s="61" t="s">
        <v>26</v>
      </c>
      <c r="C9" s="61" t="s">
        <v>298</v>
      </c>
      <c r="D9" s="61" t="s">
        <v>333</v>
      </c>
      <c r="E9" s="61" t="s">
        <v>334</v>
      </c>
      <c r="F9" s="61" t="s">
        <v>299</v>
      </c>
      <c r="G9" s="61" t="s">
        <v>300</v>
      </c>
      <c r="H9" s="61" t="s">
        <v>335</v>
      </c>
      <c r="I9" s="61" t="s">
        <v>336</v>
      </c>
      <c r="J9" s="61" t="s">
        <v>337</v>
      </c>
      <c r="K9" s="61" t="s">
        <v>340</v>
      </c>
      <c r="L9" s="61"/>
      <c r="M9" s="8"/>
      <c r="N9" s="8"/>
      <c r="O9" s="8"/>
    </row>
    <row r="10" spans="1:15">
      <c r="A10" s="61" t="s">
        <v>977</v>
      </c>
      <c r="B10" s="61">
        <v>18512</v>
      </c>
      <c r="C10" s="61">
        <v>26359</v>
      </c>
      <c r="D10" s="79">
        <f t="shared" ref="D10:D17" si="0">(B10/$B$18)*100</f>
        <v>63.237002117920341</v>
      </c>
      <c r="E10" s="79">
        <f t="shared" ref="E10:E17" si="1">(C10/$C$18)*100</f>
        <v>74.300935843950839</v>
      </c>
      <c r="F10" s="61">
        <v>173980</v>
      </c>
      <c r="G10" s="61">
        <v>161774</v>
      </c>
      <c r="H10" s="79">
        <f t="shared" ref="H10:H17" si="2">(F10/$F$18)*100</f>
        <v>60.062485975178227</v>
      </c>
      <c r="I10" s="79">
        <f t="shared" ref="I10:I17" si="3">(G10/$G$18)*100</f>
        <v>56.154564419775966</v>
      </c>
      <c r="J10" s="58">
        <f t="shared" ref="J10:J17" si="4">((( B10  / C10) - 1) * 100)</f>
        <v>-29.769718122842292</v>
      </c>
      <c r="K10" s="58">
        <f t="shared" ref="K10:K17" si="5">((( F10  / G10) - 1) * 100)</f>
        <v>7.5450937727941536</v>
      </c>
      <c r="L10" s="61"/>
      <c r="M10" s="8"/>
      <c r="N10" s="8"/>
      <c r="O10" s="8"/>
    </row>
    <row r="11" spans="1:15">
      <c r="A11" s="61" t="s">
        <v>978</v>
      </c>
      <c r="B11" s="61">
        <v>81</v>
      </c>
      <c r="C11" s="61">
        <v>82</v>
      </c>
      <c r="D11" s="79">
        <f t="shared" si="0"/>
        <v>0.27669604427136713</v>
      </c>
      <c r="E11" s="58">
        <f t="shared" si="1"/>
        <v>0.23114218062915776</v>
      </c>
      <c r="F11" s="61">
        <v>850</v>
      </c>
      <c r="G11" s="61">
        <v>1662</v>
      </c>
      <c r="H11" s="58">
        <f t="shared" si="2"/>
        <v>0.29344242487010858</v>
      </c>
      <c r="I11" s="58">
        <f t="shared" si="3"/>
        <v>0.57690905872184439</v>
      </c>
      <c r="J11" s="58">
        <f t="shared" si="4"/>
        <v>-1.2195121951219523</v>
      </c>
      <c r="K11" s="58">
        <f t="shared" si="5"/>
        <v>-48.856799037304455</v>
      </c>
      <c r="L11" s="61"/>
      <c r="M11" s="8"/>
      <c r="N11" s="8"/>
      <c r="O11" s="8"/>
    </row>
    <row r="12" spans="1:15">
      <c r="A12" s="61" t="s">
        <v>585</v>
      </c>
      <c r="B12" s="61">
        <v>8</v>
      </c>
      <c r="C12" s="61">
        <v>12</v>
      </c>
      <c r="D12" s="79">
        <f t="shared" si="0"/>
        <v>2.7328004372480702E-2</v>
      </c>
      <c r="E12" s="58">
        <f t="shared" si="1"/>
        <v>3.3825684970120645E-2</v>
      </c>
      <c r="F12" s="61">
        <v>97</v>
      </c>
      <c r="G12" s="61">
        <v>155</v>
      </c>
      <c r="H12" s="58">
        <f t="shared" si="2"/>
        <v>3.3486959073412391E-2</v>
      </c>
      <c r="I12" s="58">
        <f t="shared" si="3"/>
        <v>5.3803191397043253E-2</v>
      </c>
      <c r="J12" s="58">
        <f t="shared" si="4"/>
        <v>-33.333333333333336</v>
      </c>
      <c r="K12" s="58">
        <f t="shared" si="5"/>
        <v>-37.419354838709673</v>
      </c>
      <c r="L12" s="61"/>
      <c r="M12" s="8"/>
      <c r="N12" s="8"/>
      <c r="O12" s="8"/>
    </row>
    <row r="13" spans="1:15">
      <c r="A13" s="61" t="s">
        <v>586</v>
      </c>
      <c r="B13" s="61">
        <v>317</v>
      </c>
      <c r="C13" s="61">
        <v>252</v>
      </c>
      <c r="D13" s="79">
        <f t="shared" si="0"/>
        <v>1.0828721732595477</v>
      </c>
      <c r="E13" s="58">
        <f t="shared" si="1"/>
        <v>0.71033938437253352</v>
      </c>
      <c r="F13" s="61">
        <v>3527</v>
      </c>
      <c r="G13" s="61">
        <v>2999</v>
      </c>
      <c r="H13" s="58">
        <f t="shared" si="2"/>
        <v>1.2176134500198506</v>
      </c>
      <c r="I13" s="58">
        <f t="shared" si="3"/>
        <v>1.0410049741918239</v>
      </c>
      <c r="J13" s="58">
        <f t="shared" si="4"/>
        <v>25.793650793650791</v>
      </c>
      <c r="K13" s="58">
        <f t="shared" si="5"/>
        <v>17.605868622874297</v>
      </c>
      <c r="L13" s="61"/>
      <c r="M13" s="8"/>
      <c r="N13" s="8"/>
      <c r="O13" s="8"/>
    </row>
    <row r="14" spans="1:15">
      <c r="A14" s="61" t="s">
        <v>587</v>
      </c>
      <c r="B14" s="61">
        <v>1804</v>
      </c>
      <c r="C14" s="61">
        <v>1671</v>
      </c>
      <c r="D14" s="79">
        <f t="shared" si="0"/>
        <v>6.1624649859943981</v>
      </c>
      <c r="E14" s="58">
        <f t="shared" si="1"/>
        <v>4.7102266320892996</v>
      </c>
      <c r="F14" s="61">
        <v>21862</v>
      </c>
      <c r="G14" s="61">
        <v>23892</v>
      </c>
      <c r="H14" s="58">
        <f t="shared" si="2"/>
        <v>7.5473391676591923</v>
      </c>
      <c r="I14" s="58">
        <f t="shared" si="3"/>
        <v>8.2933280571494024</v>
      </c>
      <c r="J14" s="58">
        <f t="shared" si="4"/>
        <v>7.9593058049072463</v>
      </c>
      <c r="K14" s="58">
        <f t="shared" si="5"/>
        <v>-8.4965678888330842</v>
      </c>
      <c r="L14" s="61"/>
      <c r="M14" s="8"/>
      <c r="N14" s="8"/>
      <c r="O14" s="8"/>
    </row>
    <row r="15" spans="1:15">
      <c r="A15" s="61" t="s">
        <v>338</v>
      </c>
      <c r="B15" s="61">
        <v>1555</v>
      </c>
      <c r="C15" s="61">
        <v>1658</v>
      </c>
      <c r="D15" s="79">
        <f t="shared" si="0"/>
        <v>5.3118808499009358</v>
      </c>
      <c r="E15" s="58">
        <f t="shared" si="1"/>
        <v>4.6735821400383353</v>
      </c>
      <c r="F15" s="61">
        <v>18556</v>
      </c>
      <c r="G15" s="61">
        <v>18026</v>
      </c>
      <c r="H15" s="58">
        <f t="shared" si="2"/>
        <v>6.4060207481055702</v>
      </c>
      <c r="I15" s="58">
        <f t="shared" si="3"/>
        <v>6.2571376007942048</v>
      </c>
      <c r="J15" s="58">
        <f t="shared" si="4"/>
        <v>-6.212303980699641</v>
      </c>
      <c r="K15" s="58">
        <f t="shared" si="5"/>
        <v>2.940197492510821</v>
      </c>
      <c r="L15" s="61"/>
      <c r="M15" s="8"/>
      <c r="N15" s="8"/>
      <c r="O15" s="8"/>
    </row>
    <row r="16" spans="1:15">
      <c r="A16" s="61" t="s">
        <v>339</v>
      </c>
      <c r="B16" s="61">
        <v>1799</v>
      </c>
      <c r="C16" s="61">
        <v>1504</v>
      </c>
      <c r="D16" s="79">
        <f t="shared" si="0"/>
        <v>6.1453849832615974</v>
      </c>
      <c r="E16" s="58">
        <f t="shared" si="1"/>
        <v>4.239485849588454</v>
      </c>
      <c r="F16" s="61">
        <v>22116</v>
      </c>
      <c r="G16" s="61">
        <v>20033</v>
      </c>
      <c r="H16" s="58">
        <f t="shared" si="2"/>
        <v>7.6350266687380248</v>
      </c>
      <c r="I16" s="58">
        <f t="shared" si="3"/>
        <v>6.9538021500449521</v>
      </c>
      <c r="J16" s="58">
        <f t="shared" si="4"/>
        <v>19.61436170212767</v>
      </c>
      <c r="K16" s="58">
        <f t="shared" si="5"/>
        <v>10.397843558129093</v>
      </c>
      <c r="L16" s="61"/>
      <c r="M16" s="8"/>
      <c r="N16" s="8"/>
      <c r="O16" s="8"/>
    </row>
    <row r="17" spans="1:17">
      <c r="A17" s="146" t="s">
        <v>23</v>
      </c>
      <c r="B17" s="146">
        <v>5198</v>
      </c>
      <c r="C17" s="146">
        <v>3938</v>
      </c>
      <c r="D17" s="155">
        <f t="shared" si="0"/>
        <v>17.756370841019333</v>
      </c>
      <c r="E17" s="147">
        <f t="shared" si="1"/>
        <v>11.100462284361258</v>
      </c>
      <c r="F17" s="146">
        <v>48677</v>
      </c>
      <c r="G17" s="146">
        <v>59546</v>
      </c>
      <c r="H17" s="147">
        <f t="shared" si="2"/>
        <v>16.804584606355618</v>
      </c>
      <c r="I17" s="147">
        <f t="shared" si="3"/>
        <v>20.669450547924757</v>
      </c>
      <c r="J17" s="147">
        <f t="shared" si="4"/>
        <v>31.995937023869981</v>
      </c>
      <c r="K17" s="147">
        <f t="shared" si="5"/>
        <v>-18.25311523863904</v>
      </c>
      <c r="L17" s="61"/>
      <c r="M17" s="8"/>
      <c r="N17" s="8"/>
      <c r="O17" s="8"/>
    </row>
    <row r="18" spans="1:17">
      <c r="A18" s="81" t="s">
        <v>454</v>
      </c>
      <c r="B18" s="81">
        <f>SUM(B10:B17)</f>
        <v>29274</v>
      </c>
      <c r="C18" s="210">
        <f>SUM(C10:C17)</f>
        <v>35476</v>
      </c>
      <c r="D18" s="82">
        <f t="shared" ref="D18" si="6">(B18/$B$18)*100</f>
        <v>100</v>
      </c>
      <c r="E18" s="82">
        <f t="shared" ref="E18" si="7">(C18/$C$18)*100</f>
        <v>100</v>
      </c>
      <c r="F18" s="210">
        <f>SUM(F10:F17)</f>
        <v>289665</v>
      </c>
      <c r="G18" s="210">
        <f>SUM(G10:G17)</f>
        <v>288087</v>
      </c>
      <c r="H18" s="82">
        <f t="shared" ref="H18" si="8">(F18/$F$18)*100</f>
        <v>100</v>
      </c>
      <c r="I18" s="82">
        <f t="shared" ref="I18" si="9">(G18/$G$18)*100</f>
        <v>100</v>
      </c>
      <c r="J18" s="83">
        <f>((( B18  / C18) - 1) * 100)</f>
        <v>-17.482241515390683</v>
      </c>
      <c r="K18" s="83">
        <f>((( F18  / G18) - 1) * 100)</f>
        <v>0.54775120015828627</v>
      </c>
      <c r="L18" s="79"/>
      <c r="M18" s="4"/>
      <c r="N18" s="4"/>
      <c r="O18" s="8"/>
      <c r="P18" s="8"/>
      <c r="Q18" s="8"/>
    </row>
    <row r="19" spans="1:17">
      <c r="Q19" s="15"/>
    </row>
    <row r="21" spans="1:17">
      <c r="Q21" s="15"/>
    </row>
  </sheetData>
  <mergeCells count="5">
    <mergeCell ref="B7:C7"/>
    <mergeCell ref="D7:E7"/>
    <mergeCell ref="H7:I7"/>
    <mergeCell ref="J7:K7"/>
    <mergeCell ref="G6:K6"/>
  </mergeCells>
  <dataValidations count="4">
    <dataValidation allowBlank="1" showInputMessage="1" showErrorMessage="1" prompt="antalet registreringar ackumulerat från föregående års början t.o.m den aktuella månaden i föregående år." sqref="I8" xr:uid="{00000000-0002-0000-0A00-000000000000}"/>
    <dataValidation allowBlank="1" showInputMessage="1" showErrorMessage="1" prompt="visar antalet registreringar för den aktuella månaden föregående år." sqref="E8" xr:uid="{00000000-0002-0000-0A00-000001000000}"/>
    <dataValidation allowBlank="1" showInputMessage="1" showErrorMessage="1" prompt="visar antalet registreringar för den aktuella månaden i år." sqref="B8:D8 J8 F8:G8" xr:uid="{00000000-0002-0000-0A00-000002000000}"/>
    <dataValidation allowBlank="1" showInputMessage="1" showErrorMessage="1" prompt="förändring i marknads-andelen ackumulerat från årets början t.o.m den aktuella månaden." sqref="H8 K8" xr:uid="{00000000-0002-0000-0A00-000003000000}"/>
  </dataValidations>
  <pageMargins left="0.70866141732283472" right="0.70866141732283472" top="0.74803149606299213" bottom="0.74803149606299213" header="0.31496062992125984" footer="0.31496062992125984"/>
  <pageSetup paperSize="9" orientation="landscape" r:id="rId1"/>
  <rowBreaks count="1" manualBreakCount="1">
    <brk id="20" max="16383" man="1"/>
  </rowBreaks>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93"/>
  <sheetViews>
    <sheetView workbookViewId="0">
      <pane ySplit="8" topLeftCell="A9" activePane="bottomLeft" state="frozen"/>
      <selection pane="bottomLeft" activeCell="R77" sqref="R77"/>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240</v>
      </c>
      <c r="E2" s="56"/>
      <c r="F2" s="56"/>
      <c r="G2" s="56"/>
      <c r="H2" s="56"/>
      <c r="I2" s="56"/>
      <c r="J2" s="56"/>
      <c r="P2"/>
      <c r="Q2"/>
    </row>
    <row r="4" spans="1:17" ht="15.75" customHeight="1">
      <c r="A4" s="86" t="s">
        <v>457</v>
      </c>
      <c r="B4" s="25"/>
      <c r="C4" s="25"/>
      <c r="D4" s="25"/>
      <c r="E4" s="25"/>
      <c r="F4" s="25"/>
      <c r="G4" s="25"/>
      <c r="H4" s="38"/>
      <c r="I4" s="38"/>
      <c r="J4" s="25"/>
      <c r="K4" s="25"/>
      <c r="L4" s="25"/>
      <c r="M4" s="25"/>
      <c r="N4" s="25"/>
      <c r="O4" s="25"/>
      <c r="P4" s="38"/>
      <c r="Q4" s="38"/>
    </row>
    <row r="5" spans="1:17">
      <c r="A5" s="129"/>
      <c r="B5" s="271" t="str">
        <f>Innehåll!D75</f>
        <v>December</v>
      </c>
      <c r="C5" s="273"/>
      <c r="D5" s="273"/>
      <c r="E5" s="273"/>
      <c r="F5" s="273"/>
      <c r="G5" s="273"/>
      <c r="H5" s="273"/>
      <c r="I5" s="273"/>
      <c r="J5" s="271" t="str">
        <f>Innehåll!D76</f>
        <v>Januari - december</v>
      </c>
      <c r="K5" s="273"/>
      <c r="L5" s="273"/>
      <c r="M5" s="273"/>
      <c r="N5" s="273"/>
      <c r="O5" s="273"/>
      <c r="P5" s="273"/>
      <c r="Q5" s="273"/>
    </row>
    <row r="6" spans="1:17">
      <c r="A6" s="129"/>
      <c r="B6" s="271" t="s">
        <v>540</v>
      </c>
      <c r="C6" s="272"/>
      <c r="D6" s="271" t="s">
        <v>541</v>
      </c>
      <c r="E6" s="272"/>
      <c r="F6" s="271" t="s">
        <v>542</v>
      </c>
      <c r="G6" s="272"/>
      <c r="H6" s="271" t="s">
        <v>454</v>
      </c>
      <c r="I6" s="272"/>
      <c r="J6" s="271" t="s">
        <v>540</v>
      </c>
      <c r="K6" s="272"/>
      <c r="L6" s="271" t="s">
        <v>541</v>
      </c>
      <c r="M6" s="272"/>
      <c r="N6" s="271" t="s">
        <v>542</v>
      </c>
      <c r="O6" s="272"/>
      <c r="P6" s="271" t="s">
        <v>454</v>
      </c>
      <c r="Q6" s="273"/>
    </row>
    <row r="7" spans="1:17">
      <c r="A7" s="129" t="s">
        <v>463</v>
      </c>
      <c r="B7" s="129" t="str">
        <f>Innehåll!D77</f>
        <v xml:space="preserve"> 2023</v>
      </c>
      <c r="C7" s="129" t="str">
        <f>Innehåll!D78</f>
        <v xml:space="preserve"> 2022</v>
      </c>
      <c r="D7" s="129" t="str">
        <f>B7</f>
        <v xml:space="preserve"> 2023</v>
      </c>
      <c r="E7" s="129" t="str">
        <f>C7</f>
        <v xml:space="preserve"> 2022</v>
      </c>
      <c r="F7" s="129" t="str">
        <f>B7</f>
        <v xml:space="preserve"> 2023</v>
      </c>
      <c r="G7" s="129" t="str">
        <f>C7</f>
        <v xml:space="preserve"> 2022</v>
      </c>
      <c r="H7" s="129" t="str">
        <f>B7</f>
        <v xml:space="preserve"> 2023</v>
      </c>
      <c r="I7" s="129" t="str">
        <f>C7</f>
        <v xml:space="preserve"> 2022</v>
      </c>
      <c r="J7" s="129" t="str">
        <f>B7</f>
        <v xml:space="preserve"> 2023</v>
      </c>
      <c r="K7" s="129" t="str">
        <f>C7</f>
        <v xml:space="preserve"> 2022</v>
      </c>
      <c r="L7" s="129" t="str">
        <f>B7</f>
        <v xml:space="preserve"> 2023</v>
      </c>
      <c r="M7" s="129" t="str">
        <f>C7</f>
        <v xml:space="preserve"> 2022</v>
      </c>
      <c r="N7" s="129" t="str">
        <f>B7</f>
        <v xml:space="preserve"> 2023</v>
      </c>
      <c r="O7" s="129" t="str">
        <f>C7</f>
        <v xml:space="preserve"> 2022</v>
      </c>
      <c r="P7" s="129" t="str">
        <f>B7</f>
        <v xml:space="preserve"> 2023</v>
      </c>
      <c r="Q7" s="129" t="str">
        <f>C7</f>
        <v xml:space="preserve"> 2022</v>
      </c>
    </row>
    <row r="8" spans="1:17" ht="15" hidden="1" customHeight="1">
      <c r="A8" s="25" t="s">
        <v>241</v>
      </c>
      <c r="B8" s="25" t="s">
        <v>242</v>
      </c>
      <c r="C8" s="25" t="s">
        <v>243</v>
      </c>
      <c r="D8" s="25" t="s">
        <v>244</v>
      </c>
      <c r="E8" s="25" t="s">
        <v>245</v>
      </c>
      <c r="F8" s="25" t="s">
        <v>246</v>
      </c>
      <c r="G8" s="25" t="s">
        <v>247</v>
      </c>
      <c r="H8" s="38" t="s">
        <v>248</v>
      </c>
      <c r="I8" s="38" t="s">
        <v>249</v>
      </c>
      <c r="J8" s="25" t="s">
        <v>250</v>
      </c>
      <c r="K8" s="25" t="s">
        <v>251</v>
      </c>
      <c r="L8" s="25" t="s">
        <v>252</v>
      </c>
      <c r="M8" s="25" t="s">
        <v>253</v>
      </c>
      <c r="N8" s="25" t="s">
        <v>254</v>
      </c>
      <c r="O8" s="25" t="s">
        <v>255</v>
      </c>
      <c r="P8" s="38" t="s">
        <v>256</v>
      </c>
      <c r="Q8" s="38" t="s">
        <v>257</v>
      </c>
    </row>
    <row r="9" spans="1:17">
      <c r="A9" s="25" t="s">
        <v>258</v>
      </c>
      <c r="B9" s="61">
        <v>3</v>
      </c>
      <c r="C9" s="61">
        <v>0</v>
      </c>
      <c r="D9" s="61">
        <v>3</v>
      </c>
      <c r="E9" s="61">
        <v>18</v>
      </c>
      <c r="F9" s="25">
        <v>50</v>
      </c>
      <c r="G9" s="25">
        <v>100</v>
      </c>
      <c r="H9" s="85">
        <v>6</v>
      </c>
      <c r="I9" s="85">
        <v>18</v>
      </c>
      <c r="J9" s="61">
        <v>19</v>
      </c>
      <c r="K9" s="61">
        <v>11</v>
      </c>
      <c r="L9" s="61">
        <v>214</v>
      </c>
      <c r="M9" s="61">
        <v>77</v>
      </c>
      <c r="N9" s="25">
        <v>91.8</v>
      </c>
      <c r="O9" s="25">
        <v>87.5</v>
      </c>
      <c r="P9" s="85">
        <v>233</v>
      </c>
      <c r="Q9" s="85">
        <v>88</v>
      </c>
    </row>
    <row r="10" spans="1:17">
      <c r="A10" s="25" t="s">
        <v>552</v>
      </c>
      <c r="B10" s="61">
        <v>0</v>
      </c>
      <c r="C10" s="61">
        <v>0</v>
      </c>
      <c r="D10" s="61">
        <v>0</v>
      </c>
      <c r="E10" s="61">
        <v>2</v>
      </c>
      <c r="F10" s="25">
        <v>0</v>
      </c>
      <c r="G10" s="25">
        <v>100</v>
      </c>
      <c r="H10" s="85">
        <v>0</v>
      </c>
      <c r="I10" s="85">
        <v>2</v>
      </c>
      <c r="J10" s="61">
        <v>0</v>
      </c>
      <c r="K10" s="61">
        <v>6</v>
      </c>
      <c r="L10" s="61">
        <v>5</v>
      </c>
      <c r="M10" s="61">
        <v>7</v>
      </c>
      <c r="N10" s="25">
        <v>100</v>
      </c>
      <c r="O10" s="25">
        <v>53.8</v>
      </c>
      <c r="P10" s="85">
        <v>5</v>
      </c>
      <c r="Q10" s="85">
        <v>13</v>
      </c>
    </row>
    <row r="11" spans="1:17">
      <c r="A11" s="25" t="s">
        <v>259</v>
      </c>
      <c r="B11" s="61">
        <v>565</v>
      </c>
      <c r="C11" s="61">
        <v>721</v>
      </c>
      <c r="D11" s="61">
        <v>1640</v>
      </c>
      <c r="E11" s="61">
        <v>1059</v>
      </c>
      <c r="F11" s="25">
        <v>74.400000000000006</v>
      </c>
      <c r="G11" s="25">
        <v>59.5</v>
      </c>
      <c r="H11" s="85">
        <v>2205</v>
      </c>
      <c r="I11" s="85">
        <v>1780</v>
      </c>
      <c r="J11" s="61">
        <v>5998</v>
      </c>
      <c r="K11" s="61">
        <v>5469</v>
      </c>
      <c r="L11" s="61">
        <v>12541</v>
      </c>
      <c r="M11" s="61">
        <v>8405</v>
      </c>
      <c r="N11" s="25">
        <v>67.599999999999994</v>
      </c>
      <c r="O11" s="25">
        <v>60.6</v>
      </c>
      <c r="P11" s="85">
        <v>18539</v>
      </c>
      <c r="Q11" s="85">
        <v>13874</v>
      </c>
    </row>
    <row r="12" spans="1:17">
      <c r="A12" s="25" t="s">
        <v>260</v>
      </c>
      <c r="B12" s="61">
        <v>1</v>
      </c>
      <c r="C12" s="61">
        <v>0</v>
      </c>
      <c r="D12" s="61">
        <v>0</v>
      </c>
      <c r="E12" s="61">
        <v>1</v>
      </c>
      <c r="F12" s="25">
        <v>0</v>
      </c>
      <c r="G12" s="25">
        <v>100</v>
      </c>
      <c r="H12" s="85">
        <v>1</v>
      </c>
      <c r="I12" s="85">
        <v>1</v>
      </c>
      <c r="J12" s="61">
        <v>13</v>
      </c>
      <c r="K12" s="61">
        <v>12</v>
      </c>
      <c r="L12" s="61">
        <v>16</v>
      </c>
      <c r="M12" s="61">
        <v>18</v>
      </c>
      <c r="N12" s="25">
        <v>55.2</v>
      </c>
      <c r="O12" s="25">
        <v>60</v>
      </c>
      <c r="P12" s="85">
        <v>29</v>
      </c>
      <c r="Q12" s="85">
        <v>30</v>
      </c>
    </row>
    <row r="13" spans="1:17">
      <c r="A13" s="25" t="s">
        <v>261</v>
      </c>
      <c r="B13" s="61">
        <v>149</v>
      </c>
      <c r="C13" s="61">
        <v>356</v>
      </c>
      <c r="D13" s="61">
        <v>1217</v>
      </c>
      <c r="E13" s="61">
        <v>1217</v>
      </c>
      <c r="F13" s="25">
        <v>89.1</v>
      </c>
      <c r="G13" s="25">
        <v>77.400000000000006</v>
      </c>
      <c r="H13" s="85">
        <v>1366</v>
      </c>
      <c r="I13" s="85">
        <v>1573</v>
      </c>
      <c r="J13" s="61">
        <v>2523</v>
      </c>
      <c r="K13" s="61">
        <v>5455</v>
      </c>
      <c r="L13" s="61">
        <v>13074</v>
      </c>
      <c r="M13" s="61">
        <v>11108</v>
      </c>
      <c r="N13" s="25">
        <v>83.8</v>
      </c>
      <c r="O13" s="25">
        <v>67.099999999999994</v>
      </c>
      <c r="P13" s="85">
        <v>15597</v>
      </c>
      <c r="Q13" s="85">
        <v>16563</v>
      </c>
    </row>
    <row r="14" spans="1:17">
      <c r="A14" s="25" t="s">
        <v>673</v>
      </c>
      <c r="B14" s="61">
        <v>108</v>
      </c>
      <c r="C14" s="61">
        <v>925</v>
      </c>
      <c r="D14" s="61">
        <v>126</v>
      </c>
      <c r="E14" s="61">
        <v>58</v>
      </c>
      <c r="F14" s="25">
        <v>53.8</v>
      </c>
      <c r="G14" s="25">
        <v>5.9</v>
      </c>
      <c r="H14" s="85">
        <v>234</v>
      </c>
      <c r="I14" s="85">
        <v>983</v>
      </c>
      <c r="J14" s="61">
        <v>2710</v>
      </c>
      <c r="K14" s="61">
        <v>992</v>
      </c>
      <c r="L14" s="61">
        <v>740</v>
      </c>
      <c r="M14" s="61">
        <v>96</v>
      </c>
      <c r="N14" s="25">
        <v>21.4</v>
      </c>
      <c r="O14" s="25">
        <v>8.8000000000000007</v>
      </c>
      <c r="P14" s="85">
        <v>3450</v>
      </c>
      <c r="Q14" s="85">
        <v>1088</v>
      </c>
    </row>
    <row r="15" spans="1:17">
      <c r="A15" s="25" t="s">
        <v>670</v>
      </c>
      <c r="B15" s="61">
        <v>0</v>
      </c>
      <c r="C15" s="61">
        <v>0</v>
      </c>
      <c r="D15" s="61">
        <v>0</v>
      </c>
      <c r="E15" s="61">
        <v>0</v>
      </c>
      <c r="F15" s="25">
        <v>0</v>
      </c>
      <c r="G15" s="25">
        <v>0</v>
      </c>
      <c r="H15" s="85">
        <v>0</v>
      </c>
      <c r="I15" s="85">
        <v>0</v>
      </c>
      <c r="J15" s="61">
        <v>5</v>
      </c>
      <c r="K15" s="61">
        <v>4</v>
      </c>
      <c r="L15" s="61">
        <v>9</v>
      </c>
      <c r="M15" s="61">
        <v>7</v>
      </c>
      <c r="N15" s="25">
        <v>64.3</v>
      </c>
      <c r="O15" s="25">
        <v>63.6</v>
      </c>
      <c r="P15" s="85">
        <v>14</v>
      </c>
      <c r="Q15" s="85">
        <v>11</v>
      </c>
    </row>
    <row r="16" spans="1:17">
      <c r="A16" s="25" t="s">
        <v>262</v>
      </c>
      <c r="B16" s="61">
        <v>0</v>
      </c>
      <c r="C16" s="61">
        <v>1</v>
      </c>
      <c r="D16" s="61">
        <v>3</v>
      </c>
      <c r="E16" s="61">
        <v>5</v>
      </c>
      <c r="F16" s="25">
        <v>100</v>
      </c>
      <c r="G16" s="25">
        <v>83.3</v>
      </c>
      <c r="H16" s="85">
        <v>3</v>
      </c>
      <c r="I16" s="85">
        <v>6</v>
      </c>
      <c r="J16" s="61">
        <v>23</v>
      </c>
      <c r="K16" s="61">
        <v>28</v>
      </c>
      <c r="L16" s="61">
        <v>40</v>
      </c>
      <c r="M16" s="61">
        <v>44</v>
      </c>
      <c r="N16" s="25">
        <v>63.5</v>
      </c>
      <c r="O16" s="25">
        <v>61.1</v>
      </c>
      <c r="P16" s="85">
        <v>63</v>
      </c>
      <c r="Q16" s="85">
        <v>72</v>
      </c>
    </row>
    <row r="17" spans="1:17">
      <c r="A17" s="25" t="s">
        <v>263</v>
      </c>
      <c r="B17" s="61">
        <v>158</v>
      </c>
      <c r="C17" s="61">
        <v>80</v>
      </c>
      <c r="D17" s="61">
        <v>114</v>
      </c>
      <c r="E17" s="61">
        <v>59</v>
      </c>
      <c r="F17" s="25">
        <v>41.9</v>
      </c>
      <c r="G17" s="25">
        <v>42.4</v>
      </c>
      <c r="H17" s="85">
        <v>272</v>
      </c>
      <c r="I17" s="85">
        <v>139</v>
      </c>
      <c r="J17" s="61">
        <v>1404</v>
      </c>
      <c r="K17" s="61">
        <v>1385</v>
      </c>
      <c r="L17" s="61">
        <v>2283</v>
      </c>
      <c r="M17" s="61">
        <v>1967</v>
      </c>
      <c r="N17" s="25">
        <v>61.9</v>
      </c>
      <c r="O17" s="25">
        <v>58.7</v>
      </c>
      <c r="P17" s="85">
        <v>3687</v>
      </c>
      <c r="Q17" s="85">
        <v>3352</v>
      </c>
    </row>
    <row r="18" spans="1:17">
      <c r="A18" s="25" t="s">
        <v>1060</v>
      </c>
      <c r="B18" s="61">
        <v>271</v>
      </c>
      <c r="C18" s="61">
        <v>0</v>
      </c>
      <c r="D18" s="61">
        <v>313</v>
      </c>
      <c r="E18" s="61">
        <v>0</v>
      </c>
      <c r="F18" s="25">
        <v>53.6</v>
      </c>
      <c r="G18" s="25">
        <v>0</v>
      </c>
      <c r="H18" s="85">
        <v>584</v>
      </c>
      <c r="I18" s="85">
        <v>0</v>
      </c>
      <c r="J18" s="61">
        <v>1584</v>
      </c>
      <c r="K18" s="61">
        <v>0</v>
      </c>
      <c r="L18" s="61">
        <v>2238</v>
      </c>
      <c r="M18" s="61">
        <v>0</v>
      </c>
      <c r="N18" s="25">
        <v>58.6</v>
      </c>
      <c r="O18" s="25">
        <v>0</v>
      </c>
      <c r="P18" s="85">
        <v>3822</v>
      </c>
      <c r="Q18" s="85">
        <v>0</v>
      </c>
    </row>
    <row r="19" spans="1:17">
      <c r="A19" s="25" t="s">
        <v>264</v>
      </c>
      <c r="B19" s="61">
        <v>151</v>
      </c>
      <c r="C19" s="61">
        <v>154</v>
      </c>
      <c r="D19" s="61">
        <v>311</v>
      </c>
      <c r="E19" s="61">
        <v>106</v>
      </c>
      <c r="F19" s="25">
        <v>67.3</v>
      </c>
      <c r="G19" s="25">
        <v>40.799999999999997</v>
      </c>
      <c r="H19" s="85">
        <v>462</v>
      </c>
      <c r="I19" s="85">
        <v>260</v>
      </c>
      <c r="J19" s="61">
        <v>1318</v>
      </c>
      <c r="K19" s="61">
        <v>1638</v>
      </c>
      <c r="L19" s="61">
        <v>1674</v>
      </c>
      <c r="M19" s="61">
        <v>1287</v>
      </c>
      <c r="N19" s="25">
        <v>55.9</v>
      </c>
      <c r="O19" s="25">
        <v>44</v>
      </c>
      <c r="P19" s="85">
        <v>2992</v>
      </c>
      <c r="Q19" s="85">
        <v>2925</v>
      </c>
    </row>
    <row r="20" spans="1:17">
      <c r="A20" s="25" t="s">
        <v>296</v>
      </c>
      <c r="B20" s="61">
        <v>0</v>
      </c>
      <c r="C20" s="61">
        <v>31</v>
      </c>
      <c r="D20" s="61">
        <v>2</v>
      </c>
      <c r="E20" s="61">
        <v>48</v>
      </c>
      <c r="F20" s="25">
        <v>100</v>
      </c>
      <c r="G20" s="25">
        <v>60.8</v>
      </c>
      <c r="H20" s="85">
        <v>2</v>
      </c>
      <c r="I20" s="85">
        <v>79</v>
      </c>
      <c r="J20" s="61">
        <v>51</v>
      </c>
      <c r="K20" s="61">
        <v>297</v>
      </c>
      <c r="L20" s="61">
        <v>261</v>
      </c>
      <c r="M20" s="61">
        <v>265</v>
      </c>
      <c r="N20" s="25">
        <v>83.7</v>
      </c>
      <c r="O20" s="25">
        <v>47.2</v>
      </c>
      <c r="P20" s="85">
        <v>312</v>
      </c>
      <c r="Q20" s="85">
        <v>562</v>
      </c>
    </row>
    <row r="21" spans="1:17">
      <c r="A21" s="25" t="s">
        <v>671</v>
      </c>
      <c r="B21" s="61">
        <v>0</v>
      </c>
      <c r="C21" s="61">
        <v>3</v>
      </c>
      <c r="D21" s="61">
        <v>3</v>
      </c>
      <c r="E21" s="61">
        <v>1</v>
      </c>
      <c r="F21" s="25">
        <v>100</v>
      </c>
      <c r="G21" s="25">
        <v>25</v>
      </c>
      <c r="H21" s="85">
        <v>3</v>
      </c>
      <c r="I21" s="85">
        <v>4</v>
      </c>
      <c r="J21" s="61">
        <v>36</v>
      </c>
      <c r="K21" s="61">
        <v>44</v>
      </c>
      <c r="L21" s="61">
        <v>38</v>
      </c>
      <c r="M21" s="61">
        <v>28</v>
      </c>
      <c r="N21" s="25">
        <v>51.4</v>
      </c>
      <c r="O21" s="25">
        <v>38.9</v>
      </c>
      <c r="P21" s="85">
        <v>74</v>
      </c>
      <c r="Q21" s="85">
        <v>72</v>
      </c>
    </row>
    <row r="22" spans="1:17">
      <c r="A22" s="25" t="s">
        <v>265</v>
      </c>
      <c r="B22" s="61">
        <v>50</v>
      </c>
      <c r="C22" s="61">
        <v>52</v>
      </c>
      <c r="D22" s="61">
        <v>22</v>
      </c>
      <c r="E22" s="61">
        <v>24</v>
      </c>
      <c r="F22" s="25">
        <v>30.6</v>
      </c>
      <c r="G22" s="25">
        <v>31.6</v>
      </c>
      <c r="H22" s="85">
        <v>72</v>
      </c>
      <c r="I22" s="85">
        <v>76</v>
      </c>
      <c r="J22" s="61">
        <v>1311</v>
      </c>
      <c r="K22" s="61">
        <v>2381</v>
      </c>
      <c r="L22" s="61">
        <v>771</v>
      </c>
      <c r="M22" s="61">
        <v>513</v>
      </c>
      <c r="N22" s="25">
        <v>37</v>
      </c>
      <c r="O22" s="25">
        <v>17.7</v>
      </c>
      <c r="P22" s="85">
        <v>2082</v>
      </c>
      <c r="Q22" s="85">
        <v>2894</v>
      </c>
    </row>
    <row r="23" spans="1:17">
      <c r="A23" s="25" t="s">
        <v>266</v>
      </c>
      <c r="B23" s="61">
        <v>138</v>
      </c>
      <c r="C23" s="61">
        <v>244</v>
      </c>
      <c r="D23" s="61">
        <v>536</v>
      </c>
      <c r="E23" s="61">
        <v>926</v>
      </c>
      <c r="F23" s="25">
        <v>79.5</v>
      </c>
      <c r="G23" s="25">
        <v>79.099999999999994</v>
      </c>
      <c r="H23" s="85">
        <v>674</v>
      </c>
      <c r="I23" s="85">
        <v>1170</v>
      </c>
      <c r="J23" s="61">
        <v>1521</v>
      </c>
      <c r="K23" s="61">
        <v>4988</v>
      </c>
      <c r="L23" s="61">
        <v>5142</v>
      </c>
      <c r="M23" s="61">
        <v>5685</v>
      </c>
      <c r="N23" s="25">
        <v>77.2</v>
      </c>
      <c r="O23" s="25">
        <v>53.3</v>
      </c>
      <c r="P23" s="85">
        <v>6663</v>
      </c>
      <c r="Q23" s="85">
        <v>10673</v>
      </c>
    </row>
    <row r="24" spans="1:17">
      <c r="A24" s="25" t="s">
        <v>267</v>
      </c>
      <c r="B24" s="61">
        <v>26</v>
      </c>
      <c r="C24" s="61">
        <v>30</v>
      </c>
      <c r="D24" s="61">
        <v>24</v>
      </c>
      <c r="E24" s="61">
        <v>60</v>
      </c>
      <c r="F24" s="25">
        <v>48</v>
      </c>
      <c r="G24" s="25">
        <v>66.7</v>
      </c>
      <c r="H24" s="85">
        <v>50</v>
      </c>
      <c r="I24" s="85">
        <v>90</v>
      </c>
      <c r="J24" s="61">
        <v>434</v>
      </c>
      <c r="K24" s="61">
        <v>680</v>
      </c>
      <c r="L24" s="61">
        <v>434</v>
      </c>
      <c r="M24" s="61">
        <v>511</v>
      </c>
      <c r="N24" s="25">
        <v>50</v>
      </c>
      <c r="O24" s="25">
        <v>42.9</v>
      </c>
      <c r="P24" s="85">
        <v>868</v>
      </c>
      <c r="Q24" s="85">
        <v>1191</v>
      </c>
    </row>
    <row r="25" spans="1:17">
      <c r="A25" s="25" t="s">
        <v>1048</v>
      </c>
      <c r="B25" s="61">
        <v>0</v>
      </c>
      <c r="C25" s="61">
        <v>0</v>
      </c>
      <c r="D25" s="61">
        <v>11</v>
      </c>
      <c r="E25" s="61">
        <v>0</v>
      </c>
      <c r="F25" s="25">
        <v>100</v>
      </c>
      <c r="G25" s="25">
        <v>0</v>
      </c>
      <c r="H25" s="85">
        <v>11</v>
      </c>
      <c r="I25" s="85">
        <v>0</v>
      </c>
      <c r="J25" s="61">
        <v>8</v>
      </c>
      <c r="K25" s="61">
        <v>0</v>
      </c>
      <c r="L25" s="61">
        <v>78</v>
      </c>
      <c r="M25" s="61">
        <v>0</v>
      </c>
      <c r="N25" s="25">
        <v>90.7</v>
      </c>
      <c r="O25" s="25">
        <v>0</v>
      </c>
      <c r="P25" s="85">
        <v>86</v>
      </c>
      <c r="Q25" s="85">
        <v>0</v>
      </c>
    </row>
    <row r="26" spans="1:17">
      <c r="A26" s="25" t="s">
        <v>268</v>
      </c>
      <c r="B26" s="61">
        <v>187</v>
      </c>
      <c r="C26" s="61">
        <v>354</v>
      </c>
      <c r="D26" s="61">
        <v>281</v>
      </c>
      <c r="E26" s="61">
        <v>312</v>
      </c>
      <c r="F26" s="25">
        <v>60</v>
      </c>
      <c r="G26" s="25">
        <v>46.8</v>
      </c>
      <c r="H26" s="85">
        <v>468</v>
      </c>
      <c r="I26" s="85">
        <v>666</v>
      </c>
      <c r="J26" s="61">
        <v>2566</v>
      </c>
      <c r="K26" s="61">
        <v>3269</v>
      </c>
      <c r="L26" s="61">
        <v>2993</v>
      </c>
      <c r="M26" s="61">
        <v>2599</v>
      </c>
      <c r="N26" s="25">
        <v>53.8</v>
      </c>
      <c r="O26" s="25">
        <v>44.3</v>
      </c>
      <c r="P26" s="85">
        <v>5559</v>
      </c>
      <c r="Q26" s="85">
        <v>5868</v>
      </c>
    </row>
    <row r="27" spans="1:17">
      <c r="A27" s="25" t="s">
        <v>1207</v>
      </c>
      <c r="B27" s="61">
        <v>7</v>
      </c>
      <c r="C27" s="61">
        <v>0</v>
      </c>
      <c r="D27" s="61">
        <v>1</v>
      </c>
      <c r="E27" s="61">
        <v>0</v>
      </c>
      <c r="F27" s="25">
        <v>12.5</v>
      </c>
      <c r="G27" s="25">
        <v>0</v>
      </c>
      <c r="H27" s="85">
        <v>8</v>
      </c>
      <c r="I27" s="85">
        <v>0</v>
      </c>
      <c r="J27" s="61">
        <v>19</v>
      </c>
      <c r="K27" s="61">
        <v>0</v>
      </c>
      <c r="L27" s="61">
        <v>24</v>
      </c>
      <c r="M27" s="61">
        <v>0</v>
      </c>
      <c r="N27" s="25">
        <v>55.8</v>
      </c>
      <c r="O27" s="25">
        <v>0</v>
      </c>
      <c r="P27" s="85">
        <v>43</v>
      </c>
      <c r="Q27" s="85">
        <v>0</v>
      </c>
    </row>
    <row r="28" spans="1:17">
      <c r="A28" s="25" t="s">
        <v>269</v>
      </c>
      <c r="B28" s="61">
        <v>0</v>
      </c>
      <c r="C28" s="61">
        <v>1</v>
      </c>
      <c r="D28" s="61">
        <v>1</v>
      </c>
      <c r="E28" s="61">
        <v>0</v>
      </c>
      <c r="F28" s="25">
        <v>100</v>
      </c>
      <c r="G28" s="25">
        <v>0</v>
      </c>
      <c r="H28" s="85">
        <v>1</v>
      </c>
      <c r="I28" s="85">
        <v>1</v>
      </c>
      <c r="J28" s="61">
        <v>32</v>
      </c>
      <c r="K28" s="61">
        <v>41</v>
      </c>
      <c r="L28" s="61">
        <v>5</v>
      </c>
      <c r="M28" s="61">
        <v>3</v>
      </c>
      <c r="N28" s="25">
        <v>13.5</v>
      </c>
      <c r="O28" s="25">
        <v>6.8</v>
      </c>
      <c r="P28" s="85">
        <v>37</v>
      </c>
      <c r="Q28" s="85">
        <v>44</v>
      </c>
    </row>
    <row r="29" spans="1:17">
      <c r="A29" s="25" t="s">
        <v>1254</v>
      </c>
      <c r="B29" s="61">
        <v>0</v>
      </c>
      <c r="C29" s="61">
        <v>0</v>
      </c>
      <c r="D29" s="61">
        <v>0</v>
      </c>
      <c r="E29" s="61">
        <v>0</v>
      </c>
      <c r="F29" s="25">
        <v>0</v>
      </c>
      <c r="G29" s="25">
        <v>0</v>
      </c>
      <c r="H29" s="85">
        <v>0</v>
      </c>
      <c r="I29" s="85">
        <v>0</v>
      </c>
      <c r="J29" s="61">
        <v>1</v>
      </c>
      <c r="K29" s="61">
        <v>0</v>
      </c>
      <c r="L29" s="61">
        <v>4</v>
      </c>
      <c r="M29" s="61">
        <v>0</v>
      </c>
      <c r="N29" s="25">
        <v>80</v>
      </c>
      <c r="O29" s="25">
        <v>0</v>
      </c>
      <c r="P29" s="85">
        <v>5</v>
      </c>
      <c r="Q29" s="85">
        <v>0</v>
      </c>
    </row>
    <row r="30" spans="1:17">
      <c r="A30" s="25" t="s">
        <v>270</v>
      </c>
      <c r="B30" s="61">
        <v>0</v>
      </c>
      <c r="C30" s="61">
        <v>1</v>
      </c>
      <c r="D30" s="61">
        <v>1</v>
      </c>
      <c r="E30" s="61">
        <v>2</v>
      </c>
      <c r="F30" s="25">
        <v>100</v>
      </c>
      <c r="G30" s="25">
        <v>66.7</v>
      </c>
      <c r="H30" s="85">
        <v>1</v>
      </c>
      <c r="I30" s="85">
        <v>3</v>
      </c>
      <c r="J30" s="61">
        <v>10</v>
      </c>
      <c r="K30" s="61">
        <v>19</v>
      </c>
      <c r="L30" s="61">
        <v>49</v>
      </c>
      <c r="M30" s="61">
        <v>84</v>
      </c>
      <c r="N30" s="25">
        <v>83.1</v>
      </c>
      <c r="O30" s="25">
        <v>81.599999999999994</v>
      </c>
      <c r="P30" s="85">
        <v>59</v>
      </c>
      <c r="Q30" s="85">
        <v>103</v>
      </c>
    </row>
    <row r="31" spans="1:17">
      <c r="A31" s="25" t="s">
        <v>271</v>
      </c>
      <c r="B31" s="61">
        <v>3</v>
      </c>
      <c r="C31" s="61">
        <v>1</v>
      </c>
      <c r="D31" s="61">
        <v>2</v>
      </c>
      <c r="E31" s="61">
        <v>8</v>
      </c>
      <c r="F31" s="25">
        <v>40</v>
      </c>
      <c r="G31" s="25">
        <v>88.9</v>
      </c>
      <c r="H31" s="85">
        <v>5</v>
      </c>
      <c r="I31" s="85">
        <v>9</v>
      </c>
      <c r="J31" s="61">
        <v>19</v>
      </c>
      <c r="K31" s="61">
        <v>69</v>
      </c>
      <c r="L31" s="61">
        <v>123</v>
      </c>
      <c r="M31" s="61">
        <v>275</v>
      </c>
      <c r="N31" s="25">
        <v>86.6</v>
      </c>
      <c r="O31" s="25">
        <v>79.900000000000006</v>
      </c>
      <c r="P31" s="85">
        <v>142</v>
      </c>
      <c r="Q31" s="85">
        <v>344</v>
      </c>
    </row>
    <row r="32" spans="1:17">
      <c r="A32" s="25" t="s">
        <v>272</v>
      </c>
      <c r="B32" s="61">
        <v>1191</v>
      </c>
      <c r="C32" s="61">
        <v>1232</v>
      </c>
      <c r="D32" s="61">
        <v>1037</v>
      </c>
      <c r="E32" s="61">
        <v>1279</v>
      </c>
      <c r="F32" s="25">
        <v>46.5</v>
      </c>
      <c r="G32" s="25">
        <v>50.9</v>
      </c>
      <c r="H32" s="85">
        <v>2228</v>
      </c>
      <c r="I32" s="85">
        <v>2511</v>
      </c>
      <c r="J32" s="61">
        <v>11892</v>
      </c>
      <c r="K32" s="61">
        <v>18205</v>
      </c>
      <c r="L32" s="61">
        <v>12499</v>
      </c>
      <c r="M32" s="61">
        <v>11644</v>
      </c>
      <c r="N32" s="25">
        <v>51.2</v>
      </c>
      <c r="O32" s="25">
        <v>39</v>
      </c>
      <c r="P32" s="85">
        <v>24391</v>
      </c>
      <c r="Q32" s="85">
        <v>29849</v>
      </c>
    </row>
    <row r="33" spans="1:17">
      <c r="A33" s="25" t="s">
        <v>273</v>
      </c>
      <c r="B33" s="61">
        <v>1</v>
      </c>
      <c r="C33" s="61">
        <v>0</v>
      </c>
      <c r="D33" s="61">
        <v>4</v>
      </c>
      <c r="E33" s="61">
        <v>2</v>
      </c>
      <c r="F33" s="25">
        <v>80</v>
      </c>
      <c r="G33" s="25">
        <v>100</v>
      </c>
      <c r="H33" s="85">
        <v>5</v>
      </c>
      <c r="I33" s="85">
        <v>2</v>
      </c>
      <c r="J33" s="61">
        <v>22</v>
      </c>
      <c r="K33" s="61">
        <v>28</v>
      </c>
      <c r="L33" s="61">
        <v>36</v>
      </c>
      <c r="M33" s="61">
        <v>26</v>
      </c>
      <c r="N33" s="25">
        <v>62.1</v>
      </c>
      <c r="O33" s="25">
        <v>48.1</v>
      </c>
      <c r="P33" s="85">
        <v>58</v>
      </c>
      <c r="Q33" s="85">
        <v>54</v>
      </c>
    </row>
    <row r="34" spans="1:17">
      <c r="A34" s="25" t="s">
        <v>274</v>
      </c>
      <c r="B34" s="61">
        <v>9</v>
      </c>
      <c r="C34" s="61">
        <v>7</v>
      </c>
      <c r="D34" s="61">
        <v>25</v>
      </c>
      <c r="E34" s="61">
        <v>25</v>
      </c>
      <c r="F34" s="25">
        <v>73.5</v>
      </c>
      <c r="G34" s="25">
        <v>78.099999999999994</v>
      </c>
      <c r="H34" s="85">
        <v>34</v>
      </c>
      <c r="I34" s="85">
        <v>32</v>
      </c>
      <c r="J34" s="61">
        <v>112</v>
      </c>
      <c r="K34" s="61">
        <v>122</v>
      </c>
      <c r="L34" s="61">
        <v>299</v>
      </c>
      <c r="M34" s="61">
        <v>340</v>
      </c>
      <c r="N34" s="25">
        <v>72.7</v>
      </c>
      <c r="O34" s="25">
        <v>73.599999999999994</v>
      </c>
      <c r="P34" s="85">
        <v>411</v>
      </c>
      <c r="Q34" s="85">
        <v>462</v>
      </c>
    </row>
    <row r="35" spans="1:17">
      <c r="A35" s="25" t="s">
        <v>1100</v>
      </c>
      <c r="B35" s="61">
        <v>0</v>
      </c>
      <c r="C35" s="61">
        <v>0</v>
      </c>
      <c r="D35" s="61">
        <v>0</v>
      </c>
      <c r="E35" s="61">
        <v>0</v>
      </c>
      <c r="F35" s="25">
        <v>0</v>
      </c>
      <c r="G35" s="25">
        <v>0</v>
      </c>
      <c r="H35" s="85">
        <v>0</v>
      </c>
      <c r="I35" s="85">
        <v>0</v>
      </c>
      <c r="J35" s="61">
        <v>0</v>
      </c>
      <c r="K35" s="61">
        <v>0</v>
      </c>
      <c r="L35" s="61">
        <v>2</v>
      </c>
      <c r="M35" s="61">
        <v>7</v>
      </c>
      <c r="N35" s="25">
        <v>100</v>
      </c>
      <c r="O35" s="25">
        <v>100</v>
      </c>
      <c r="P35" s="85">
        <v>2</v>
      </c>
      <c r="Q35" s="85">
        <v>7</v>
      </c>
    </row>
    <row r="36" spans="1:17">
      <c r="A36" s="25" t="s">
        <v>275</v>
      </c>
      <c r="B36" s="61">
        <v>84</v>
      </c>
      <c r="C36" s="61">
        <v>52</v>
      </c>
      <c r="D36" s="61">
        <v>201</v>
      </c>
      <c r="E36" s="61">
        <v>126</v>
      </c>
      <c r="F36" s="25">
        <v>70.5</v>
      </c>
      <c r="G36" s="25">
        <v>70.8</v>
      </c>
      <c r="H36" s="85">
        <v>285</v>
      </c>
      <c r="I36" s="85">
        <v>178</v>
      </c>
      <c r="J36" s="61">
        <v>932</v>
      </c>
      <c r="K36" s="61">
        <v>491</v>
      </c>
      <c r="L36" s="61">
        <v>1662</v>
      </c>
      <c r="M36" s="61">
        <v>735</v>
      </c>
      <c r="N36" s="25">
        <v>64.099999999999994</v>
      </c>
      <c r="O36" s="25">
        <v>60</v>
      </c>
      <c r="P36" s="85">
        <v>2594</v>
      </c>
      <c r="Q36" s="85">
        <v>1226</v>
      </c>
    </row>
    <row r="37" spans="1:17">
      <c r="A37" s="25" t="s">
        <v>1279</v>
      </c>
      <c r="B37" s="61">
        <v>0</v>
      </c>
      <c r="C37" s="61">
        <v>0</v>
      </c>
      <c r="D37" s="61">
        <v>1</v>
      </c>
      <c r="E37" s="61">
        <v>0</v>
      </c>
      <c r="F37" s="25">
        <v>100</v>
      </c>
      <c r="G37" s="25">
        <v>0</v>
      </c>
      <c r="H37" s="85">
        <v>1</v>
      </c>
      <c r="I37" s="85">
        <v>0</v>
      </c>
      <c r="J37" s="61">
        <v>4</v>
      </c>
      <c r="K37" s="61">
        <v>0</v>
      </c>
      <c r="L37" s="61">
        <v>14</v>
      </c>
      <c r="M37" s="61">
        <v>0</v>
      </c>
      <c r="N37" s="25">
        <v>77.8</v>
      </c>
      <c r="O37" s="25">
        <v>0</v>
      </c>
      <c r="P37" s="85">
        <v>18</v>
      </c>
      <c r="Q37" s="85">
        <v>0</v>
      </c>
    </row>
    <row r="38" spans="1:17">
      <c r="A38" s="25" t="s">
        <v>573</v>
      </c>
      <c r="B38" s="61">
        <v>1</v>
      </c>
      <c r="C38" s="61">
        <v>3</v>
      </c>
      <c r="D38" s="61">
        <v>38</v>
      </c>
      <c r="E38" s="61">
        <v>168</v>
      </c>
      <c r="F38" s="25">
        <v>97.4</v>
      </c>
      <c r="G38" s="25">
        <v>98.2</v>
      </c>
      <c r="H38" s="85">
        <v>39</v>
      </c>
      <c r="I38" s="85">
        <v>171</v>
      </c>
      <c r="J38" s="61">
        <v>1</v>
      </c>
      <c r="K38" s="61">
        <v>16</v>
      </c>
      <c r="L38" s="61">
        <v>1461</v>
      </c>
      <c r="M38" s="61">
        <v>2087</v>
      </c>
      <c r="N38" s="25">
        <v>99.9</v>
      </c>
      <c r="O38" s="25">
        <v>99.2</v>
      </c>
      <c r="P38" s="85">
        <v>1462</v>
      </c>
      <c r="Q38" s="85">
        <v>2103</v>
      </c>
    </row>
    <row r="39" spans="1:17">
      <c r="A39" s="25" t="s">
        <v>276</v>
      </c>
      <c r="B39" s="61">
        <v>1</v>
      </c>
      <c r="C39" s="61">
        <v>0</v>
      </c>
      <c r="D39" s="61">
        <v>0</v>
      </c>
      <c r="E39" s="61">
        <v>0</v>
      </c>
      <c r="F39" s="25">
        <v>0</v>
      </c>
      <c r="G39" s="25">
        <v>0</v>
      </c>
      <c r="H39" s="85">
        <v>1</v>
      </c>
      <c r="I39" s="85">
        <v>0</v>
      </c>
      <c r="J39" s="61">
        <v>3</v>
      </c>
      <c r="K39" s="61">
        <v>0</v>
      </c>
      <c r="L39" s="61">
        <v>0</v>
      </c>
      <c r="M39" s="61">
        <v>0</v>
      </c>
      <c r="N39" s="25">
        <v>0</v>
      </c>
      <c r="O39" s="25">
        <v>0</v>
      </c>
      <c r="P39" s="85">
        <v>3</v>
      </c>
      <c r="Q39" s="85">
        <v>0</v>
      </c>
    </row>
    <row r="40" spans="1:17">
      <c r="A40" s="25" t="s">
        <v>553</v>
      </c>
      <c r="B40" s="61">
        <v>0</v>
      </c>
      <c r="C40" s="61">
        <v>0</v>
      </c>
      <c r="D40" s="61">
        <v>0</v>
      </c>
      <c r="E40" s="61">
        <v>0</v>
      </c>
      <c r="F40" s="25">
        <v>0</v>
      </c>
      <c r="G40" s="25">
        <v>0</v>
      </c>
      <c r="H40" s="85">
        <v>0</v>
      </c>
      <c r="I40" s="85">
        <v>0</v>
      </c>
      <c r="J40" s="61">
        <v>2</v>
      </c>
      <c r="K40" s="61">
        <v>2</v>
      </c>
      <c r="L40" s="61">
        <v>0</v>
      </c>
      <c r="M40" s="61">
        <v>1</v>
      </c>
      <c r="N40" s="25">
        <v>0</v>
      </c>
      <c r="O40" s="25">
        <v>33.299999999999997</v>
      </c>
      <c r="P40" s="85">
        <v>2</v>
      </c>
      <c r="Q40" s="85">
        <v>3</v>
      </c>
    </row>
    <row r="41" spans="1:17">
      <c r="A41" s="25" t="s">
        <v>414</v>
      </c>
      <c r="B41" s="61">
        <v>4</v>
      </c>
      <c r="C41" s="61">
        <v>20</v>
      </c>
      <c r="D41" s="61">
        <v>3</v>
      </c>
      <c r="E41" s="61">
        <v>47</v>
      </c>
      <c r="F41" s="25">
        <v>42.9</v>
      </c>
      <c r="G41" s="25">
        <v>70.099999999999994</v>
      </c>
      <c r="H41" s="85">
        <v>7</v>
      </c>
      <c r="I41" s="85">
        <v>67</v>
      </c>
      <c r="J41" s="61">
        <v>44</v>
      </c>
      <c r="K41" s="61">
        <v>92</v>
      </c>
      <c r="L41" s="61">
        <v>76</v>
      </c>
      <c r="M41" s="61">
        <v>126</v>
      </c>
      <c r="N41" s="25">
        <v>63.3</v>
      </c>
      <c r="O41" s="25">
        <v>57.8</v>
      </c>
      <c r="P41" s="85">
        <v>120</v>
      </c>
      <c r="Q41" s="85">
        <v>218</v>
      </c>
    </row>
    <row r="42" spans="1:17">
      <c r="A42" s="25" t="s">
        <v>277</v>
      </c>
      <c r="B42" s="61">
        <v>90</v>
      </c>
      <c r="C42" s="61">
        <v>216</v>
      </c>
      <c r="D42" s="61">
        <v>145</v>
      </c>
      <c r="E42" s="61">
        <v>176</v>
      </c>
      <c r="F42" s="25">
        <v>61.7</v>
      </c>
      <c r="G42" s="25">
        <v>44.9</v>
      </c>
      <c r="H42" s="85">
        <v>235</v>
      </c>
      <c r="I42" s="85">
        <v>392</v>
      </c>
      <c r="J42" s="61">
        <v>1561</v>
      </c>
      <c r="K42" s="61">
        <v>2015</v>
      </c>
      <c r="L42" s="61">
        <v>1627</v>
      </c>
      <c r="M42" s="61">
        <v>800</v>
      </c>
      <c r="N42" s="25">
        <v>51</v>
      </c>
      <c r="O42" s="25">
        <v>28.4</v>
      </c>
      <c r="P42" s="85">
        <v>3188</v>
      </c>
      <c r="Q42" s="85">
        <v>2815</v>
      </c>
    </row>
    <row r="43" spans="1:17">
      <c r="A43" s="25" t="s">
        <v>499</v>
      </c>
      <c r="B43" s="61">
        <v>0</v>
      </c>
      <c r="C43" s="61">
        <v>1</v>
      </c>
      <c r="D43" s="61">
        <v>1</v>
      </c>
      <c r="E43" s="61">
        <v>0</v>
      </c>
      <c r="F43" s="25">
        <v>100</v>
      </c>
      <c r="G43" s="25">
        <v>0</v>
      </c>
      <c r="H43" s="85">
        <v>1</v>
      </c>
      <c r="I43" s="85">
        <v>1</v>
      </c>
      <c r="J43" s="61">
        <v>4</v>
      </c>
      <c r="K43" s="61">
        <v>7</v>
      </c>
      <c r="L43" s="61">
        <v>11</v>
      </c>
      <c r="M43" s="61">
        <v>10</v>
      </c>
      <c r="N43" s="25">
        <v>73.3</v>
      </c>
      <c r="O43" s="25">
        <v>58.8</v>
      </c>
      <c r="P43" s="85">
        <v>15</v>
      </c>
      <c r="Q43" s="85">
        <v>17</v>
      </c>
    </row>
    <row r="44" spans="1:17">
      <c r="A44" s="25" t="s">
        <v>378</v>
      </c>
      <c r="B44" s="61">
        <v>231</v>
      </c>
      <c r="C44" s="61">
        <v>421</v>
      </c>
      <c r="D44" s="61">
        <v>1121</v>
      </c>
      <c r="E44" s="61">
        <v>940</v>
      </c>
      <c r="F44" s="25">
        <v>82.9</v>
      </c>
      <c r="G44" s="25">
        <v>69.099999999999994</v>
      </c>
      <c r="H44" s="85">
        <v>1352</v>
      </c>
      <c r="I44" s="85">
        <v>1361</v>
      </c>
      <c r="J44" s="61">
        <v>3666</v>
      </c>
      <c r="K44" s="61">
        <v>5200</v>
      </c>
      <c r="L44" s="61">
        <v>11124</v>
      </c>
      <c r="M44" s="61">
        <v>10418</v>
      </c>
      <c r="N44" s="25">
        <v>75.2</v>
      </c>
      <c r="O44" s="25">
        <v>66.7</v>
      </c>
      <c r="P44" s="85">
        <v>14790</v>
      </c>
      <c r="Q44" s="85">
        <v>15618</v>
      </c>
    </row>
    <row r="45" spans="1:17">
      <c r="A45" s="25" t="s">
        <v>278</v>
      </c>
      <c r="B45" s="61">
        <v>3</v>
      </c>
      <c r="C45" s="61">
        <v>2</v>
      </c>
      <c r="D45" s="61">
        <v>0</v>
      </c>
      <c r="E45" s="61">
        <v>6</v>
      </c>
      <c r="F45" s="25">
        <v>0</v>
      </c>
      <c r="G45" s="25">
        <v>75</v>
      </c>
      <c r="H45" s="85">
        <v>3</v>
      </c>
      <c r="I45" s="85">
        <v>8</v>
      </c>
      <c r="J45" s="61">
        <v>46</v>
      </c>
      <c r="K45" s="61">
        <v>39</v>
      </c>
      <c r="L45" s="61">
        <v>64</v>
      </c>
      <c r="M45" s="61">
        <v>97</v>
      </c>
      <c r="N45" s="25">
        <v>58.2</v>
      </c>
      <c r="O45" s="25">
        <v>71.3</v>
      </c>
      <c r="P45" s="85">
        <v>110</v>
      </c>
      <c r="Q45" s="85">
        <v>136</v>
      </c>
    </row>
    <row r="46" spans="1:17">
      <c r="A46" s="25" t="s">
        <v>588</v>
      </c>
      <c r="B46" s="61">
        <v>117</v>
      </c>
      <c r="C46" s="61">
        <v>1175</v>
      </c>
      <c r="D46" s="61">
        <v>105</v>
      </c>
      <c r="E46" s="61">
        <v>287</v>
      </c>
      <c r="F46" s="25">
        <v>47.3</v>
      </c>
      <c r="G46" s="25">
        <v>19.600000000000001</v>
      </c>
      <c r="H46" s="85">
        <v>222</v>
      </c>
      <c r="I46" s="85">
        <v>1462</v>
      </c>
      <c r="J46" s="61">
        <v>3812</v>
      </c>
      <c r="K46" s="61">
        <v>6855</v>
      </c>
      <c r="L46" s="61">
        <v>3077</v>
      </c>
      <c r="M46" s="61">
        <v>1601</v>
      </c>
      <c r="N46" s="25">
        <v>44.7</v>
      </c>
      <c r="O46" s="25">
        <v>18.899999999999999</v>
      </c>
      <c r="P46" s="85">
        <v>6889</v>
      </c>
      <c r="Q46" s="85">
        <v>8456</v>
      </c>
    </row>
    <row r="47" spans="1:17">
      <c r="A47" s="25" t="s">
        <v>279</v>
      </c>
      <c r="B47" s="61">
        <v>133</v>
      </c>
      <c r="C47" s="61">
        <v>131</v>
      </c>
      <c r="D47" s="61">
        <v>46</v>
      </c>
      <c r="E47" s="61">
        <v>72</v>
      </c>
      <c r="F47" s="25">
        <v>25.7</v>
      </c>
      <c r="G47" s="25">
        <v>35.5</v>
      </c>
      <c r="H47" s="85">
        <v>179</v>
      </c>
      <c r="I47" s="85">
        <v>203</v>
      </c>
      <c r="J47" s="61">
        <v>981</v>
      </c>
      <c r="K47" s="61">
        <v>1845</v>
      </c>
      <c r="L47" s="61">
        <v>1071</v>
      </c>
      <c r="M47" s="61">
        <v>998</v>
      </c>
      <c r="N47" s="25">
        <v>52.2</v>
      </c>
      <c r="O47" s="25">
        <v>35.1</v>
      </c>
      <c r="P47" s="85">
        <v>2052</v>
      </c>
      <c r="Q47" s="85">
        <v>2843</v>
      </c>
    </row>
    <row r="48" spans="1:17">
      <c r="A48" s="25" t="s">
        <v>280</v>
      </c>
      <c r="B48" s="61">
        <v>5</v>
      </c>
      <c r="C48" s="61">
        <v>8</v>
      </c>
      <c r="D48" s="61">
        <v>11</v>
      </c>
      <c r="E48" s="61">
        <v>37</v>
      </c>
      <c r="F48" s="25">
        <v>68.8</v>
      </c>
      <c r="G48" s="25">
        <v>82.2</v>
      </c>
      <c r="H48" s="85">
        <v>16</v>
      </c>
      <c r="I48" s="85">
        <v>45</v>
      </c>
      <c r="J48" s="61">
        <v>103</v>
      </c>
      <c r="K48" s="61">
        <v>133</v>
      </c>
      <c r="L48" s="61">
        <v>603</v>
      </c>
      <c r="M48" s="61">
        <v>433</v>
      </c>
      <c r="N48" s="25">
        <v>85.4</v>
      </c>
      <c r="O48" s="25">
        <v>76.5</v>
      </c>
      <c r="P48" s="85">
        <v>706</v>
      </c>
      <c r="Q48" s="85">
        <v>566</v>
      </c>
    </row>
    <row r="49" spans="1:17">
      <c r="A49" s="25" t="s">
        <v>281</v>
      </c>
      <c r="B49" s="61">
        <v>0</v>
      </c>
      <c r="C49" s="61">
        <v>1</v>
      </c>
      <c r="D49" s="61">
        <v>0</v>
      </c>
      <c r="E49" s="61">
        <v>0</v>
      </c>
      <c r="F49" s="25">
        <v>0</v>
      </c>
      <c r="G49" s="25">
        <v>0</v>
      </c>
      <c r="H49" s="85">
        <v>0</v>
      </c>
      <c r="I49" s="85">
        <v>1</v>
      </c>
      <c r="J49" s="61">
        <v>5</v>
      </c>
      <c r="K49" s="61">
        <v>19</v>
      </c>
      <c r="L49" s="61">
        <v>4</v>
      </c>
      <c r="M49" s="61">
        <v>2</v>
      </c>
      <c r="N49" s="25">
        <v>44.4</v>
      </c>
      <c r="O49" s="25">
        <v>9.5</v>
      </c>
      <c r="P49" s="85">
        <v>9</v>
      </c>
      <c r="Q49" s="85">
        <v>21</v>
      </c>
    </row>
    <row r="50" spans="1:17">
      <c r="A50" s="25" t="s">
        <v>1061</v>
      </c>
      <c r="B50" s="61">
        <v>0</v>
      </c>
      <c r="C50" s="61">
        <v>0</v>
      </c>
      <c r="D50" s="61">
        <v>8</v>
      </c>
      <c r="E50" s="61">
        <v>0</v>
      </c>
      <c r="F50" s="25">
        <v>100</v>
      </c>
      <c r="G50" s="25">
        <v>0</v>
      </c>
      <c r="H50" s="85">
        <v>8</v>
      </c>
      <c r="I50" s="85">
        <v>0</v>
      </c>
      <c r="J50" s="61">
        <v>6</v>
      </c>
      <c r="K50" s="61">
        <v>0</v>
      </c>
      <c r="L50" s="61">
        <v>195</v>
      </c>
      <c r="M50" s="61">
        <v>0</v>
      </c>
      <c r="N50" s="25">
        <v>97</v>
      </c>
      <c r="O50" s="25">
        <v>0</v>
      </c>
      <c r="P50" s="85">
        <v>201</v>
      </c>
      <c r="Q50" s="85">
        <v>0</v>
      </c>
    </row>
    <row r="51" spans="1:17">
      <c r="A51" s="25" t="s">
        <v>282</v>
      </c>
      <c r="B51" s="61">
        <v>412</v>
      </c>
      <c r="C51" s="61">
        <v>384</v>
      </c>
      <c r="D51" s="61">
        <v>232</v>
      </c>
      <c r="E51" s="61">
        <v>345</v>
      </c>
      <c r="F51" s="25">
        <v>36</v>
      </c>
      <c r="G51" s="25">
        <v>47.3</v>
      </c>
      <c r="H51" s="85">
        <v>644</v>
      </c>
      <c r="I51" s="85">
        <v>729</v>
      </c>
      <c r="J51" s="61">
        <v>2893</v>
      </c>
      <c r="K51" s="61">
        <v>4450</v>
      </c>
      <c r="L51" s="61">
        <v>2535</v>
      </c>
      <c r="M51" s="61">
        <v>1920</v>
      </c>
      <c r="N51" s="25">
        <v>46.7</v>
      </c>
      <c r="O51" s="25">
        <v>30.1</v>
      </c>
      <c r="P51" s="85">
        <v>5428</v>
      </c>
      <c r="Q51" s="85">
        <v>6370</v>
      </c>
    </row>
    <row r="52" spans="1:17">
      <c r="A52" s="25" t="s">
        <v>283</v>
      </c>
      <c r="B52" s="61">
        <v>111</v>
      </c>
      <c r="C52" s="61">
        <v>62</v>
      </c>
      <c r="D52" s="61">
        <v>168</v>
      </c>
      <c r="E52" s="61">
        <v>92</v>
      </c>
      <c r="F52" s="25">
        <v>60.2</v>
      </c>
      <c r="G52" s="25">
        <v>59.7</v>
      </c>
      <c r="H52" s="85">
        <v>279</v>
      </c>
      <c r="I52" s="85">
        <v>154</v>
      </c>
      <c r="J52" s="61">
        <v>913</v>
      </c>
      <c r="K52" s="61">
        <v>1421</v>
      </c>
      <c r="L52" s="61">
        <v>1922</v>
      </c>
      <c r="M52" s="61">
        <v>1311</v>
      </c>
      <c r="N52" s="25">
        <v>67.8</v>
      </c>
      <c r="O52" s="25">
        <v>48</v>
      </c>
      <c r="P52" s="85">
        <v>2835</v>
      </c>
      <c r="Q52" s="85">
        <v>2732</v>
      </c>
    </row>
    <row r="53" spans="1:17">
      <c r="A53" s="25" t="s">
        <v>1037</v>
      </c>
      <c r="B53" s="61">
        <v>169</v>
      </c>
      <c r="C53" s="61">
        <v>97</v>
      </c>
      <c r="D53" s="61">
        <v>1</v>
      </c>
      <c r="E53" s="61">
        <v>49</v>
      </c>
      <c r="F53" s="58">
        <v>0.6</v>
      </c>
      <c r="G53" s="58">
        <v>33.6</v>
      </c>
      <c r="H53" s="85">
        <v>170</v>
      </c>
      <c r="I53" s="85">
        <v>146</v>
      </c>
      <c r="J53" s="61">
        <v>636</v>
      </c>
      <c r="K53" s="61">
        <v>97</v>
      </c>
      <c r="L53" s="61">
        <v>70</v>
      </c>
      <c r="M53" s="61">
        <v>49</v>
      </c>
      <c r="N53" s="58">
        <v>9.9</v>
      </c>
      <c r="O53" s="58">
        <v>33.6</v>
      </c>
      <c r="P53" s="85">
        <v>706</v>
      </c>
      <c r="Q53" s="85">
        <v>146</v>
      </c>
    </row>
    <row r="54" spans="1:17">
      <c r="A54" s="25" t="s">
        <v>284</v>
      </c>
      <c r="B54" s="61">
        <v>325</v>
      </c>
      <c r="C54" s="61">
        <v>386</v>
      </c>
      <c r="D54" s="61">
        <v>149</v>
      </c>
      <c r="E54" s="61">
        <v>312</v>
      </c>
      <c r="F54" s="25">
        <v>31.4</v>
      </c>
      <c r="G54" s="25">
        <v>44.7</v>
      </c>
      <c r="H54" s="85">
        <v>474</v>
      </c>
      <c r="I54" s="85">
        <v>698</v>
      </c>
      <c r="J54" s="61">
        <v>3174</v>
      </c>
      <c r="K54" s="61">
        <v>3518</v>
      </c>
      <c r="L54" s="61">
        <v>4520</v>
      </c>
      <c r="M54" s="61">
        <v>4324</v>
      </c>
      <c r="N54" s="25">
        <v>58.7</v>
      </c>
      <c r="O54" s="25">
        <v>55.1</v>
      </c>
      <c r="P54" s="85">
        <v>7694</v>
      </c>
      <c r="Q54" s="85">
        <v>7842</v>
      </c>
    </row>
    <row r="55" spans="1:17">
      <c r="A55" s="25" t="s">
        <v>322</v>
      </c>
      <c r="B55" s="61">
        <v>46</v>
      </c>
      <c r="C55" s="61">
        <v>120</v>
      </c>
      <c r="D55" s="61">
        <v>312</v>
      </c>
      <c r="E55" s="61">
        <v>484</v>
      </c>
      <c r="F55" s="25">
        <v>87.2</v>
      </c>
      <c r="G55" s="25">
        <v>80.099999999999994</v>
      </c>
      <c r="H55" s="85">
        <v>358</v>
      </c>
      <c r="I55" s="85">
        <v>604</v>
      </c>
      <c r="J55" s="61">
        <v>360</v>
      </c>
      <c r="K55" s="61">
        <v>1169</v>
      </c>
      <c r="L55" s="61">
        <v>3278</v>
      </c>
      <c r="M55" s="61">
        <v>3304</v>
      </c>
      <c r="N55" s="25">
        <v>90.1</v>
      </c>
      <c r="O55" s="25">
        <v>73.900000000000006</v>
      </c>
      <c r="P55" s="85">
        <v>3638</v>
      </c>
      <c r="Q55" s="85">
        <v>4473</v>
      </c>
    </row>
    <row r="56" spans="1:17">
      <c r="A56" s="25" t="s">
        <v>285</v>
      </c>
      <c r="B56" s="61">
        <v>77</v>
      </c>
      <c r="C56" s="61">
        <v>130</v>
      </c>
      <c r="D56" s="61">
        <v>129</v>
      </c>
      <c r="E56" s="61">
        <v>238</v>
      </c>
      <c r="F56" s="58">
        <v>62.6</v>
      </c>
      <c r="G56" s="58">
        <v>64.7</v>
      </c>
      <c r="H56" s="85">
        <v>206</v>
      </c>
      <c r="I56" s="85">
        <v>368</v>
      </c>
      <c r="J56" s="61">
        <v>1249</v>
      </c>
      <c r="K56" s="61">
        <v>1276</v>
      </c>
      <c r="L56" s="61">
        <v>1697</v>
      </c>
      <c r="M56" s="61">
        <v>1393</v>
      </c>
      <c r="N56" s="58">
        <v>57.6</v>
      </c>
      <c r="O56" s="58">
        <v>52.2</v>
      </c>
      <c r="P56" s="85">
        <v>2946</v>
      </c>
      <c r="Q56" s="85">
        <v>2669</v>
      </c>
    </row>
    <row r="57" spans="1:17">
      <c r="A57" s="25" t="s">
        <v>286</v>
      </c>
      <c r="B57" s="61">
        <v>178</v>
      </c>
      <c r="C57" s="61">
        <v>411</v>
      </c>
      <c r="D57" s="61">
        <v>592</v>
      </c>
      <c r="E57" s="61">
        <v>307</v>
      </c>
      <c r="F57" s="25">
        <v>76.900000000000006</v>
      </c>
      <c r="G57" s="25">
        <v>42.8</v>
      </c>
      <c r="H57" s="85">
        <v>770</v>
      </c>
      <c r="I57" s="85">
        <v>718</v>
      </c>
      <c r="J57" s="61">
        <v>1735</v>
      </c>
      <c r="K57" s="61">
        <v>3162</v>
      </c>
      <c r="L57" s="61">
        <v>4067</v>
      </c>
      <c r="M57" s="61">
        <v>2911</v>
      </c>
      <c r="N57" s="25">
        <v>70.099999999999994</v>
      </c>
      <c r="O57" s="25">
        <v>47.9</v>
      </c>
      <c r="P57" s="85">
        <v>5802</v>
      </c>
      <c r="Q57" s="85">
        <v>6073</v>
      </c>
    </row>
    <row r="58" spans="1:17">
      <c r="A58" s="25" t="s">
        <v>287</v>
      </c>
      <c r="B58" s="61">
        <v>92</v>
      </c>
      <c r="C58" s="61">
        <v>490</v>
      </c>
      <c r="D58" s="61">
        <v>138</v>
      </c>
      <c r="E58" s="61">
        <v>410</v>
      </c>
      <c r="F58" s="25">
        <v>60</v>
      </c>
      <c r="G58" s="25">
        <v>45.6</v>
      </c>
      <c r="H58" s="85">
        <v>230</v>
      </c>
      <c r="I58" s="85">
        <v>900</v>
      </c>
      <c r="J58" s="61">
        <v>1173</v>
      </c>
      <c r="K58" s="61">
        <v>3347</v>
      </c>
      <c r="L58" s="61">
        <v>1309</v>
      </c>
      <c r="M58" s="61">
        <v>2377</v>
      </c>
      <c r="N58" s="25">
        <v>52.7</v>
      </c>
      <c r="O58" s="25">
        <v>41.5</v>
      </c>
      <c r="P58" s="85">
        <v>2482</v>
      </c>
      <c r="Q58" s="85">
        <v>5724</v>
      </c>
    </row>
    <row r="59" spans="1:17">
      <c r="A59" s="25" t="s">
        <v>288</v>
      </c>
      <c r="B59" s="61">
        <v>529</v>
      </c>
      <c r="C59" s="61">
        <v>373</v>
      </c>
      <c r="D59" s="61">
        <v>976</v>
      </c>
      <c r="E59" s="61">
        <v>857</v>
      </c>
      <c r="F59" s="25">
        <v>64.900000000000006</v>
      </c>
      <c r="G59" s="25">
        <v>69.7</v>
      </c>
      <c r="H59" s="85">
        <v>1505</v>
      </c>
      <c r="I59" s="85">
        <v>1230</v>
      </c>
      <c r="J59" s="61">
        <v>3680</v>
      </c>
      <c r="K59" s="61">
        <v>4547</v>
      </c>
      <c r="L59" s="61">
        <v>10275</v>
      </c>
      <c r="M59" s="61">
        <v>7183</v>
      </c>
      <c r="N59" s="25">
        <v>73.599999999999994</v>
      </c>
      <c r="O59" s="25">
        <v>61.2</v>
      </c>
      <c r="P59" s="85">
        <v>13955</v>
      </c>
      <c r="Q59" s="85">
        <v>11730</v>
      </c>
    </row>
    <row r="60" spans="1:17">
      <c r="A60" s="145" t="s">
        <v>1157</v>
      </c>
      <c r="B60" s="146">
        <v>0</v>
      </c>
      <c r="C60" s="146">
        <v>0</v>
      </c>
      <c r="D60" s="146">
        <v>1</v>
      </c>
      <c r="E60" s="146">
        <v>2</v>
      </c>
      <c r="F60" s="145">
        <v>100</v>
      </c>
      <c r="G60" s="145">
        <v>100</v>
      </c>
      <c r="H60" s="148">
        <v>1</v>
      </c>
      <c r="I60" s="148">
        <v>2</v>
      </c>
      <c r="J60" s="146">
        <v>3</v>
      </c>
      <c r="K60" s="146">
        <v>1</v>
      </c>
      <c r="L60" s="146">
        <v>4</v>
      </c>
      <c r="M60" s="146">
        <v>2</v>
      </c>
      <c r="N60" s="145">
        <v>57.1</v>
      </c>
      <c r="O60" s="145">
        <v>66.7</v>
      </c>
      <c r="P60" s="148">
        <v>7</v>
      </c>
      <c r="Q60" s="148">
        <v>3</v>
      </c>
    </row>
    <row r="61" spans="1:17">
      <c r="A61" s="145" t="s">
        <v>1232</v>
      </c>
      <c r="B61" s="146">
        <v>0</v>
      </c>
      <c r="C61" s="146">
        <v>0</v>
      </c>
      <c r="D61" s="146">
        <v>0</v>
      </c>
      <c r="E61" s="146">
        <v>0</v>
      </c>
      <c r="F61" s="147">
        <v>0</v>
      </c>
      <c r="G61" s="147">
        <v>0</v>
      </c>
      <c r="H61" s="148">
        <v>0</v>
      </c>
      <c r="I61" s="148">
        <v>0</v>
      </c>
      <c r="J61" s="146">
        <v>0</v>
      </c>
      <c r="K61" s="146">
        <v>0</v>
      </c>
      <c r="L61" s="146">
        <v>3</v>
      </c>
      <c r="M61" s="146">
        <v>0</v>
      </c>
      <c r="N61" s="147">
        <v>100</v>
      </c>
      <c r="O61" s="147">
        <v>0</v>
      </c>
      <c r="P61" s="148">
        <v>3</v>
      </c>
      <c r="Q61" s="148">
        <v>0</v>
      </c>
    </row>
    <row r="62" spans="1:17">
      <c r="A62" s="145" t="s">
        <v>289</v>
      </c>
      <c r="B62" s="146">
        <v>170</v>
      </c>
      <c r="C62" s="146">
        <v>71</v>
      </c>
      <c r="D62" s="146">
        <v>77</v>
      </c>
      <c r="E62" s="146">
        <v>56</v>
      </c>
      <c r="F62" s="145">
        <v>31.2</v>
      </c>
      <c r="G62" s="145">
        <v>44.1</v>
      </c>
      <c r="H62" s="148">
        <v>247</v>
      </c>
      <c r="I62" s="148">
        <v>127</v>
      </c>
      <c r="J62" s="146">
        <v>1640</v>
      </c>
      <c r="K62" s="146">
        <v>1241</v>
      </c>
      <c r="L62" s="146">
        <v>1275</v>
      </c>
      <c r="M62" s="146">
        <v>836</v>
      </c>
      <c r="N62" s="145">
        <v>43.7</v>
      </c>
      <c r="O62" s="145">
        <v>40.299999999999997</v>
      </c>
      <c r="P62" s="148">
        <v>2915</v>
      </c>
      <c r="Q62" s="148">
        <v>2077</v>
      </c>
    </row>
    <row r="63" spans="1:17">
      <c r="A63" s="145" t="s">
        <v>290</v>
      </c>
      <c r="B63" s="146">
        <v>47</v>
      </c>
      <c r="C63" s="146">
        <v>41</v>
      </c>
      <c r="D63" s="146">
        <v>124</v>
      </c>
      <c r="E63" s="146">
        <v>61</v>
      </c>
      <c r="F63" s="145">
        <v>72.5</v>
      </c>
      <c r="G63" s="145">
        <v>59.8</v>
      </c>
      <c r="H63" s="148">
        <v>171</v>
      </c>
      <c r="I63" s="148">
        <v>102</v>
      </c>
      <c r="J63" s="146">
        <v>432</v>
      </c>
      <c r="K63" s="146">
        <v>700</v>
      </c>
      <c r="L63" s="146">
        <v>1036</v>
      </c>
      <c r="M63" s="146">
        <v>931</v>
      </c>
      <c r="N63" s="145">
        <v>70.599999999999994</v>
      </c>
      <c r="O63" s="145">
        <v>57.1</v>
      </c>
      <c r="P63" s="148">
        <v>1468</v>
      </c>
      <c r="Q63" s="148">
        <v>1631</v>
      </c>
    </row>
    <row r="64" spans="1:17">
      <c r="A64" s="145" t="s">
        <v>291</v>
      </c>
      <c r="B64" s="146">
        <v>487</v>
      </c>
      <c r="C64" s="146">
        <v>529</v>
      </c>
      <c r="D64" s="146">
        <v>1302</v>
      </c>
      <c r="E64" s="146">
        <v>1116</v>
      </c>
      <c r="F64" s="145">
        <v>72.8</v>
      </c>
      <c r="G64" s="145">
        <v>67.8</v>
      </c>
      <c r="H64" s="148">
        <v>1789</v>
      </c>
      <c r="I64" s="148">
        <v>1645</v>
      </c>
      <c r="J64" s="146">
        <v>6477</v>
      </c>
      <c r="K64" s="146">
        <v>3904</v>
      </c>
      <c r="L64" s="146">
        <v>13854</v>
      </c>
      <c r="M64" s="146">
        <v>5282</v>
      </c>
      <c r="N64" s="145">
        <v>68.099999999999994</v>
      </c>
      <c r="O64" s="145">
        <v>57.5</v>
      </c>
      <c r="P64" s="148">
        <v>20331</v>
      </c>
      <c r="Q64" s="148">
        <v>9186</v>
      </c>
    </row>
    <row r="65" spans="1:17">
      <c r="A65" s="145" t="s">
        <v>292</v>
      </c>
      <c r="B65" s="146">
        <v>844</v>
      </c>
      <c r="C65" s="146">
        <v>802</v>
      </c>
      <c r="D65" s="146">
        <v>1180</v>
      </c>
      <c r="E65" s="146">
        <v>1074</v>
      </c>
      <c r="F65" s="145">
        <v>58.3</v>
      </c>
      <c r="G65" s="145">
        <v>57.2</v>
      </c>
      <c r="H65" s="148">
        <v>2024</v>
      </c>
      <c r="I65" s="148">
        <v>1876</v>
      </c>
      <c r="J65" s="146">
        <v>10084</v>
      </c>
      <c r="K65" s="146">
        <v>11869</v>
      </c>
      <c r="L65" s="146">
        <v>13364</v>
      </c>
      <c r="M65" s="146">
        <v>11411</v>
      </c>
      <c r="N65" s="145">
        <v>57</v>
      </c>
      <c r="O65" s="145">
        <v>49</v>
      </c>
      <c r="P65" s="148">
        <v>23448</v>
      </c>
      <c r="Q65" s="148">
        <v>23280</v>
      </c>
    </row>
    <row r="66" spans="1:17">
      <c r="A66" s="145" t="s">
        <v>293</v>
      </c>
      <c r="B66" s="146">
        <v>1074</v>
      </c>
      <c r="C66" s="146">
        <v>1469</v>
      </c>
      <c r="D66" s="146">
        <v>2074</v>
      </c>
      <c r="E66" s="146">
        <v>2518</v>
      </c>
      <c r="F66" s="145">
        <v>65.900000000000006</v>
      </c>
      <c r="G66" s="145">
        <v>63.2</v>
      </c>
      <c r="H66" s="148">
        <v>3148</v>
      </c>
      <c r="I66" s="148">
        <v>3987</v>
      </c>
      <c r="J66" s="146">
        <v>8467</v>
      </c>
      <c r="K66" s="146">
        <v>12754</v>
      </c>
      <c r="L66" s="146">
        <v>24277</v>
      </c>
      <c r="M66" s="146">
        <v>20958</v>
      </c>
      <c r="N66" s="145">
        <v>74.099999999999994</v>
      </c>
      <c r="O66" s="145">
        <v>62.2</v>
      </c>
      <c r="P66" s="148">
        <v>32744</v>
      </c>
      <c r="Q66" s="148">
        <v>33712</v>
      </c>
    </row>
    <row r="67" spans="1:17">
      <c r="A67" s="145" t="s">
        <v>294</v>
      </c>
      <c r="B67" s="146">
        <v>659</v>
      </c>
      <c r="C67" s="146">
        <v>3095</v>
      </c>
      <c r="D67" s="146">
        <v>5432</v>
      </c>
      <c r="E67" s="146">
        <v>5709</v>
      </c>
      <c r="F67" s="145">
        <v>89.2</v>
      </c>
      <c r="G67" s="145">
        <v>64.8</v>
      </c>
      <c r="H67" s="148">
        <v>6091</v>
      </c>
      <c r="I67" s="148">
        <v>8804</v>
      </c>
      <c r="J67" s="146">
        <v>8341</v>
      </c>
      <c r="K67" s="146">
        <v>15352</v>
      </c>
      <c r="L67" s="146">
        <v>32967</v>
      </c>
      <c r="M67" s="146">
        <v>30547</v>
      </c>
      <c r="N67" s="145">
        <v>79.8</v>
      </c>
      <c r="O67" s="145">
        <v>66.599999999999994</v>
      </c>
      <c r="P67" s="148">
        <v>41308</v>
      </c>
      <c r="Q67" s="148">
        <v>45899</v>
      </c>
    </row>
    <row r="68" spans="1:17">
      <c r="A68" s="145" t="s">
        <v>1158</v>
      </c>
      <c r="B68" s="146">
        <v>15</v>
      </c>
      <c r="C68" s="146">
        <v>0</v>
      </c>
      <c r="D68" s="146">
        <v>58</v>
      </c>
      <c r="E68" s="146">
        <v>0</v>
      </c>
      <c r="F68" s="145">
        <v>79.5</v>
      </c>
      <c r="G68" s="145">
        <v>0</v>
      </c>
      <c r="H68" s="148">
        <v>73</v>
      </c>
      <c r="I68" s="148">
        <v>0</v>
      </c>
      <c r="J68" s="146">
        <v>42</v>
      </c>
      <c r="K68" s="146">
        <v>0</v>
      </c>
      <c r="L68" s="146">
        <v>193</v>
      </c>
      <c r="M68" s="146">
        <v>10</v>
      </c>
      <c r="N68" s="145">
        <v>82.1</v>
      </c>
      <c r="O68" s="145">
        <v>100</v>
      </c>
      <c r="P68" s="148">
        <v>235</v>
      </c>
      <c r="Q68" s="148">
        <v>10</v>
      </c>
    </row>
    <row r="69" spans="1:17">
      <c r="A69" s="145" t="s">
        <v>295</v>
      </c>
      <c r="B69" s="146">
        <v>19</v>
      </c>
      <c r="C69" s="146">
        <v>64</v>
      </c>
      <c r="D69" s="146">
        <v>31</v>
      </c>
      <c r="E69" s="146">
        <v>28</v>
      </c>
      <c r="F69" s="145">
        <v>62</v>
      </c>
      <c r="G69" s="145">
        <v>30.4</v>
      </c>
      <c r="H69" s="148">
        <v>50</v>
      </c>
      <c r="I69" s="148">
        <v>92</v>
      </c>
      <c r="J69" s="146">
        <v>120</v>
      </c>
      <c r="K69" s="146">
        <v>230</v>
      </c>
      <c r="L69" s="146">
        <v>218</v>
      </c>
      <c r="M69" s="146">
        <v>139</v>
      </c>
      <c r="N69" s="145">
        <v>64.5</v>
      </c>
      <c r="O69" s="145">
        <v>37.700000000000003</v>
      </c>
      <c r="P69" s="148">
        <v>338</v>
      </c>
      <c r="Q69" s="148">
        <v>369</v>
      </c>
    </row>
    <row r="70" spans="1:17">
      <c r="A70" s="145" t="s">
        <v>454</v>
      </c>
      <c r="B70" s="146">
        <f>SUBTOTAL(109,getAggFysJur[antalFysiska])</f>
        <v>8941</v>
      </c>
      <c r="C70" s="146">
        <f>SUBTOTAL(109,getAggFysJur[antalFysiskaFG])</f>
        <v>14747</v>
      </c>
      <c r="D70" s="146">
        <f>SUBTOTAL(109,getAggFysJur[antalJuridiska])</f>
        <v>20333</v>
      </c>
      <c r="E70" s="146">
        <f>SUBTOTAL(109,getAggFysJur[antalJuridiskaFG])</f>
        <v>20729</v>
      </c>
      <c r="F70" s="147">
        <f>IF(getAggFysJur[[#Totals],[totalPerioden]] &gt; 0,( getAggFysJur[[#Totals],[antalJuridiska]]  ) / getAggFysJur[[#Totals],[totalPerioden]] * 100,0)</f>
        <v>69.457539113206252</v>
      </c>
      <c r="G70" s="147">
        <f>IF(getAggFysJur[[#Totals],[totalPeriodenFG]] &gt; 0,( getAggFysJur[[#Totals],[antalJuridiskaFG]] ) / getAggFysJur[[#Totals],[totalPeriodenFG]] * 100,0)</f>
        <v>58.431051978802572</v>
      </c>
      <c r="H70" s="148">
        <f>SUBTOTAL(109,getAggFysJur[totalPerioden])</f>
        <v>29274</v>
      </c>
      <c r="I70" s="148">
        <f>SUBTOTAL(109,getAggFysJur[totalPeriodenFG])</f>
        <v>35476</v>
      </c>
      <c r="J70" s="146">
        <f>SUBTOTAL(109,getAggFysJur[antalFysiskaAret])</f>
        <v>96220</v>
      </c>
      <c r="K70" s="146">
        <f>SUBTOTAL(109,getAggFysJur[antalFysiskaAretFG])</f>
        <v>130895</v>
      </c>
      <c r="L70" s="146">
        <f>SUBTOTAL(109,getAggFysJur[antalJuridiskaAret])</f>
        <v>193445</v>
      </c>
      <c r="M70" s="146">
        <f>SUBTOTAL(109,getAggFysJur[antalJuridiskaAretFG])</f>
        <v>157192</v>
      </c>
      <c r="N70" s="147">
        <f>IF(getAggFysJur[[#Totals],[totalAret]] &gt; 0,( getAggFysJur[[#Totals],[antalJuridiskaAret]] ) / getAggFysJur[[#Totals],[totalAret]] * 100,0)</f>
        <v>66.782317504703713</v>
      </c>
      <c r="O70" s="147">
        <f>IF(getAggFysJur[[#Totals],[totalAretFG]] &gt; 0,( getAggFysJur[[#Totals],[antalJuridiskaAretFG]] ) / getAggFysJur[[#Totals],[totalAretFG]] * 100,0)</f>
        <v>54.564072658606598</v>
      </c>
      <c r="P70" s="148">
        <f>SUBTOTAL(109,getAggFysJur[totalAret])</f>
        <v>289665</v>
      </c>
      <c r="Q70" s="148">
        <f>SUBTOTAL(109,getAggFysJur[totalAretFG])</f>
        <v>288087</v>
      </c>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61"/>
      <c r="P75" s="38"/>
      <c r="Q75" s="38"/>
    </row>
    <row r="76" spans="1:17">
      <c r="A76" s="25"/>
      <c r="B76" s="25"/>
      <c r="C76" s="25"/>
      <c r="D76" s="25"/>
      <c r="E76" s="25"/>
      <c r="F76" s="25"/>
      <c r="G76" s="25"/>
      <c r="H76" s="38"/>
      <c r="I76" s="38"/>
      <c r="J76" s="25"/>
      <c r="K76" s="25"/>
      <c r="L76" s="25"/>
      <c r="M76" s="25"/>
      <c r="N76" s="25"/>
      <c r="O76" s="61"/>
      <c r="P76" s="38"/>
      <c r="Q76" s="38"/>
    </row>
    <row r="77" spans="1:17">
      <c r="O77" s="4"/>
    </row>
    <row r="93" spans="1:1">
      <c r="A93" t="s">
        <v>677</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C31" sqref="C31"/>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464</v>
      </c>
      <c r="D2" s="56"/>
      <c r="E2" s="56"/>
      <c r="F2" s="56"/>
      <c r="H2"/>
      <c r="I2"/>
    </row>
    <row r="4" spans="1:9">
      <c r="A4" s="25"/>
      <c r="B4" s="61"/>
      <c r="C4" s="61"/>
      <c r="D4" s="61"/>
      <c r="E4" s="230" t="s">
        <v>452</v>
      </c>
      <c r="F4" s="230"/>
      <c r="G4" s="230"/>
      <c r="H4" s="25"/>
    </row>
    <row r="5" spans="1:9">
      <c r="A5" s="103"/>
      <c r="B5" s="250" t="s">
        <v>535</v>
      </c>
      <c r="C5" s="251"/>
      <c r="D5" s="250" t="s">
        <v>535</v>
      </c>
      <c r="E5" s="251"/>
      <c r="F5" s="274" t="s">
        <v>536</v>
      </c>
      <c r="G5" s="275"/>
      <c r="H5" s="58"/>
    </row>
    <row r="6" spans="1:9">
      <c r="A6" s="103" t="s">
        <v>465</v>
      </c>
      <c r="B6" s="104" t="str">
        <f>Innehåll!D79</f>
        <v xml:space="preserve"> 2023-12</v>
      </c>
      <c r="C6" s="104" t="str">
        <f>Innehåll!D80</f>
        <v xml:space="preserve"> 2022-12</v>
      </c>
      <c r="D6" s="104" t="str">
        <f>Innehåll!D81</f>
        <v>YTD  2023</v>
      </c>
      <c r="E6" s="104" t="str">
        <f>Innehåll!D82</f>
        <v>YTD  2022</v>
      </c>
      <c r="F6" s="130" t="str">
        <f>B6</f>
        <v xml:space="preserve"> 2023-12</v>
      </c>
      <c r="G6" s="118" t="str">
        <f>D6</f>
        <v>YTD  2023</v>
      </c>
      <c r="H6" s="58"/>
    </row>
    <row r="7" spans="1:9" hidden="1">
      <c r="A7" s="153" t="s">
        <v>328</v>
      </c>
      <c r="B7" s="146" t="s">
        <v>307</v>
      </c>
      <c r="C7" s="146" t="s">
        <v>327</v>
      </c>
      <c r="D7" s="146" t="s">
        <v>325</v>
      </c>
      <c r="E7" s="146" t="s">
        <v>326</v>
      </c>
      <c r="F7" s="145" t="s">
        <v>383</v>
      </c>
      <c r="G7" s="145" t="s">
        <v>384</v>
      </c>
      <c r="H7" s="25"/>
      <c r="I7"/>
    </row>
    <row r="8" spans="1:9">
      <c r="A8" s="154" t="s">
        <v>1198</v>
      </c>
      <c r="B8" s="146">
        <v>4897</v>
      </c>
      <c r="C8" s="146">
        <v>4052</v>
      </c>
      <c r="D8" s="146">
        <v>43703</v>
      </c>
      <c r="E8" s="146">
        <v>34516</v>
      </c>
      <c r="F8" s="155">
        <v>20.853899308983216</v>
      </c>
      <c r="G8" s="155">
        <v>26.616641557538536</v>
      </c>
      <c r="H8" s="25"/>
      <c r="I8"/>
    </row>
    <row r="9" spans="1:9">
      <c r="A9" s="156" t="s">
        <v>329</v>
      </c>
      <c r="B9" s="157">
        <v>18</v>
      </c>
      <c r="C9" s="157">
        <v>30</v>
      </c>
      <c r="D9" s="157">
        <v>238</v>
      </c>
      <c r="E9" s="157">
        <v>204</v>
      </c>
      <c r="F9" s="158">
        <v>-40</v>
      </c>
      <c r="G9" s="158">
        <v>16.666666666666664</v>
      </c>
      <c r="H9" s="25"/>
      <c r="I9"/>
    </row>
    <row r="10" spans="1:9">
      <c r="A10" s="154" t="s">
        <v>330</v>
      </c>
      <c r="B10" s="146">
        <v>24</v>
      </c>
      <c r="C10" s="152">
        <v>34</v>
      </c>
      <c r="D10" s="152">
        <v>322</v>
      </c>
      <c r="E10" s="152">
        <v>328</v>
      </c>
      <c r="F10" s="155">
        <v>-29.411764705882355</v>
      </c>
      <c r="G10" s="155">
        <v>-1.8292682926829267</v>
      </c>
      <c r="H10" s="25"/>
      <c r="I10"/>
    </row>
    <row r="11" spans="1:9">
      <c r="A11" s="154" t="s">
        <v>1199</v>
      </c>
      <c r="B11" s="146">
        <v>488</v>
      </c>
      <c r="C11" s="146">
        <v>618</v>
      </c>
      <c r="D11" s="146">
        <v>6620</v>
      </c>
      <c r="E11" s="146">
        <v>5492</v>
      </c>
      <c r="F11" s="155">
        <v>-21.035598705501616</v>
      </c>
      <c r="G11" s="155">
        <v>20.538965768390387</v>
      </c>
      <c r="H11" s="25"/>
      <c r="I11"/>
    </row>
    <row r="12" spans="1:9">
      <c r="A12" s="159" t="s">
        <v>454</v>
      </c>
      <c r="B12" s="160">
        <v>5427</v>
      </c>
      <c r="C12" s="161">
        <v>4734</v>
      </c>
      <c r="D12" s="161">
        <v>50883</v>
      </c>
      <c r="E12" s="161">
        <v>40540</v>
      </c>
      <c r="F12" s="162">
        <v>14.638783269961978</v>
      </c>
      <c r="G12" s="163">
        <v>25.513073507646766</v>
      </c>
      <c r="H12" s="25"/>
      <c r="I12"/>
    </row>
    <row r="13" spans="1:9">
      <c r="A13" s="25"/>
      <c r="B13" s="61"/>
      <c r="C13" s="61"/>
      <c r="D13" s="61"/>
      <c r="E13" s="61"/>
      <c r="F13" s="25"/>
      <c r="G13" s="25"/>
      <c r="H13" s="58"/>
    </row>
    <row r="14" spans="1:9">
      <c r="A14" s="25"/>
      <c r="B14" s="61"/>
      <c r="C14" s="61"/>
      <c r="D14" s="61"/>
      <c r="E14" s="61"/>
      <c r="F14" s="25"/>
      <c r="G14" s="25"/>
      <c r="H14" s="58"/>
    </row>
    <row r="15" spans="1:9">
      <c r="A15" s="25" t="s">
        <v>677</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X21" sqref="X21"/>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3"/>
    </row>
    <row r="4" spans="2:21">
      <c r="P4" s="25"/>
      <c r="Q4" s="25"/>
      <c r="R4" s="25"/>
      <c r="S4" s="25"/>
      <c r="T4" s="25"/>
      <c r="U4" s="25"/>
    </row>
    <row r="5" spans="2:21" ht="16" thickBot="1">
      <c r="P5" s="25"/>
      <c r="Q5" s="19" t="s">
        <v>455</v>
      </c>
      <c r="R5" s="24">
        <v>2021</v>
      </c>
      <c r="S5" s="24">
        <v>2022</v>
      </c>
      <c r="T5" s="24">
        <v>2023</v>
      </c>
      <c r="U5" s="25"/>
    </row>
    <row r="6" spans="2:21">
      <c r="P6" s="25"/>
      <c r="Q6" s="16" t="s">
        <v>2</v>
      </c>
      <c r="R6" s="25">
        <v>2149</v>
      </c>
      <c r="S6" s="25">
        <v>2074</v>
      </c>
      <c r="T6" s="25">
        <v>2356</v>
      </c>
      <c r="U6" s="25"/>
    </row>
    <row r="7" spans="2:21">
      <c r="P7" s="25"/>
      <c r="Q7" s="16" t="s">
        <v>3</v>
      </c>
      <c r="R7" s="25">
        <v>2814</v>
      </c>
      <c r="S7" s="25">
        <v>2592</v>
      </c>
      <c r="T7" s="25">
        <v>2983</v>
      </c>
      <c r="U7" s="25"/>
    </row>
    <row r="8" spans="2:21">
      <c r="P8" s="25"/>
      <c r="Q8" s="16" t="s">
        <v>4</v>
      </c>
      <c r="R8" s="25">
        <v>8680</v>
      </c>
      <c r="S8" s="25">
        <v>3443</v>
      </c>
      <c r="T8" s="25">
        <v>3654</v>
      </c>
      <c r="U8" s="25"/>
    </row>
    <row r="9" spans="2:21">
      <c r="P9" s="25"/>
      <c r="Q9" s="16" t="s">
        <v>5</v>
      </c>
      <c r="R9" s="25">
        <v>1906</v>
      </c>
      <c r="S9" s="25">
        <v>2954</v>
      </c>
      <c r="T9" s="25">
        <v>3203</v>
      </c>
      <c r="U9" s="25"/>
    </row>
    <row r="10" spans="2:21">
      <c r="P10" s="25"/>
      <c r="Q10" s="16" t="s">
        <v>6</v>
      </c>
      <c r="R10" s="25">
        <v>2788</v>
      </c>
      <c r="S10" s="25">
        <v>2983</v>
      </c>
      <c r="T10" s="25">
        <v>3919</v>
      </c>
      <c r="U10" s="25"/>
    </row>
    <row r="11" spans="2:21">
      <c r="P11" s="25"/>
      <c r="Q11" s="16" t="s">
        <v>7</v>
      </c>
      <c r="R11" s="25">
        <v>3139</v>
      </c>
      <c r="S11" s="25">
        <v>2605</v>
      </c>
      <c r="T11" s="25">
        <v>4111</v>
      </c>
      <c r="U11" s="25"/>
    </row>
    <row r="12" spans="2:21">
      <c r="P12" s="25"/>
      <c r="Q12" s="16" t="s">
        <v>8</v>
      </c>
      <c r="R12" s="25">
        <v>1548</v>
      </c>
      <c r="S12" s="25">
        <v>1533</v>
      </c>
      <c r="T12" s="25">
        <v>2010</v>
      </c>
      <c r="U12" s="25"/>
    </row>
    <row r="13" spans="2:21">
      <c r="P13" s="25"/>
      <c r="Q13" s="16" t="s">
        <v>9</v>
      </c>
      <c r="R13" s="25">
        <v>2631</v>
      </c>
      <c r="S13" s="25">
        <v>3065</v>
      </c>
      <c r="T13" s="25">
        <v>4044</v>
      </c>
      <c r="U13" s="25"/>
    </row>
    <row r="14" spans="2:21">
      <c r="P14" s="25"/>
      <c r="Q14" s="16" t="s">
        <v>10</v>
      </c>
      <c r="R14" s="25">
        <v>2973</v>
      </c>
      <c r="S14" s="25">
        <v>3276</v>
      </c>
      <c r="T14" s="25">
        <v>4477</v>
      </c>
      <c r="U14" s="25"/>
    </row>
    <row r="15" spans="2:21">
      <c r="P15" s="25"/>
      <c r="Q15" s="16" t="s">
        <v>11</v>
      </c>
      <c r="R15" s="25">
        <v>2401</v>
      </c>
      <c r="S15" s="25">
        <v>2572</v>
      </c>
      <c r="T15" s="25">
        <v>4199</v>
      </c>
      <c r="U15" s="25"/>
    </row>
    <row r="16" spans="2:21">
      <c r="P16" s="25"/>
      <c r="Q16" s="16" t="s">
        <v>12</v>
      </c>
      <c r="R16" s="25">
        <v>2420</v>
      </c>
      <c r="S16" s="25">
        <v>3367</v>
      </c>
      <c r="T16" s="25">
        <v>3850</v>
      </c>
      <c r="U16" s="25"/>
    </row>
    <row r="17" spans="16:21">
      <c r="P17" s="25"/>
      <c r="Q17" s="26" t="s">
        <v>13</v>
      </c>
      <c r="R17" s="27">
        <v>2787</v>
      </c>
      <c r="S17" s="27">
        <v>4052</v>
      </c>
      <c r="T17" s="27">
        <v>4897</v>
      </c>
      <c r="U17" s="25"/>
    </row>
    <row r="18" spans="16:21">
      <c r="P18" s="25"/>
      <c r="Q18" s="38" t="s">
        <v>534</v>
      </c>
      <c r="R18" s="25">
        <f>SUMIF(T6:T17,"&gt;0",R6:R17)</f>
        <v>36236</v>
      </c>
      <c r="S18" s="25">
        <f>SUMIF(T6:T17,"&gt;0",S6:S17)</f>
        <v>34516</v>
      </c>
      <c r="T18" s="61">
        <f>SUM(T6:T17)</f>
        <v>43703</v>
      </c>
      <c r="U18" s="25"/>
    </row>
    <row r="19" spans="16:21">
      <c r="P19" s="25"/>
      <c r="Q19" s="87" t="s">
        <v>533</v>
      </c>
      <c r="R19" s="61">
        <f>SUM(R6:R17)</f>
        <v>36236</v>
      </c>
      <c r="S19" s="61">
        <f>SUM(S6:S17)</f>
        <v>34516</v>
      </c>
      <c r="T19" s="61">
        <v>43703</v>
      </c>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452</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297</v>
      </c>
      <c r="R35" s="66"/>
      <c r="S35" s="66"/>
      <c r="T35" s="66"/>
      <c r="U35" s="66"/>
      <c r="V35" s="66"/>
      <c r="W35" s="113"/>
    </row>
    <row r="36" spans="17:23">
      <c r="Q36" s="25"/>
      <c r="R36" s="25"/>
      <c r="S36" s="25"/>
      <c r="T36" s="25"/>
      <c r="U36" s="25"/>
      <c r="V36" s="25"/>
      <c r="W36" s="25"/>
    </row>
    <row r="37" spans="17:23">
      <c r="Q37" s="88" t="s">
        <v>438</v>
      </c>
      <c r="R37" s="58">
        <v>-3.4899953466728708</v>
      </c>
      <c r="S37" s="25"/>
      <c r="T37" s="25"/>
      <c r="U37" s="25"/>
      <c r="V37" s="25"/>
      <c r="W37" s="25"/>
    </row>
    <row r="38" spans="17:23">
      <c r="Q38" s="88" t="s">
        <v>501</v>
      </c>
      <c r="R38" s="58">
        <v>46.333853354134163</v>
      </c>
      <c r="S38" s="25"/>
      <c r="T38" s="25"/>
      <c r="U38" s="25"/>
      <c r="V38" s="25"/>
      <c r="W38" s="25"/>
    </row>
    <row r="39" spans="17:23">
      <c r="Q39" s="88" t="s">
        <v>560</v>
      </c>
      <c r="R39" s="58">
        <v>239.72602739726025</v>
      </c>
      <c r="S39" s="25"/>
      <c r="T39" s="25"/>
      <c r="U39" s="25"/>
      <c r="V39" s="25"/>
      <c r="W39" s="25"/>
    </row>
    <row r="40" spans="17:23">
      <c r="Q40" s="88" t="s">
        <v>575</v>
      </c>
      <c r="R40" s="58">
        <v>-23.29979879275654</v>
      </c>
      <c r="S40" s="25"/>
      <c r="T40" s="25"/>
      <c r="U40" s="25"/>
      <c r="V40" s="25"/>
      <c r="W40" s="25"/>
    </row>
    <row r="41" spans="17:23">
      <c r="Q41" s="88" t="s">
        <v>589</v>
      </c>
      <c r="R41" s="58">
        <v>32.572515454113173</v>
      </c>
      <c r="S41" s="25"/>
      <c r="T41" s="25"/>
      <c r="U41" s="25"/>
      <c r="V41" s="25"/>
      <c r="W41" s="25"/>
    </row>
    <row r="42" spans="17:23">
      <c r="Q42" s="88" t="s">
        <v>596</v>
      </c>
      <c r="R42" s="58">
        <v>40.133928571428577</v>
      </c>
      <c r="S42" s="25"/>
      <c r="T42" s="25"/>
      <c r="U42" s="25"/>
      <c r="V42" s="25"/>
      <c r="W42" s="25"/>
    </row>
    <row r="43" spans="17:23">
      <c r="Q43" s="88" t="s">
        <v>601</v>
      </c>
      <c r="R43" s="58">
        <v>-5.3789731051344738</v>
      </c>
      <c r="S43" s="25"/>
      <c r="T43" s="25"/>
      <c r="U43" s="25"/>
      <c r="V43" s="25"/>
      <c r="W43" s="25"/>
    </row>
    <row r="44" spans="17:23">
      <c r="Q44" s="88" t="s">
        <v>603</v>
      </c>
      <c r="R44" s="58">
        <v>-8.6775425199583474</v>
      </c>
      <c r="S44" s="25"/>
      <c r="T44" s="25"/>
      <c r="U44" s="25"/>
      <c r="V44" s="25"/>
      <c r="W44" s="25"/>
    </row>
    <row r="45" spans="17:23">
      <c r="Q45" s="88" t="s">
        <v>611</v>
      </c>
      <c r="R45" s="58">
        <v>-17.324805339265851</v>
      </c>
      <c r="S45" s="25"/>
      <c r="T45" s="25"/>
      <c r="U45" s="25"/>
      <c r="V45" s="25"/>
      <c r="W45" s="25"/>
    </row>
    <row r="46" spans="17:23">
      <c r="Q46" s="88" t="s">
        <v>630</v>
      </c>
      <c r="R46" s="58">
        <v>-27.242424242424239</v>
      </c>
      <c r="S46" s="25"/>
      <c r="T46" s="25"/>
      <c r="U46" s="25"/>
      <c r="V46" s="25"/>
      <c r="W46" s="25"/>
    </row>
    <row r="47" spans="17:23">
      <c r="Q47" s="88" t="s">
        <v>639</v>
      </c>
      <c r="R47" s="58">
        <v>-22.708399872245288</v>
      </c>
      <c r="S47" s="25"/>
      <c r="T47" s="25"/>
      <c r="U47" s="25"/>
      <c r="V47" s="25"/>
      <c r="W47" s="25"/>
    </row>
    <row r="48" spans="17:23">
      <c r="Q48" s="88" t="s">
        <v>648</v>
      </c>
      <c r="R48" s="58">
        <v>-30.185370741482963</v>
      </c>
      <c r="S48" s="25"/>
      <c r="T48" s="25"/>
      <c r="U48" s="25"/>
      <c r="V48" s="25"/>
      <c r="W48" s="25"/>
    </row>
    <row r="49" spans="17:23">
      <c r="Q49" s="88" t="s">
        <v>657</v>
      </c>
      <c r="R49" s="58">
        <f>((S6-R6)/R6)*100</f>
        <v>-3.4899953466728708</v>
      </c>
      <c r="S49" s="25"/>
      <c r="T49" s="25"/>
      <c r="U49" s="25"/>
      <c r="V49" s="25"/>
      <c r="W49" s="25"/>
    </row>
    <row r="50" spans="17:23">
      <c r="Q50" s="88" t="s">
        <v>672</v>
      </c>
      <c r="R50" s="58">
        <f t="shared" ref="R50:R60" si="0">((S7-R7)/R7)*100</f>
        <v>-7.8891257995735611</v>
      </c>
      <c r="S50" s="25"/>
      <c r="T50" s="25"/>
      <c r="U50" s="25"/>
      <c r="V50" s="25"/>
      <c r="W50" s="25"/>
    </row>
    <row r="51" spans="17:23">
      <c r="Q51" s="88" t="s">
        <v>690</v>
      </c>
      <c r="R51" s="58">
        <f t="shared" si="0"/>
        <v>-60.334101382488484</v>
      </c>
      <c r="S51" s="25"/>
      <c r="T51" s="25"/>
      <c r="U51" s="25"/>
      <c r="V51" s="25"/>
      <c r="W51" s="25"/>
    </row>
    <row r="52" spans="17:23">
      <c r="Q52" s="88" t="s">
        <v>699</v>
      </c>
      <c r="R52" s="58">
        <f t="shared" si="0"/>
        <v>54.984260230849948</v>
      </c>
      <c r="S52" s="25"/>
      <c r="T52" s="25"/>
      <c r="U52" s="25"/>
      <c r="V52" s="25"/>
      <c r="W52" s="25"/>
    </row>
    <row r="53" spans="17:23">
      <c r="Q53" s="88" t="s">
        <v>705</v>
      </c>
      <c r="R53" s="58">
        <f t="shared" si="0"/>
        <v>6.9942611190817789</v>
      </c>
      <c r="S53" s="25"/>
      <c r="T53" s="25"/>
      <c r="U53" s="25"/>
      <c r="V53" s="25"/>
      <c r="W53" s="25"/>
    </row>
    <row r="54" spans="17:23">
      <c r="Q54" s="88" t="s">
        <v>708</v>
      </c>
      <c r="R54" s="58">
        <f t="shared" si="0"/>
        <v>-17.011787193373689</v>
      </c>
      <c r="S54" s="25"/>
      <c r="T54" s="25"/>
      <c r="U54" s="25"/>
      <c r="V54" s="25"/>
      <c r="W54" s="25"/>
    </row>
    <row r="55" spans="17:23">
      <c r="Q55" s="88" t="s">
        <v>983</v>
      </c>
      <c r="R55" s="58">
        <f t="shared" si="0"/>
        <v>-0.96899224806201545</v>
      </c>
      <c r="S55" s="25"/>
      <c r="T55" s="25"/>
      <c r="U55" s="25"/>
      <c r="V55" s="25"/>
      <c r="W55" s="25"/>
    </row>
    <row r="56" spans="17:23">
      <c r="Q56" s="88" t="s">
        <v>989</v>
      </c>
      <c r="R56" s="58">
        <f t="shared" si="0"/>
        <v>16.495629038388447</v>
      </c>
      <c r="S56" s="25"/>
      <c r="T56" s="25"/>
      <c r="U56" s="25"/>
      <c r="V56" s="25"/>
      <c r="W56" s="25"/>
    </row>
    <row r="57" spans="17:23">
      <c r="Q57" s="88" t="s">
        <v>1003</v>
      </c>
      <c r="R57" s="58">
        <f t="shared" si="0"/>
        <v>10.191725529767911</v>
      </c>
      <c r="S57" s="25"/>
      <c r="T57" s="25"/>
      <c r="U57" s="25"/>
      <c r="V57" s="25"/>
      <c r="W57" s="25"/>
    </row>
    <row r="58" spans="17:23">
      <c r="Q58" s="88" t="s">
        <v>1013</v>
      </c>
      <c r="R58" s="58">
        <f t="shared" si="0"/>
        <v>7.1220324864639739</v>
      </c>
      <c r="S58" s="25"/>
      <c r="T58" s="25"/>
      <c r="U58" s="25"/>
      <c r="V58" s="25"/>
      <c r="W58" s="25"/>
    </row>
    <row r="59" spans="17:23">
      <c r="Q59" s="88" t="s">
        <v>1025</v>
      </c>
      <c r="R59" s="58">
        <f t="shared" si="0"/>
        <v>39.132231404958681</v>
      </c>
      <c r="S59" s="25"/>
      <c r="T59" s="25"/>
      <c r="U59" s="25"/>
      <c r="V59" s="25"/>
      <c r="W59" s="25"/>
    </row>
    <row r="60" spans="17:23">
      <c r="Q60" s="88" t="s">
        <v>1040</v>
      </c>
      <c r="R60" s="58">
        <f t="shared" si="0"/>
        <v>45.389307499102976</v>
      </c>
      <c r="S60" s="25"/>
      <c r="T60" s="25"/>
      <c r="U60" s="25"/>
      <c r="V60" s="25"/>
      <c r="W60" s="25"/>
    </row>
    <row r="61" spans="17:23">
      <c r="Q61" s="88" t="s">
        <v>1066</v>
      </c>
      <c r="R61" s="58">
        <f t="shared" ref="R61:R66" si="1">((T6-S6)/S6)*100</f>
        <v>13.596914175506269</v>
      </c>
      <c r="S61" s="25"/>
      <c r="T61" s="25"/>
      <c r="U61" s="25"/>
      <c r="V61" s="25"/>
      <c r="W61" s="25"/>
    </row>
    <row r="62" spans="17:23">
      <c r="Q62" s="88" t="s">
        <v>1103</v>
      </c>
      <c r="R62" s="58">
        <f t="shared" si="1"/>
        <v>15.084876543209877</v>
      </c>
      <c r="S62" s="25"/>
      <c r="T62" s="25"/>
      <c r="U62" s="25"/>
      <c r="V62" s="25"/>
      <c r="W62" s="25"/>
    </row>
    <row r="63" spans="17:23">
      <c r="Q63" s="88" t="s">
        <v>1136</v>
      </c>
      <c r="R63" s="58">
        <f t="shared" si="1"/>
        <v>6.1283764159163523</v>
      </c>
      <c r="S63" s="25"/>
      <c r="T63" s="25"/>
      <c r="U63" s="25"/>
      <c r="V63" s="25"/>
      <c r="W63" s="25"/>
    </row>
    <row r="64" spans="17:23">
      <c r="Q64" s="88" t="s">
        <v>1160</v>
      </c>
      <c r="R64" s="58">
        <f t="shared" si="1"/>
        <v>8.4292484766418418</v>
      </c>
      <c r="S64" s="25"/>
      <c r="T64" s="25"/>
      <c r="U64" s="25"/>
      <c r="V64" s="25"/>
      <c r="W64" s="25"/>
    </row>
    <row r="65" spans="1:23">
      <c r="A65" s="25" t="s">
        <v>677</v>
      </c>
      <c r="Q65" s="88" t="s">
        <v>1186</v>
      </c>
      <c r="R65" s="58">
        <f t="shared" si="1"/>
        <v>31.377807576265504</v>
      </c>
      <c r="S65" s="25"/>
      <c r="T65" s="25"/>
      <c r="U65" s="25"/>
      <c r="V65" s="25"/>
      <c r="W65" s="25"/>
    </row>
    <row r="66" spans="1:23">
      <c r="Q66" s="88" t="s">
        <v>1214</v>
      </c>
      <c r="R66" s="58">
        <f t="shared" si="1"/>
        <v>57.811900191938584</v>
      </c>
      <c r="S66" s="25"/>
      <c r="T66" s="25"/>
      <c r="U66" s="25"/>
      <c r="V66" s="25"/>
      <c r="W66" s="25"/>
    </row>
    <row r="67" spans="1:23">
      <c r="Q67" s="88" t="s">
        <v>1221</v>
      </c>
      <c r="R67" s="58">
        <f t="shared" ref="R67:R72" si="2">((T12-S12)/S12)*100</f>
        <v>31.115459882583167</v>
      </c>
      <c r="S67" s="25"/>
      <c r="T67" s="25"/>
      <c r="U67" s="25"/>
      <c r="V67" s="25"/>
      <c r="W67" s="25"/>
    </row>
    <row r="68" spans="1:23">
      <c r="Q68" s="88" t="s">
        <v>1233</v>
      </c>
      <c r="R68" s="58">
        <f t="shared" si="2"/>
        <v>31.941272430668842</v>
      </c>
      <c r="S68" s="25"/>
      <c r="T68" s="25"/>
      <c r="U68" s="25"/>
      <c r="V68" s="25"/>
      <c r="W68" s="25"/>
    </row>
    <row r="69" spans="1:23">
      <c r="Q69" s="88" t="s">
        <v>1255</v>
      </c>
      <c r="R69" s="58">
        <f t="shared" si="2"/>
        <v>36.660561660561655</v>
      </c>
      <c r="S69" s="25"/>
      <c r="T69" s="25"/>
      <c r="U69" s="25"/>
      <c r="V69" s="25"/>
      <c r="W69" s="25"/>
    </row>
    <row r="70" spans="1:23">
      <c r="Q70" s="15" t="s">
        <v>1283</v>
      </c>
      <c r="R70" s="58">
        <f t="shared" si="2"/>
        <v>63.258164852255049</v>
      </c>
      <c r="S70" s="25"/>
      <c r="T70" s="25"/>
      <c r="U70" s="25"/>
      <c r="V70" s="25"/>
      <c r="W70" s="25"/>
    </row>
    <row r="71" spans="1:23">
      <c r="Q71" s="15" t="s">
        <v>1305</v>
      </c>
      <c r="R71">
        <f t="shared" si="2"/>
        <v>14.345114345114347</v>
      </c>
      <c r="S71" s="25"/>
      <c r="T71" s="25"/>
      <c r="U71" s="25"/>
      <c r="V71" s="25"/>
      <c r="W71" s="25"/>
    </row>
    <row r="72" spans="1:23">
      <c r="Q72" s="15" t="s">
        <v>1323</v>
      </c>
      <c r="R72">
        <f t="shared" si="2"/>
        <v>20.853899308983216</v>
      </c>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E40" sqref="E40"/>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1200</v>
      </c>
      <c r="D2" s="56"/>
      <c r="E2" s="56"/>
      <c r="F2" s="56"/>
      <c r="G2" s="56"/>
      <c r="H2" s="56"/>
    </row>
    <row r="4" spans="1:10" ht="15" customHeight="1">
      <c r="A4" s="89" t="s">
        <v>457</v>
      </c>
      <c r="B4" s="25"/>
      <c r="C4" s="25"/>
      <c r="D4" s="25"/>
      <c r="E4" s="259" t="s">
        <v>452</v>
      </c>
      <c r="F4" s="259"/>
      <c r="G4" s="259"/>
      <c r="H4" s="259"/>
      <c r="I4" s="259"/>
      <c r="J4" s="25"/>
    </row>
    <row r="5" spans="1:10">
      <c r="A5" s="103"/>
      <c r="B5" s="261" t="s">
        <v>535</v>
      </c>
      <c r="C5" s="262"/>
      <c r="D5" s="261" t="s">
        <v>535</v>
      </c>
      <c r="E5" s="262"/>
      <c r="F5" s="274" t="s">
        <v>536</v>
      </c>
      <c r="G5" s="275"/>
      <c r="H5" s="261" t="s">
        <v>537</v>
      </c>
      <c r="I5" s="262"/>
      <c r="J5" s="25"/>
    </row>
    <row r="6" spans="1:10">
      <c r="A6" s="103" t="s">
        <v>463</v>
      </c>
      <c r="B6" s="117" t="str">
        <f>Innehåll!D79</f>
        <v xml:space="preserve"> 2023-12</v>
      </c>
      <c r="C6" s="117" t="str">
        <f>Innehåll!D80</f>
        <v xml:space="preserve"> 2022-12</v>
      </c>
      <c r="D6" s="117" t="str">
        <f>Innehåll!D81</f>
        <v>YTD  2023</v>
      </c>
      <c r="E6" s="117" t="str">
        <f>Innehåll!D82</f>
        <v>YTD  2022</v>
      </c>
      <c r="F6" s="131" t="str">
        <f>B6</f>
        <v xml:space="preserve"> 2023-12</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673</v>
      </c>
      <c r="B8" s="25">
        <v>0</v>
      </c>
      <c r="C8" s="25">
        <v>0</v>
      </c>
      <c r="D8" s="25">
        <v>20</v>
      </c>
      <c r="E8" s="25">
        <v>0</v>
      </c>
      <c r="F8" s="25">
        <v>0</v>
      </c>
      <c r="G8" s="25">
        <v>0</v>
      </c>
      <c r="H8" s="25">
        <v>0</v>
      </c>
      <c r="I8" s="25">
        <v>0</v>
      </c>
      <c r="J8" s="25"/>
    </row>
    <row r="9" spans="1:10">
      <c r="A9" s="25" t="s">
        <v>262</v>
      </c>
      <c r="B9" s="25">
        <v>4</v>
      </c>
      <c r="C9" s="25">
        <v>1</v>
      </c>
      <c r="D9" s="25">
        <v>38</v>
      </c>
      <c r="E9" s="25">
        <v>20</v>
      </c>
      <c r="F9" s="25">
        <v>300</v>
      </c>
      <c r="G9" s="25">
        <v>90</v>
      </c>
      <c r="H9" s="25">
        <v>0.1</v>
      </c>
      <c r="I9" s="25">
        <v>0.1</v>
      </c>
      <c r="J9" s="25"/>
    </row>
    <row r="10" spans="1:10">
      <c r="A10" s="25" t="s">
        <v>263</v>
      </c>
      <c r="B10" s="25">
        <v>40</v>
      </c>
      <c r="C10" s="25">
        <v>90</v>
      </c>
      <c r="D10" s="25">
        <v>908</v>
      </c>
      <c r="E10" s="25">
        <v>1224</v>
      </c>
      <c r="F10" s="25">
        <v>-55.6</v>
      </c>
      <c r="G10" s="25">
        <v>-25.8</v>
      </c>
      <c r="H10" s="25">
        <v>2.1</v>
      </c>
      <c r="I10" s="25">
        <v>3.5</v>
      </c>
      <c r="J10" s="25"/>
    </row>
    <row r="11" spans="1:10">
      <c r="A11" s="25" t="s">
        <v>264</v>
      </c>
      <c r="B11" s="25">
        <v>0</v>
      </c>
      <c r="C11" s="25">
        <v>0</v>
      </c>
      <c r="D11" s="25">
        <v>0</v>
      </c>
      <c r="E11" s="25">
        <v>1</v>
      </c>
      <c r="F11" s="25">
        <v>0</v>
      </c>
      <c r="G11" s="25">
        <v>-100</v>
      </c>
      <c r="H11" s="25">
        <v>0</v>
      </c>
      <c r="I11" s="25">
        <v>0</v>
      </c>
      <c r="J11" s="25"/>
    </row>
    <row r="12" spans="1:10">
      <c r="A12" s="25" t="s">
        <v>1099</v>
      </c>
      <c r="B12" s="25">
        <v>0</v>
      </c>
      <c r="C12" s="25">
        <v>3</v>
      </c>
      <c r="D12" s="25">
        <v>1</v>
      </c>
      <c r="E12" s="25">
        <v>17</v>
      </c>
      <c r="F12" s="25">
        <v>-100</v>
      </c>
      <c r="G12" s="25">
        <v>-94.1</v>
      </c>
      <c r="H12" s="25">
        <v>0</v>
      </c>
      <c r="I12" s="25">
        <v>0</v>
      </c>
      <c r="J12" s="25"/>
    </row>
    <row r="13" spans="1:10">
      <c r="A13" s="25" t="s">
        <v>265</v>
      </c>
      <c r="B13" s="25">
        <v>43</v>
      </c>
      <c r="C13" s="25">
        <v>96</v>
      </c>
      <c r="D13" s="25">
        <v>633</v>
      </c>
      <c r="E13" s="25">
        <v>340</v>
      </c>
      <c r="F13" s="25">
        <v>-55.2</v>
      </c>
      <c r="G13" s="25">
        <v>86.2</v>
      </c>
      <c r="H13" s="25">
        <v>1.4</v>
      </c>
      <c r="I13" s="25">
        <v>1</v>
      </c>
      <c r="J13" s="25"/>
    </row>
    <row r="14" spans="1:10">
      <c r="A14" s="25" t="s">
        <v>266</v>
      </c>
      <c r="B14" s="61">
        <v>381</v>
      </c>
      <c r="C14" s="61">
        <v>620</v>
      </c>
      <c r="D14" s="61">
        <v>6267</v>
      </c>
      <c r="E14" s="61">
        <v>6433</v>
      </c>
      <c r="F14" s="25">
        <v>-38.5</v>
      </c>
      <c r="G14" s="25">
        <v>-2.6</v>
      </c>
      <c r="H14" s="25">
        <v>14.3</v>
      </c>
      <c r="I14" s="25">
        <v>18.600000000000001</v>
      </c>
      <c r="J14" s="25"/>
    </row>
    <row r="15" spans="1:10">
      <c r="A15" s="25" t="s">
        <v>361</v>
      </c>
      <c r="B15" s="61">
        <v>131</v>
      </c>
      <c r="C15" s="61">
        <v>58</v>
      </c>
      <c r="D15" s="61">
        <v>960</v>
      </c>
      <c r="E15" s="61">
        <v>596</v>
      </c>
      <c r="F15" s="25">
        <v>125.9</v>
      </c>
      <c r="G15" s="25">
        <v>61.1</v>
      </c>
      <c r="H15" s="25">
        <v>2.2000000000000002</v>
      </c>
      <c r="I15" s="25">
        <v>1.7</v>
      </c>
      <c r="J15" s="25"/>
    </row>
    <row r="16" spans="1:10">
      <c r="A16" s="25" t="s">
        <v>269</v>
      </c>
      <c r="B16" s="61">
        <v>147</v>
      </c>
      <c r="C16" s="61">
        <v>81</v>
      </c>
      <c r="D16" s="61">
        <v>1000</v>
      </c>
      <c r="E16" s="61">
        <v>679</v>
      </c>
      <c r="F16" s="25">
        <v>81.5</v>
      </c>
      <c r="G16" s="25">
        <v>47.3</v>
      </c>
      <c r="H16" s="25">
        <v>2.2999999999999998</v>
      </c>
      <c r="I16" s="25">
        <v>2</v>
      </c>
      <c r="J16" s="25"/>
    </row>
    <row r="17" spans="1:10">
      <c r="A17" s="25" t="s">
        <v>271</v>
      </c>
      <c r="B17" s="61">
        <v>0</v>
      </c>
      <c r="C17" s="61">
        <v>0</v>
      </c>
      <c r="D17" s="61">
        <v>16</v>
      </c>
      <c r="E17" s="61">
        <v>0</v>
      </c>
      <c r="F17" s="25">
        <v>0</v>
      </c>
      <c r="G17" s="25">
        <v>0</v>
      </c>
      <c r="H17" s="25">
        <v>0</v>
      </c>
      <c r="I17" s="25">
        <v>0</v>
      </c>
      <c r="J17" s="25"/>
    </row>
    <row r="18" spans="1:10">
      <c r="A18" s="25" t="s">
        <v>274</v>
      </c>
      <c r="B18" s="61">
        <v>0</v>
      </c>
      <c r="C18" s="61">
        <v>0</v>
      </c>
      <c r="D18" s="61">
        <v>2</v>
      </c>
      <c r="E18" s="61">
        <v>0</v>
      </c>
      <c r="F18" s="25">
        <v>0</v>
      </c>
      <c r="G18" s="25">
        <v>0</v>
      </c>
      <c r="H18" s="25">
        <v>0</v>
      </c>
      <c r="I18" s="25">
        <v>0</v>
      </c>
      <c r="J18" s="25"/>
    </row>
    <row r="19" spans="1:10">
      <c r="A19" s="25" t="s">
        <v>1100</v>
      </c>
      <c r="B19" s="61">
        <v>0</v>
      </c>
      <c r="C19" s="61">
        <v>0</v>
      </c>
      <c r="D19" s="61">
        <v>2</v>
      </c>
      <c r="E19" s="61">
        <v>15</v>
      </c>
      <c r="F19" s="25">
        <v>0</v>
      </c>
      <c r="G19" s="25">
        <v>-86.7</v>
      </c>
      <c r="H19" s="25">
        <v>0</v>
      </c>
      <c r="I19" s="25">
        <v>0</v>
      </c>
      <c r="J19" s="25"/>
    </row>
    <row r="20" spans="1:10">
      <c r="A20" s="25" t="s">
        <v>276</v>
      </c>
      <c r="B20" s="61">
        <v>5</v>
      </c>
      <c r="C20" s="61">
        <v>6</v>
      </c>
      <c r="D20" s="61">
        <v>60</v>
      </c>
      <c r="E20" s="61">
        <v>72</v>
      </c>
      <c r="F20" s="25">
        <v>-16.7</v>
      </c>
      <c r="G20" s="25">
        <v>-16.7</v>
      </c>
      <c r="H20" s="25">
        <v>0.1</v>
      </c>
      <c r="I20" s="25">
        <v>0.2</v>
      </c>
      <c r="J20" s="25"/>
    </row>
    <row r="21" spans="1:10">
      <c r="A21" s="25" t="s">
        <v>414</v>
      </c>
      <c r="B21" s="61">
        <v>47</v>
      </c>
      <c r="C21" s="61">
        <v>215</v>
      </c>
      <c r="D21" s="61">
        <v>615</v>
      </c>
      <c r="E21" s="61">
        <v>713</v>
      </c>
      <c r="F21" s="25">
        <v>-78.099999999999994</v>
      </c>
      <c r="G21" s="25">
        <v>-13.7</v>
      </c>
      <c r="H21" s="25">
        <v>1.4</v>
      </c>
      <c r="I21" s="25">
        <v>2.1</v>
      </c>
      <c r="J21" s="25"/>
    </row>
    <row r="22" spans="1:10">
      <c r="A22" s="25" t="s">
        <v>378</v>
      </c>
      <c r="B22" s="61">
        <v>935</v>
      </c>
      <c r="C22" s="61">
        <v>796</v>
      </c>
      <c r="D22" s="61">
        <v>5847</v>
      </c>
      <c r="E22" s="61">
        <v>5205</v>
      </c>
      <c r="F22" s="25">
        <v>17.5</v>
      </c>
      <c r="G22" s="25">
        <v>12.3</v>
      </c>
      <c r="H22" s="25">
        <v>13.4</v>
      </c>
      <c r="I22" s="25">
        <v>15.1</v>
      </c>
      <c r="J22" s="25"/>
    </row>
    <row r="23" spans="1:10">
      <c r="A23" s="25" t="s">
        <v>282</v>
      </c>
      <c r="B23" s="61">
        <v>118</v>
      </c>
      <c r="C23" s="61">
        <v>121</v>
      </c>
      <c r="D23" s="61">
        <v>1063</v>
      </c>
      <c r="E23" s="61">
        <v>636</v>
      </c>
      <c r="F23" s="25">
        <v>-2.5</v>
      </c>
      <c r="G23" s="25">
        <v>67.099999999999994</v>
      </c>
      <c r="H23" s="25">
        <v>2.4</v>
      </c>
      <c r="I23" s="25">
        <v>1.8</v>
      </c>
      <c r="J23" s="25"/>
    </row>
    <row r="24" spans="1:10">
      <c r="A24" s="25" t="s">
        <v>283</v>
      </c>
      <c r="B24" s="61">
        <v>77</v>
      </c>
      <c r="C24" s="61">
        <v>56</v>
      </c>
      <c r="D24" s="61">
        <v>1512</v>
      </c>
      <c r="E24" s="61">
        <v>657</v>
      </c>
      <c r="F24" s="25">
        <v>37.5</v>
      </c>
      <c r="G24" s="25">
        <v>130.1</v>
      </c>
      <c r="H24" s="25">
        <v>3.5</v>
      </c>
      <c r="I24" s="25">
        <v>1.9</v>
      </c>
      <c r="J24" s="25"/>
    </row>
    <row r="25" spans="1:10">
      <c r="A25" s="145" t="s">
        <v>284</v>
      </c>
      <c r="B25" s="146">
        <v>146</v>
      </c>
      <c r="C25" s="146">
        <v>361</v>
      </c>
      <c r="D25" s="146">
        <v>2911</v>
      </c>
      <c r="E25" s="146">
        <v>3020</v>
      </c>
      <c r="F25" s="147">
        <v>-59.6</v>
      </c>
      <c r="G25" s="147">
        <v>-3.6</v>
      </c>
      <c r="H25" s="145">
        <v>6.7</v>
      </c>
      <c r="I25" s="145">
        <v>8.6999999999999993</v>
      </c>
      <c r="J25" s="25"/>
    </row>
    <row r="26" spans="1:10">
      <c r="A26" s="145" t="s">
        <v>1133</v>
      </c>
      <c r="B26" s="146">
        <v>0</v>
      </c>
      <c r="C26" s="146">
        <v>0</v>
      </c>
      <c r="D26" s="146">
        <v>10</v>
      </c>
      <c r="E26" s="146">
        <v>0</v>
      </c>
      <c r="F26" s="145">
        <v>0</v>
      </c>
      <c r="G26" s="145">
        <v>0</v>
      </c>
      <c r="H26" s="145">
        <v>0</v>
      </c>
      <c r="I26" s="145">
        <v>0</v>
      </c>
      <c r="J26" s="25"/>
    </row>
    <row r="27" spans="1:10">
      <c r="A27" s="145" t="s">
        <v>286</v>
      </c>
      <c r="B27" s="146">
        <v>1086</v>
      </c>
      <c r="C27" s="146">
        <v>439</v>
      </c>
      <c r="D27" s="146">
        <v>5403</v>
      </c>
      <c r="E27" s="146">
        <v>3697</v>
      </c>
      <c r="F27" s="145">
        <v>147.4</v>
      </c>
      <c r="G27" s="145">
        <v>46.1</v>
      </c>
      <c r="H27" s="145">
        <v>12.4</v>
      </c>
      <c r="I27" s="145">
        <v>10.7</v>
      </c>
      <c r="J27" s="25"/>
    </row>
    <row r="28" spans="1:10">
      <c r="A28" s="145" t="s">
        <v>1232</v>
      </c>
      <c r="B28" s="146">
        <v>1</v>
      </c>
      <c r="C28" s="146">
        <v>0</v>
      </c>
      <c r="D28" s="146">
        <v>2</v>
      </c>
      <c r="E28" s="146">
        <v>0</v>
      </c>
      <c r="F28" s="147">
        <v>0</v>
      </c>
      <c r="G28" s="147">
        <v>0</v>
      </c>
      <c r="H28" s="145">
        <v>0</v>
      </c>
      <c r="I28" s="145">
        <v>0</v>
      </c>
      <c r="J28" s="25"/>
    </row>
    <row r="29" spans="1:10">
      <c r="A29" s="145" t="s">
        <v>290</v>
      </c>
      <c r="B29" s="146">
        <v>15</v>
      </c>
      <c r="C29" s="146">
        <v>18</v>
      </c>
      <c r="D29" s="146">
        <v>166</v>
      </c>
      <c r="E29" s="146">
        <v>161</v>
      </c>
      <c r="F29" s="145">
        <v>-16.7</v>
      </c>
      <c r="G29" s="145">
        <v>3.1</v>
      </c>
      <c r="H29" s="145">
        <v>0.4</v>
      </c>
      <c r="I29" s="145">
        <v>0.5</v>
      </c>
      <c r="J29" s="25"/>
    </row>
    <row r="30" spans="1:10">
      <c r="A30" s="145" t="s">
        <v>292</v>
      </c>
      <c r="B30" s="146">
        <v>255</v>
      </c>
      <c r="C30" s="146">
        <v>285</v>
      </c>
      <c r="D30" s="146">
        <v>3215</v>
      </c>
      <c r="E30" s="146">
        <v>2655</v>
      </c>
      <c r="F30" s="145">
        <v>-10.5</v>
      </c>
      <c r="G30" s="145">
        <v>21.1</v>
      </c>
      <c r="H30" s="145">
        <v>7.4</v>
      </c>
      <c r="I30" s="145">
        <v>7.7</v>
      </c>
      <c r="J30" s="25"/>
    </row>
    <row r="31" spans="1:10">
      <c r="A31" s="145" t="s">
        <v>293</v>
      </c>
      <c r="B31" s="146">
        <v>1461</v>
      </c>
      <c r="C31" s="146">
        <v>790</v>
      </c>
      <c r="D31" s="146">
        <v>12939</v>
      </c>
      <c r="E31" s="146">
        <v>8227</v>
      </c>
      <c r="F31" s="145">
        <v>84.9</v>
      </c>
      <c r="G31" s="145">
        <v>57.3</v>
      </c>
      <c r="H31" s="145">
        <v>29.6</v>
      </c>
      <c r="I31" s="145">
        <v>23.8</v>
      </c>
      <c r="J31" s="25"/>
    </row>
    <row r="32" spans="1:10">
      <c r="A32" s="145" t="s">
        <v>295</v>
      </c>
      <c r="B32" s="146">
        <v>5</v>
      </c>
      <c r="C32" s="146">
        <v>16</v>
      </c>
      <c r="D32" s="146">
        <v>113</v>
      </c>
      <c r="E32" s="146">
        <v>147</v>
      </c>
      <c r="F32" s="145">
        <v>-68.8</v>
      </c>
      <c r="G32" s="145">
        <v>-23.1</v>
      </c>
      <c r="H32" s="145">
        <v>0.3</v>
      </c>
      <c r="I32" s="145">
        <v>0.4</v>
      </c>
      <c r="J32" s="25"/>
    </row>
    <row r="33" spans="1:9">
      <c r="A33" s="145" t="s">
        <v>454</v>
      </c>
      <c r="B33" s="146">
        <f>SUBTOTAL(109,Table_bdsql12_BDnewRegistrations_getAggMakes[antalPerioden])</f>
        <v>4897</v>
      </c>
      <c r="C33" s="146">
        <f>SUBTOTAL(109,Table_bdsql12_BDnewRegistrations_getAggMakes[antalPeriodenFG])</f>
        <v>4052</v>
      </c>
      <c r="D33" s="146">
        <f>SUBTOTAL(109,Table_bdsql12_BDnewRegistrations_getAggMakes[antalAret])</f>
        <v>43703</v>
      </c>
      <c r="E33" s="146">
        <f>SUBTOTAL(109,Table_bdsql12_BDnewRegistrations_getAggMakes[antalAretFG])</f>
        <v>34515</v>
      </c>
      <c r="F33" s="147">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20.853899308983216</v>
      </c>
      <c r="G33" s="147">
        <f>IF(Table_bdsql12_BDnewRegistrations_getAggMakes[[#Totals],[antalAretFG]] &gt; 0,( Table_bdsql12_BDnewRegistrations_getAggMakes[[#Totals],[antalAret]] - Table_bdsql12_BDnewRegistrations_getAggMakes[[#Totals],[antalAretFG]] ) / Table_bdsql12_BDnewRegistrations_getAggMakes[[#Totals],[antalAretFG]] * 100,0)</f>
        <v>26.620310010140518</v>
      </c>
      <c r="H33" s="149" t="str">
        <f>TEXT(100,"0,0")</f>
        <v>100,0</v>
      </c>
      <c r="I33" s="149" t="str">
        <f>TEXT(100,"0,0")</f>
        <v>100,0</v>
      </c>
    </row>
    <row r="36" spans="1:9">
      <c r="A36" s="25" t="s">
        <v>677</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9"/>
  <sheetViews>
    <sheetView showZeros="0" workbookViewId="0">
      <selection activeCell="N26" sqref="N26"/>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1201</v>
      </c>
      <c r="D2" s="56"/>
      <c r="E2" s="56"/>
      <c r="F2" s="56"/>
      <c r="G2" s="56"/>
      <c r="H2" s="56"/>
    </row>
    <row r="4" spans="1:13">
      <c r="A4" s="59" t="s">
        <v>451</v>
      </c>
      <c r="B4" s="25"/>
      <c r="C4" s="25"/>
      <c r="D4" s="25"/>
      <c r="E4" s="25"/>
      <c r="F4" s="25"/>
      <c r="G4" s="25"/>
      <c r="H4" s="259" t="s">
        <v>452</v>
      </c>
      <c r="I4" s="259"/>
      <c r="J4" s="259"/>
      <c r="K4" s="259"/>
      <c r="L4" s="259"/>
      <c r="M4" s="25"/>
    </row>
    <row r="5" spans="1:13">
      <c r="A5" s="103"/>
      <c r="B5" s="103"/>
      <c r="C5" s="103" t="s">
        <v>535</v>
      </c>
      <c r="D5" s="103"/>
      <c r="E5" s="103" t="s">
        <v>535</v>
      </c>
      <c r="F5" s="103"/>
      <c r="G5" s="103" t="s">
        <v>536</v>
      </c>
      <c r="H5" s="103"/>
      <c r="I5" s="103" t="s">
        <v>537</v>
      </c>
      <c r="J5" s="103"/>
      <c r="K5" s="103" t="s">
        <v>537</v>
      </c>
      <c r="L5" s="103"/>
      <c r="M5" s="25"/>
    </row>
    <row r="6" spans="1:13">
      <c r="A6" s="103"/>
      <c r="B6" s="103" t="s">
        <v>466</v>
      </c>
      <c r="C6" s="103" t="str">
        <f>Innehåll!D79</f>
        <v xml:space="preserve"> 2023-12</v>
      </c>
      <c r="D6" s="103" t="str">
        <f>Innehåll!D80</f>
        <v xml:space="preserve"> 2022-12</v>
      </c>
      <c r="E6" s="103" t="str">
        <f>Innehåll!D81</f>
        <v>YTD  2023</v>
      </c>
      <c r="F6" s="103" t="str">
        <f>Innehåll!D82</f>
        <v>YTD  2022</v>
      </c>
      <c r="G6" s="103" t="str">
        <f>C6</f>
        <v xml:space="preserve"> 2023-12</v>
      </c>
      <c r="H6" s="103" t="str">
        <f>E6</f>
        <v>YTD  2023</v>
      </c>
      <c r="I6" s="103" t="str">
        <f>C6</f>
        <v xml:space="preserve"> 2023-12</v>
      </c>
      <c r="J6" s="103" t="str">
        <f>E6</f>
        <v>YTD  2023</v>
      </c>
      <c r="K6" s="103" t="str">
        <f>D6</f>
        <v xml:space="preserve"> 2022-12</v>
      </c>
      <c r="L6" s="103" t="str">
        <f>F6</f>
        <v>YTD  2022</v>
      </c>
      <c r="M6" s="25"/>
    </row>
    <row r="7" spans="1:13" ht="1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1011</v>
      </c>
      <c r="C8" s="61">
        <v>291</v>
      </c>
      <c r="D8" s="61">
        <v>37</v>
      </c>
      <c r="E8" s="61">
        <v>1681</v>
      </c>
      <c r="F8" s="61">
        <v>247</v>
      </c>
      <c r="G8" s="25">
        <v>686.49</v>
      </c>
      <c r="H8" s="25">
        <v>580.57000000000005</v>
      </c>
      <c r="I8" s="25">
        <v>3.36</v>
      </c>
      <c r="J8" s="25">
        <v>19.420000000000002</v>
      </c>
      <c r="K8" s="25">
        <v>3.35</v>
      </c>
      <c r="L8" s="25">
        <v>4.93</v>
      </c>
      <c r="M8" s="25"/>
    </row>
    <row r="9" spans="1:13">
      <c r="A9" s="25">
        <v>2</v>
      </c>
      <c r="B9" s="25" t="s">
        <v>1010</v>
      </c>
      <c r="C9" s="61">
        <v>369</v>
      </c>
      <c r="D9" s="61">
        <v>177</v>
      </c>
      <c r="E9" s="61">
        <v>1403</v>
      </c>
      <c r="F9" s="61">
        <v>1058</v>
      </c>
      <c r="G9" s="25">
        <v>108.47</v>
      </c>
      <c r="H9" s="25">
        <v>32.61</v>
      </c>
      <c r="I9" s="25">
        <v>4.26</v>
      </c>
      <c r="J9" s="25">
        <v>16.21</v>
      </c>
      <c r="K9" s="25">
        <v>16.03</v>
      </c>
      <c r="L9" s="25">
        <v>21.11</v>
      </c>
      <c r="M9" s="25"/>
    </row>
    <row r="10" spans="1:13">
      <c r="A10" s="25">
        <v>3</v>
      </c>
      <c r="B10" s="25" t="s">
        <v>619</v>
      </c>
      <c r="C10" s="61">
        <v>58</v>
      </c>
      <c r="D10" s="61">
        <v>110</v>
      </c>
      <c r="E10" s="61">
        <v>1002</v>
      </c>
      <c r="F10" s="61">
        <v>596</v>
      </c>
      <c r="G10" s="25">
        <v>-47.27</v>
      </c>
      <c r="H10" s="25">
        <v>68.12</v>
      </c>
      <c r="I10" s="25">
        <v>0.67</v>
      </c>
      <c r="J10" s="25">
        <v>11.57</v>
      </c>
      <c r="K10" s="25">
        <v>9.9600000000000009</v>
      </c>
      <c r="L10" s="25">
        <v>11.89</v>
      </c>
      <c r="M10" s="25"/>
    </row>
    <row r="11" spans="1:13">
      <c r="A11" s="25">
        <v>4</v>
      </c>
      <c r="B11" s="25" t="s">
        <v>618</v>
      </c>
      <c r="C11" s="61">
        <v>19</v>
      </c>
      <c r="D11" s="61">
        <v>190</v>
      </c>
      <c r="E11" s="61">
        <v>846</v>
      </c>
      <c r="F11" s="61">
        <v>703</v>
      </c>
      <c r="G11" s="25">
        <v>-90</v>
      </c>
      <c r="H11" s="25">
        <v>20.34</v>
      </c>
      <c r="I11" s="25">
        <v>0.22</v>
      </c>
      <c r="J11" s="25">
        <v>9.77</v>
      </c>
      <c r="K11" s="25">
        <v>17.21</v>
      </c>
      <c r="L11" s="25">
        <v>14.03</v>
      </c>
      <c r="M11" s="25"/>
    </row>
    <row r="12" spans="1:13">
      <c r="A12" s="25">
        <v>5</v>
      </c>
      <c r="B12" s="25" t="s">
        <v>622</v>
      </c>
      <c r="C12" s="61">
        <v>6</v>
      </c>
      <c r="D12" s="61">
        <v>26</v>
      </c>
      <c r="E12" s="61">
        <v>585</v>
      </c>
      <c r="F12" s="61">
        <v>166</v>
      </c>
      <c r="G12" s="25">
        <v>-76.92</v>
      </c>
      <c r="H12" s="25">
        <v>252.41</v>
      </c>
      <c r="I12" s="25">
        <v>7.0000000000000007E-2</v>
      </c>
      <c r="J12" s="25">
        <v>6.76</v>
      </c>
      <c r="K12" s="25">
        <v>2.36</v>
      </c>
      <c r="L12" s="25">
        <v>3.31</v>
      </c>
      <c r="M12" s="25"/>
    </row>
    <row r="13" spans="1:13">
      <c r="A13" s="25">
        <v>6</v>
      </c>
      <c r="B13" s="25" t="s">
        <v>647</v>
      </c>
      <c r="C13" s="61">
        <v>35</v>
      </c>
      <c r="D13" s="61">
        <v>55</v>
      </c>
      <c r="E13" s="61">
        <v>439</v>
      </c>
      <c r="F13" s="61">
        <v>400</v>
      </c>
      <c r="G13" s="25">
        <v>-36.36</v>
      </c>
      <c r="H13" s="25">
        <v>9.75</v>
      </c>
      <c r="I13" s="25">
        <v>0.4</v>
      </c>
      <c r="J13" s="25">
        <v>5.07</v>
      </c>
      <c r="K13" s="25">
        <v>4.9800000000000004</v>
      </c>
      <c r="L13" s="25">
        <v>7.98</v>
      </c>
      <c r="M13" s="25"/>
    </row>
    <row r="14" spans="1:13">
      <c r="A14" s="25">
        <v>7</v>
      </c>
      <c r="B14" s="25" t="s">
        <v>653</v>
      </c>
      <c r="C14" s="61">
        <v>35</v>
      </c>
      <c r="D14" s="61">
        <v>208</v>
      </c>
      <c r="E14" s="61">
        <v>423</v>
      </c>
      <c r="F14" s="61">
        <v>624</v>
      </c>
      <c r="G14" s="25">
        <v>-83.17</v>
      </c>
      <c r="H14" s="25">
        <v>-32.21</v>
      </c>
      <c r="I14" s="25">
        <v>0.4</v>
      </c>
      <c r="J14" s="25">
        <v>4.8899999999999997</v>
      </c>
      <c r="K14" s="25">
        <v>18.84</v>
      </c>
      <c r="L14" s="25">
        <v>12.45</v>
      </c>
      <c r="M14" s="25"/>
    </row>
    <row r="15" spans="1:13">
      <c r="A15" s="25">
        <v>8</v>
      </c>
      <c r="B15" s="25" t="s">
        <v>1220</v>
      </c>
      <c r="C15" s="61">
        <v>110</v>
      </c>
      <c r="D15" s="61">
        <v>0</v>
      </c>
      <c r="E15" s="61">
        <v>383</v>
      </c>
      <c r="F15" s="61">
        <v>0</v>
      </c>
      <c r="G15" s="60">
        <v>0</v>
      </c>
      <c r="H15" s="60">
        <v>0</v>
      </c>
      <c r="I15" s="25">
        <v>1.27</v>
      </c>
      <c r="J15" s="25">
        <v>4.42</v>
      </c>
      <c r="K15" s="25">
        <v>0</v>
      </c>
      <c r="L15" s="25">
        <v>0</v>
      </c>
      <c r="M15" s="25"/>
    </row>
    <row r="16" spans="1:13">
      <c r="A16" s="25">
        <v>9</v>
      </c>
      <c r="B16" s="25" t="s">
        <v>654</v>
      </c>
      <c r="C16" s="61">
        <v>41</v>
      </c>
      <c r="D16" s="61">
        <v>14</v>
      </c>
      <c r="E16" s="61">
        <v>312</v>
      </c>
      <c r="F16" s="61">
        <v>64</v>
      </c>
      <c r="G16" s="25">
        <v>192.86</v>
      </c>
      <c r="H16" s="25">
        <v>387.5</v>
      </c>
      <c r="I16" s="25">
        <v>0.47</v>
      </c>
      <c r="J16" s="25">
        <v>3.6</v>
      </c>
      <c r="K16" s="25">
        <v>1.27</v>
      </c>
      <c r="L16" s="25">
        <v>1.28</v>
      </c>
      <c r="M16" s="25"/>
    </row>
    <row r="17" spans="1:13">
      <c r="A17" s="25">
        <v>10</v>
      </c>
      <c r="B17" s="25" t="s">
        <v>158</v>
      </c>
      <c r="C17" s="61">
        <v>22</v>
      </c>
      <c r="D17" s="61">
        <v>29</v>
      </c>
      <c r="E17" s="61">
        <v>277</v>
      </c>
      <c r="F17" s="61">
        <v>116</v>
      </c>
      <c r="G17" s="77">
        <v>-24.14</v>
      </c>
      <c r="H17" s="77">
        <v>138.79</v>
      </c>
      <c r="I17" s="25">
        <v>0.25</v>
      </c>
      <c r="J17" s="25">
        <v>3.2</v>
      </c>
      <c r="K17" s="25">
        <v>2.63</v>
      </c>
      <c r="L17" s="25">
        <v>2.31</v>
      </c>
      <c r="M17" s="25"/>
    </row>
    <row r="18" spans="1:13">
      <c r="A18" s="25">
        <v>11</v>
      </c>
      <c r="B18" s="25" t="s">
        <v>702</v>
      </c>
      <c r="C18" s="61">
        <v>58</v>
      </c>
      <c r="D18" s="61">
        <v>70</v>
      </c>
      <c r="E18" s="61">
        <v>254</v>
      </c>
      <c r="F18" s="61">
        <v>75</v>
      </c>
      <c r="G18" s="60">
        <v>-17.14</v>
      </c>
      <c r="H18" s="60">
        <v>238.67</v>
      </c>
      <c r="I18" s="25">
        <v>0.67</v>
      </c>
      <c r="J18" s="25">
        <v>2.93</v>
      </c>
      <c r="K18" s="25">
        <v>6.34</v>
      </c>
      <c r="L18" s="25">
        <v>1.5</v>
      </c>
      <c r="M18" s="25"/>
    </row>
    <row r="19" spans="1:13">
      <c r="A19" s="25">
        <v>12</v>
      </c>
      <c r="B19" s="25" t="s">
        <v>424</v>
      </c>
      <c r="C19" s="61">
        <v>8</v>
      </c>
      <c r="D19" s="61">
        <v>14</v>
      </c>
      <c r="E19" s="61">
        <v>183</v>
      </c>
      <c r="F19" s="61">
        <v>138</v>
      </c>
      <c r="G19" s="25">
        <v>-42.86</v>
      </c>
      <c r="H19" s="25">
        <v>32.61</v>
      </c>
      <c r="I19" s="25">
        <v>0.09</v>
      </c>
      <c r="J19" s="25">
        <v>2.11</v>
      </c>
      <c r="K19" s="25">
        <v>1.27</v>
      </c>
      <c r="L19" s="25">
        <v>2.75</v>
      </c>
      <c r="M19" s="25"/>
    </row>
    <row r="20" spans="1:13">
      <c r="A20" s="25">
        <v>13</v>
      </c>
      <c r="B20" s="25" t="s">
        <v>621</v>
      </c>
      <c r="C20" s="61">
        <v>3</v>
      </c>
      <c r="D20" s="61">
        <v>73</v>
      </c>
      <c r="E20" s="61">
        <v>173</v>
      </c>
      <c r="F20" s="61">
        <v>139</v>
      </c>
      <c r="G20" s="25">
        <v>-95.89</v>
      </c>
      <c r="H20" s="25">
        <v>24.46</v>
      </c>
      <c r="I20" s="25">
        <v>0.03</v>
      </c>
      <c r="J20" s="25">
        <v>2</v>
      </c>
      <c r="K20" s="25">
        <v>6.61</v>
      </c>
      <c r="L20" s="25">
        <v>2.77</v>
      </c>
      <c r="M20" s="25"/>
    </row>
    <row r="21" spans="1:13">
      <c r="A21" s="25">
        <v>14</v>
      </c>
      <c r="B21" s="25" t="s">
        <v>437</v>
      </c>
      <c r="C21" s="61">
        <v>37</v>
      </c>
      <c r="D21" s="61">
        <v>36</v>
      </c>
      <c r="E21" s="61">
        <v>159</v>
      </c>
      <c r="F21" s="61">
        <v>130</v>
      </c>
      <c r="G21" s="25">
        <v>2.78</v>
      </c>
      <c r="H21" s="25">
        <v>22.31</v>
      </c>
      <c r="I21" s="25">
        <v>0.43</v>
      </c>
      <c r="J21" s="25">
        <v>1.84</v>
      </c>
      <c r="K21" s="25">
        <v>3.26</v>
      </c>
      <c r="L21" s="25">
        <v>2.59</v>
      </c>
      <c r="M21" s="25"/>
    </row>
    <row r="22" spans="1:13">
      <c r="A22" s="25">
        <v>15</v>
      </c>
      <c r="B22" s="25" t="s">
        <v>1062</v>
      </c>
      <c r="C22" s="61">
        <v>7</v>
      </c>
      <c r="D22" s="61">
        <v>0</v>
      </c>
      <c r="E22" s="61">
        <v>107</v>
      </c>
      <c r="F22" s="61">
        <v>0</v>
      </c>
      <c r="G22" s="25">
        <v>0</v>
      </c>
      <c r="H22" s="25">
        <v>0</v>
      </c>
      <c r="I22" s="25">
        <v>0.08</v>
      </c>
      <c r="J22" s="25">
        <v>1.24</v>
      </c>
      <c r="K22" s="25">
        <v>0</v>
      </c>
      <c r="L22" s="25">
        <v>0</v>
      </c>
      <c r="M22" s="25"/>
    </row>
    <row r="23" spans="1:13">
      <c r="A23" s="25">
        <v>16</v>
      </c>
      <c r="B23" s="25" t="s">
        <v>982</v>
      </c>
      <c r="C23" s="61">
        <v>5</v>
      </c>
      <c r="D23" s="61">
        <v>7</v>
      </c>
      <c r="E23" s="61">
        <v>85</v>
      </c>
      <c r="F23" s="61">
        <v>79</v>
      </c>
      <c r="G23" s="25">
        <v>-28.57</v>
      </c>
      <c r="H23" s="25">
        <v>7.59</v>
      </c>
      <c r="I23" s="25">
        <v>0.06</v>
      </c>
      <c r="J23" s="25">
        <v>0.98</v>
      </c>
      <c r="K23" s="25">
        <v>0.63</v>
      </c>
      <c r="L23" s="25">
        <v>1.58</v>
      </c>
      <c r="M23" s="25"/>
    </row>
    <row r="24" spans="1:13">
      <c r="A24" s="25">
        <v>17</v>
      </c>
      <c r="B24" s="25" t="s">
        <v>646</v>
      </c>
      <c r="C24" s="61">
        <v>9</v>
      </c>
      <c r="D24" s="61">
        <v>1</v>
      </c>
      <c r="E24" s="61">
        <v>84</v>
      </c>
      <c r="F24" s="61">
        <v>140</v>
      </c>
      <c r="G24" s="25">
        <v>800</v>
      </c>
      <c r="H24" s="25">
        <v>-40</v>
      </c>
      <c r="I24" s="25">
        <v>0.1</v>
      </c>
      <c r="J24" s="25">
        <v>0.97</v>
      </c>
      <c r="K24" s="25">
        <v>0.09</v>
      </c>
      <c r="L24" s="25">
        <v>2.79</v>
      </c>
      <c r="M24" s="25"/>
    </row>
    <row r="25" spans="1:13">
      <c r="A25" s="25">
        <v>18</v>
      </c>
      <c r="B25" s="25" t="s">
        <v>988</v>
      </c>
      <c r="C25" s="61">
        <v>10</v>
      </c>
      <c r="D25" s="61">
        <v>25</v>
      </c>
      <c r="E25" s="61">
        <v>70</v>
      </c>
      <c r="F25" s="61">
        <v>102</v>
      </c>
      <c r="G25" s="25">
        <v>-60</v>
      </c>
      <c r="H25" s="25">
        <v>-31.37</v>
      </c>
      <c r="I25" s="25">
        <v>0.12</v>
      </c>
      <c r="J25" s="25">
        <v>0.81</v>
      </c>
      <c r="K25" s="25">
        <v>2.2599999999999998</v>
      </c>
      <c r="L25" s="25">
        <v>2.04</v>
      </c>
      <c r="M25" s="25"/>
    </row>
    <row r="26" spans="1:13">
      <c r="A26" s="25">
        <v>19</v>
      </c>
      <c r="B26" s="25" t="s">
        <v>1038</v>
      </c>
      <c r="C26" s="61">
        <v>4</v>
      </c>
      <c r="D26" s="61">
        <v>19</v>
      </c>
      <c r="E26" s="61">
        <v>68</v>
      </c>
      <c r="F26" s="61">
        <v>19</v>
      </c>
      <c r="G26" s="25">
        <v>-78.95</v>
      </c>
      <c r="H26" s="25">
        <v>257.89</v>
      </c>
      <c r="I26" s="25">
        <v>0.05</v>
      </c>
      <c r="J26" s="25">
        <v>0.79</v>
      </c>
      <c r="K26" s="25">
        <v>1.72</v>
      </c>
      <c r="L26" s="25">
        <v>0.38</v>
      </c>
      <c r="M26" s="25"/>
    </row>
    <row r="27" spans="1:13">
      <c r="A27" s="25">
        <v>20</v>
      </c>
      <c r="B27" s="25" t="s">
        <v>624</v>
      </c>
      <c r="C27" s="61">
        <v>5</v>
      </c>
      <c r="D27" s="61">
        <v>0</v>
      </c>
      <c r="E27" s="61">
        <v>23</v>
      </c>
      <c r="F27" s="61">
        <v>9</v>
      </c>
      <c r="G27" s="25">
        <v>0</v>
      </c>
      <c r="H27" s="25">
        <v>155.56</v>
      </c>
      <c r="I27" s="25">
        <v>0.06</v>
      </c>
      <c r="J27" s="25">
        <v>0.27</v>
      </c>
      <c r="K27" s="25">
        <v>0</v>
      </c>
      <c r="L27" s="25">
        <v>0.18</v>
      </c>
      <c r="M27" s="25"/>
    </row>
    <row r="28" spans="1:13">
      <c r="A28" s="145">
        <v>21</v>
      </c>
      <c r="B28" s="145" t="s">
        <v>1185</v>
      </c>
      <c r="C28" s="146">
        <v>0</v>
      </c>
      <c r="D28" s="146">
        <v>0</v>
      </c>
      <c r="E28" s="146">
        <v>20</v>
      </c>
      <c r="F28" s="146">
        <v>0</v>
      </c>
      <c r="G28" s="145">
        <v>0</v>
      </c>
      <c r="H28" s="145">
        <v>0</v>
      </c>
      <c r="I28" s="145">
        <v>0</v>
      </c>
      <c r="J28" s="145">
        <v>0.23</v>
      </c>
      <c r="K28" s="145">
        <v>0</v>
      </c>
      <c r="L28" s="145">
        <v>0</v>
      </c>
      <c r="M28" s="25"/>
    </row>
    <row r="29" spans="1:13">
      <c r="A29" s="145">
        <v>22</v>
      </c>
      <c r="B29" s="145" t="s">
        <v>1101</v>
      </c>
      <c r="C29" s="146">
        <v>1</v>
      </c>
      <c r="D29" s="146">
        <v>1</v>
      </c>
      <c r="E29" s="146">
        <v>8</v>
      </c>
      <c r="F29" s="146">
        <v>11</v>
      </c>
      <c r="G29" s="145">
        <v>0</v>
      </c>
      <c r="H29" s="145">
        <v>-27.27</v>
      </c>
      <c r="I29" s="145">
        <v>0.01</v>
      </c>
      <c r="J29" s="145">
        <v>0.09</v>
      </c>
      <c r="K29" s="145">
        <v>0.09</v>
      </c>
      <c r="L29" s="145">
        <v>0.22</v>
      </c>
      <c r="M29" s="25"/>
    </row>
    <row r="30" spans="1:13">
      <c r="A30" s="145">
        <v>23</v>
      </c>
      <c r="B30" s="145" t="s">
        <v>1134</v>
      </c>
      <c r="C30" s="146">
        <v>0</v>
      </c>
      <c r="D30" s="146">
        <v>0</v>
      </c>
      <c r="E30" s="146">
        <v>2</v>
      </c>
      <c r="F30" s="146">
        <v>0</v>
      </c>
      <c r="G30" s="145">
        <v>0</v>
      </c>
      <c r="H30" s="145">
        <v>0</v>
      </c>
      <c r="I30" s="145">
        <v>0</v>
      </c>
      <c r="J30" s="145">
        <v>0.02</v>
      </c>
      <c r="K30" s="145">
        <v>0</v>
      </c>
      <c r="L30" s="145">
        <v>0</v>
      </c>
      <c r="M30" s="25"/>
    </row>
    <row r="31" spans="1:13">
      <c r="A31" s="145">
        <v>24</v>
      </c>
      <c r="B31" s="145" t="s">
        <v>623</v>
      </c>
      <c r="C31" s="146">
        <v>0</v>
      </c>
      <c r="D31" s="146">
        <v>2</v>
      </c>
      <c r="E31" s="146">
        <v>1</v>
      </c>
      <c r="F31" s="146">
        <v>20</v>
      </c>
      <c r="G31" s="145">
        <v>-100</v>
      </c>
      <c r="H31" s="145">
        <v>-95</v>
      </c>
      <c r="I31" s="145">
        <v>0</v>
      </c>
      <c r="J31" s="145">
        <v>0.01</v>
      </c>
      <c r="K31" s="145">
        <v>0.18</v>
      </c>
      <c r="L31" s="145">
        <v>0.4</v>
      </c>
      <c r="M31" s="25"/>
    </row>
    <row r="32" spans="1:13">
      <c r="A32" s="145">
        <v>25</v>
      </c>
      <c r="B32" s="145" t="s">
        <v>236</v>
      </c>
      <c r="C32" s="146">
        <v>0</v>
      </c>
      <c r="D32" s="146">
        <v>0</v>
      </c>
      <c r="E32" s="146">
        <v>0</v>
      </c>
      <c r="F32" s="146">
        <v>63</v>
      </c>
      <c r="G32" s="150">
        <v>0</v>
      </c>
      <c r="H32" s="150">
        <v>-100</v>
      </c>
      <c r="I32" s="145">
        <v>0</v>
      </c>
      <c r="J32" s="145">
        <v>0</v>
      </c>
      <c r="K32" s="145">
        <v>0</v>
      </c>
      <c r="L32" s="145">
        <v>1.26</v>
      </c>
      <c r="M32" s="25"/>
    </row>
    <row r="33" spans="1:13">
      <c r="A33" s="145">
        <v>26</v>
      </c>
      <c r="B33" s="145" t="s">
        <v>620</v>
      </c>
      <c r="C33" s="146">
        <v>0</v>
      </c>
      <c r="D33" s="146">
        <v>0</v>
      </c>
      <c r="E33" s="146">
        <v>0</v>
      </c>
      <c r="F33" s="146">
        <v>13</v>
      </c>
      <c r="G33" s="145">
        <v>0</v>
      </c>
      <c r="H33" s="145">
        <v>-100</v>
      </c>
      <c r="I33" s="145">
        <v>0</v>
      </c>
      <c r="J33" s="145">
        <v>0</v>
      </c>
      <c r="K33" s="145">
        <v>0</v>
      </c>
      <c r="L33" s="145">
        <v>0.26</v>
      </c>
      <c r="M33" s="25"/>
    </row>
    <row r="34" spans="1:13">
      <c r="A34" s="145">
        <v>27</v>
      </c>
      <c r="B34" s="145" t="s">
        <v>500</v>
      </c>
      <c r="C34" s="146">
        <v>0</v>
      </c>
      <c r="D34" s="146">
        <v>0</v>
      </c>
      <c r="E34" s="146">
        <v>0</v>
      </c>
      <c r="F34" s="146">
        <v>10</v>
      </c>
      <c r="G34" s="145">
        <v>0</v>
      </c>
      <c r="H34" s="145">
        <v>-100</v>
      </c>
      <c r="I34" s="145">
        <v>0</v>
      </c>
      <c r="J34" s="145">
        <v>0</v>
      </c>
      <c r="K34" s="145">
        <v>0</v>
      </c>
      <c r="L34" s="145">
        <v>0.2</v>
      </c>
    </row>
    <row r="35" spans="1:13">
      <c r="A35" s="145">
        <v>28</v>
      </c>
      <c r="B35" s="145" t="s">
        <v>1304</v>
      </c>
      <c r="C35" s="146">
        <v>0</v>
      </c>
      <c r="D35" s="146">
        <v>2</v>
      </c>
      <c r="E35" s="146">
        <v>0</v>
      </c>
      <c r="F35" s="146">
        <v>4</v>
      </c>
      <c r="G35" s="145">
        <v>-100</v>
      </c>
      <c r="H35" s="145">
        <v>-100</v>
      </c>
      <c r="I35" s="145">
        <v>0</v>
      </c>
      <c r="J35" s="145">
        <v>0</v>
      </c>
      <c r="K35" s="145">
        <v>0.18</v>
      </c>
      <c r="L35" s="145">
        <v>0.08</v>
      </c>
    </row>
    <row r="36" spans="1:13">
      <c r="A36" s="145">
        <v>29</v>
      </c>
      <c r="B36" s="145" t="s">
        <v>1135</v>
      </c>
      <c r="C36" s="146">
        <v>0</v>
      </c>
      <c r="D36" s="146">
        <v>0</v>
      </c>
      <c r="E36" s="146">
        <v>0</v>
      </c>
      <c r="F36" s="146">
        <v>1</v>
      </c>
      <c r="G36" s="145">
        <v>0</v>
      </c>
      <c r="H36" s="145">
        <v>-100</v>
      </c>
      <c r="I36" s="145">
        <v>0</v>
      </c>
      <c r="J36" s="145">
        <v>0</v>
      </c>
      <c r="K36" s="145">
        <v>0</v>
      </c>
      <c r="L36" s="145">
        <v>0.02</v>
      </c>
    </row>
    <row r="37" spans="1:13">
      <c r="A37" s="145">
        <v>30</v>
      </c>
      <c r="B37" s="145" t="s">
        <v>436</v>
      </c>
      <c r="C37" s="146">
        <v>3</v>
      </c>
      <c r="D37" s="146">
        <v>8</v>
      </c>
      <c r="E37" s="146">
        <v>69</v>
      </c>
      <c r="F37" s="146">
        <v>84</v>
      </c>
      <c r="G37" s="145">
        <v>-62.5</v>
      </c>
      <c r="H37" s="145">
        <v>-17.86</v>
      </c>
      <c r="I37" s="145">
        <v>0.03</v>
      </c>
      <c r="J37" s="145">
        <v>0.8</v>
      </c>
      <c r="K37" s="145">
        <v>0.72</v>
      </c>
      <c r="L37" s="145">
        <v>1.68</v>
      </c>
    </row>
    <row r="38" spans="1:13">
      <c r="A38" s="145"/>
      <c r="B38" s="145" t="s">
        <v>454</v>
      </c>
      <c r="C38" s="146">
        <f>SUBTOTAL(109,Table_bdsql12_BDmodell_getAggModelsFuelTypeLB[antalPerioden])</f>
        <v>1136</v>
      </c>
      <c r="D38" s="146">
        <f>SUBTOTAL(109,Table_bdsql12_BDmodell_getAggModelsFuelTypeLB[antalFGPeriod])</f>
        <v>1104</v>
      </c>
      <c r="E38" s="146">
        <f>SUBTOTAL(109,Table_bdsql12_BDmodell_getAggModelsFuelTypeLB[antalÅret])</f>
        <v>8657</v>
      </c>
      <c r="F38" s="146">
        <f>SUBTOTAL(109,Table_bdsql12_BDmodell_getAggModelsFuelTypeLB[antalFGAr])</f>
        <v>5011</v>
      </c>
      <c r="G38" s="150">
        <f>IF(Table_bdsql12_BDmodell_getAggModelsFuelTypeLB[[#Totals],[antalFGPeriod]] &gt; 0,(Table_bdsql12_BDmodell_getAggModelsFuelTypeLB[[#Totals],[antalPerioden]] - Table_bdsql12_BDmodell_getAggModelsFuelTypeLB[[#Totals],[antalFGPeriod]]) / Table_bdsql12_BDmodell_getAggModelsFuelTypeLB[[#Totals],[antalFGPeriod]] *100,0)</f>
        <v>2.8985507246376812</v>
      </c>
      <c r="H38" s="150">
        <f>IF(Table_bdsql12_BDmodell_getAggModelsFuelTypeLB[[#Totals],[antalFGAr]] &gt; 0,(Table_bdsql12_BDmodell_getAggModelsFuelTypeLB[[#Totals],[antalÅret]] - Table_bdsql12_BDmodell_getAggModelsFuelTypeLB[[#Totals],[antalFGAr]]) / Table_bdsql12_BDmodell_getAggModelsFuelTypeLB[[#Totals],[antalFGAr]] * 100,0)</f>
        <v>72.75992815805229</v>
      </c>
      <c r="I38" s="149" t="str">
        <f>TEXT(100,"0,0")</f>
        <v>100,0</v>
      </c>
      <c r="J38" s="149" t="str">
        <f>TEXT(100,"0,0")</f>
        <v>100,0</v>
      </c>
      <c r="K38" s="149" t="str">
        <f>TEXT(100,"0,0")</f>
        <v>100,0</v>
      </c>
      <c r="L38" s="149" t="str">
        <f>TEXT(100,"0,0")</f>
        <v>100,0</v>
      </c>
    </row>
    <row r="39" spans="1:13">
      <c r="A39" s="145"/>
      <c r="B39" s="145"/>
      <c r="C39" s="146"/>
      <c r="D39" s="146"/>
      <c r="E39" s="146"/>
      <c r="F39" s="146"/>
      <c r="G39" s="150"/>
      <c r="H39" s="150"/>
      <c r="I39" s="149"/>
      <c r="J39" s="149"/>
      <c r="K39" s="149"/>
      <c r="L39" s="149"/>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Q28" sqref="Q28"/>
    </sheetView>
  </sheetViews>
  <sheetFormatPr baseColWidth="10" defaultColWidth="8.83203125" defaultRowHeight="15"/>
  <sheetData>
    <row r="3" spans="16:22" ht="19.25" customHeight="1" thickBot="1">
      <c r="P3" s="25"/>
      <c r="Q3" s="66" t="s">
        <v>1202</v>
      </c>
      <c r="R3" s="66"/>
      <c r="S3" s="66"/>
      <c r="T3" s="66"/>
      <c r="U3" s="66"/>
      <c r="V3" s="113"/>
    </row>
    <row r="4" spans="16:22">
      <c r="P4" s="25"/>
      <c r="Q4" s="25"/>
      <c r="R4" s="25"/>
      <c r="S4" s="25"/>
      <c r="T4" s="25"/>
      <c r="U4" s="25"/>
      <c r="V4" s="25"/>
    </row>
    <row r="5" spans="16:22" ht="16" thickBot="1">
      <c r="P5" s="25"/>
      <c r="Q5" s="19" t="s">
        <v>455</v>
      </c>
      <c r="R5" s="24">
        <v>2021</v>
      </c>
      <c r="S5" s="24">
        <v>2022</v>
      </c>
      <c r="T5" s="24">
        <v>2023</v>
      </c>
      <c r="U5" s="25"/>
      <c r="V5" s="25"/>
    </row>
    <row r="6" spans="16:22">
      <c r="P6" s="25"/>
      <c r="Q6" s="16" t="s">
        <v>2</v>
      </c>
      <c r="R6" s="25">
        <v>386</v>
      </c>
      <c r="S6" s="25">
        <v>289</v>
      </c>
      <c r="T6" s="25">
        <v>455</v>
      </c>
      <c r="V6" s="25"/>
    </row>
    <row r="7" spans="16:22">
      <c r="P7" s="25"/>
      <c r="Q7" s="16" t="s">
        <v>3</v>
      </c>
      <c r="R7" s="25">
        <v>465</v>
      </c>
      <c r="S7" s="25">
        <v>356</v>
      </c>
      <c r="T7" s="25">
        <v>511</v>
      </c>
      <c r="V7" s="25"/>
    </row>
    <row r="8" spans="16:22">
      <c r="P8" s="25"/>
      <c r="Q8" s="16" t="s">
        <v>4</v>
      </c>
      <c r="R8" s="25">
        <v>521</v>
      </c>
      <c r="S8" s="25">
        <v>491</v>
      </c>
      <c r="T8" s="25">
        <v>636</v>
      </c>
      <c r="V8" s="25"/>
    </row>
    <row r="9" spans="16:22">
      <c r="P9" s="25"/>
      <c r="Q9" s="16" t="s">
        <v>5</v>
      </c>
      <c r="R9" s="25">
        <v>526</v>
      </c>
      <c r="S9" s="25">
        <v>478</v>
      </c>
      <c r="T9" s="25">
        <v>514</v>
      </c>
      <c r="V9" s="25"/>
    </row>
    <row r="10" spans="16:22">
      <c r="P10" s="25"/>
      <c r="Q10" s="16" t="s">
        <v>6</v>
      </c>
      <c r="R10" s="25">
        <v>491</v>
      </c>
      <c r="S10" s="25">
        <v>510</v>
      </c>
      <c r="T10" s="25">
        <v>638</v>
      </c>
      <c r="V10" s="25"/>
    </row>
    <row r="11" spans="16:22">
      <c r="P11" s="25"/>
      <c r="Q11" s="16" t="s">
        <v>7</v>
      </c>
      <c r="R11" s="25">
        <v>504</v>
      </c>
      <c r="S11" s="25">
        <v>498</v>
      </c>
      <c r="T11" s="25">
        <v>587</v>
      </c>
      <c r="V11" s="25"/>
    </row>
    <row r="12" spans="16:22">
      <c r="P12" s="25"/>
      <c r="Q12" s="16" t="s">
        <v>8</v>
      </c>
      <c r="R12" s="25">
        <v>292</v>
      </c>
      <c r="S12" s="25">
        <v>227</v>
      </c>
      <c r="T12" s="25">
        <v>266</v>
      </c>
      <c r="U12" s="25"/>
      <c r="V12" s="25"/>
    </row>
    <row r="13" spans="16:22">
      <c r="P13" s="25"/>
      <c r="Q13" s="16" t="s">
        <v>9</v>
      </c>
      <c r="R13" s="25">
        <v>370</v>
      </c>
      <c r="S13" s="25">
        <v>399</v>
      </c>
      <c r="T13" s="25">
        <v>1563</v>
      </c>
      <c r="U13" s="25"/>
      <c r="V13" s="25"/>
    </row>
    <row r="14" spans="16:22">
      <c r="P14" s="25"/>
      <c r="Q14" s="16" t="s">
        <v>10</v>
      </c>
      <c r="R14" s="25">
        <v>408</v>
      </c>
      <c r="S14" s="25">
        <v>543</v>
      </c>
      <c r="T14" s="25">
        <v>215</v>
      </c>
      <c r="U14" s="25"/>
      <c r="V14" s="25"/>
    </row>
    <row r="15" spans="16:22">
      <c r="P15" s="25"/>
      <c r="Q15" s="16" t="s">
        <v>11</v>
      </c>
      <c r="R15" s="25">
        <v>409</v>
      </c>
      <c r="S15" s="25">
        <v>508</v>
      </c>
      <c r="T15" s="25">
        <v>312</v>
      </c>
      <c r="U15" s="25"/>
      <c r="V15" s="25"/>
    </row>
    <row r="16" spans="16:22">
      <c r="P16" s="25"/>
      <c r="Q16" s="16" t="s">
        <v>12</v>
      </c>
      <c r="R16" s="25">
        <v>390</v>
      </c>
      <c r="S16" s="25">
        <v>575</v>
      </c>
      <c r="T16" s="25">
        <v>435</v>
      </c>
      <c r="U16" s="25"/>
      <c r="V16" s="25"/>
    </row>
    <row r="17" spans="16:22">
      <c r="P17" s="25"/>
      <c r="Q17" s="26" t="s">
        <v>13</v>
      </c>
      <c r="R17" s="27">
        <v>541</v>
      </c>
      <c r="S17" s="27">
        <v>618</v>
      </c>
      <c r="T17" s="27">
        <v>488</v>
      </c>
      <c r="U17" s="25"/>
      <c r="V17" s="25"/>
    </row>
    <row r="18" spans="16:22">
      <c r="P18" s="25"/>
      <c r="Q18" s="20" t="s">
        <v>534</v>
      </c>
      <c r="R18" s="61">
        <f>SUMIF(T6:T17,"&gt;0",R6:R17)</f>
        <v>5303</v>
      </c>
      <c r="S18" s="61">
        <f>SUMIF(T6:T17,"&gt;0",S6:S17)</f>
        <v>5492</v>
      </c>
      <c r="T18" s="61">
        <f>SUM(T6:T17)</f>
        <v>6620</v>
      </c>
      <c r="U18" s="61"/>
      <c r="V18" s="25"/>
    </row>
    <row r="19" spans="16:22">
      <c r="P19" s="25"/>
      <c r="Q19" s="21" t="s">
        <v>533</v>
      </c>
      <c r="R19" s="61">
        <f>SUM(R6:R17)</f>
        <v>5303</v>
      </c>
      <c r="S19" s="61">
        <f>SUM(S6:S17)</f>
        <v>5492</v>
      </c>
      <c r="T19" s="61">
        <v>6620</v>
      </c>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452</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1203</v>
      </c>
      <c r="R35" s="66"/>
      <c r="S35" s="66"/>
      <c r="T35" s="66"/>
      <c r="U35" s="66"/>
      <c r="V35" s="66"/>
      <c r="W35" s="66"/>
      <c r="X35" s="113"/>
    </row>
    <row r="36" spans="16:24">
      <c r="P36" s="25"/>
      <c r="Q36" s="25"/>
      <c r="R36" s="25"/>
      <c r="S36" s="25"/>
      <c r="T36" s="25"/>
      <c r="U36" s="25"/>
      <c r="V36" s="25"/>
      <c r="W36" s="25"/>
      <c r="X36" s="25"/>
    </row>
    <row r="37" spans="16:24">
      <c r="P37" s="25"/>
      <c r="Q37" s="90" t="s">
        <v>438</v>
      </c>
      <c r="R37" s="58">
        <v>-8.0952380952380949</v>
      </c>
      <c r="S37" s="25"/>
      <c r="T37" s="25"/>
      <c r="U37" s="25"/>
      <c r="V37" s="25"/>
      <c r="W37" s="25"/>
      <c r="X37" s="25"/>
    </row>
    <row r="38" spans="16:24">
      <c r="P38" s="25"/>
      <c r="Q38" s="88" t="s">
        <v>501</v>
      </c>
      <c r="R38" s="58">
        <v>10.189573459715639</v>
      </c>
      <c r="S38" s="25"/>
      <c r="T38" s="25"/>
      <c r="U38" s="25"/>
      <c r="V38" s="25"/>
      <c r="W38" s="25"/>
      <c r="X38" s="25"/>
    </row>
    <row r="39" spans="16:24">
      <c r="P39" s="25"/>
      <c r="Q39" s="88" t="s">
        <v>560</v>
      </c>
      <c r="R39" s="58">
        <v>3.373015873015873</v>
      </c>
      <c r="S39" s="25"/>
      <c r="T39" s="25"/>
      <c r="U39" s="25"/>
      <c r="V39" s="25"/>
      <c r="W39" s="25"/>
      <c r="X39" s="25"/>
    </row>
    <row r="40" spans="16:24">
      <c r="P40" s="25"/>
      <c r="Q40" s="88" t="s">
        <v>575</v>
      </c>
      <c r="R40" s="58">
        <v>16.62971175166297</v>
      </c>
      <c r="S40" s="25"/>
      <c r="T40" s="25"/>
      <c r="U40" s="25"/>
      <c r="V40" s="25"/>
      <c r="W40" s="25"/>
      <c r="X40" s="25"/>
    </row>
    <row r="41" spans="16:24">
      <c r="P41" s="25"/>
      <c r="Q41" s="88" t="s">
        <v>589</v>
      </c>
      <c r="R41" s="58">
        <v>29.210526315789476</v>
      </c>
      <c r="S41" s="25"/>
      <c r="T41" s="25"/>
      <c r="U41" s="25"/>
      <c r="V41" s="25"/>
      <c r="W41" s="25"/>
      <c r="X41" s="25"/>
    </row>
    <row r="42" spans="16:24">
      <c r="P42" s="25"/>
      <c r="Q42" s="88" t="s">
        <v>596</v>
      </c>
      <c r="R42" s="58">
        <v>36.95652173913043</v>
      </c>
      <c r="S42" s="25"/>
      <c r="T42" s="25"/>
      <c r="U42" s="25"/>
      <c r="V42" s="25"/>
      <c r="W42" s="25"/>
      <c r="X42" s="25"/>
    </row>
    <row r="43" spans="16:24">
      <c r="P43" s="25"/>
      <c r="Q43" s="88" t="s">
        <v>601</v>
      </c>
      <c r="R43" s="58">
        <v>18.699186991869919</v>
      </c>
      <c r="S43" s="25"/>
      <c r="T43" s="25"/>
      <c r="U43" s="25"/>
      <c r="V43" s="25"/>
      <c r="W43" s="25"/>
      <c r="X43" s="25"/>
    </row>
    <row r="44" spans="16:24">
      <c r="P44" s="25"/>
      <c r="Q44" s="88" t="s">
        <v>603</v>
      </c>
      <c r="R44" s="58">
        <v>13.846153846153847</v>
      </c>
      <c r="S44" s="25"/>
      <c r="T44" s="25"/>
      <c r="U44" s="25"/>
      <c r="V44" s="25"/>
      <c r="W44" s="25"/>
      <c r="X44" s="25"/>
    </row>
    <row r="45" spans="16:24">
      <c r="P45" s="25"/>
      <c r="Q45" s="88" t="s">
        <v>611</v>
      </c>
      <c r="R45" s="58">
        <v>-9.7345132743362832</v>
      </c>
      <c r="S45" s="25"/>
      <c r="T45" s="25"/>
      <c r="U45" s="25"/>
      <c r="V45" s="25"/>
      <c r="W45" s="25"/>
      <c r="X45" s="25"/>
    </row>
    <row r="46" spans="16:24">
      <c r="P46" s="25"/>
      <c r="Q46" s="88" t="s">
        <v>630</v>
      </c>
      <c r="R46" s="58">
        <v>-13.71308016877637</v>
      </c>
      <c r="S46" s="25"/>
      <c r="T46" s="25"/>
      <c r="U46" s="25"/>
      <c r="V46" s="25"/>
      <c r="W46" s="25"/>
      <c r="X46" s="25"/>
    </row>
    <row r="47" spans="16:24">
      <c r="P47" s="25"/>
      <c r="Q47" s="88" t="s">
        <v>639</v>
      </c>
      <c r="R47" s="58">
        <v>-19.753086419753085</v>
      </c>
      <c r="S47" s="25"/>
      <c r="T47" s="25"/>
      <c r="U47" s="25"/>
      <c r="V47" s="25"/>
      <c r="W47" s="25"/>
      <c r="X47" s="25"/>
    </row>
    <row r="48" spans="16:24">
      <c r="P48" s="25"/>
      <c r="Q48" s="88" t="s">
        <v>648</v>
      </c>
      <c r="R48" s="58">
        <v>25.231481481481481</v>
      </c>
      <c r="S48" s="25"/>
      <c r="T48" s="25"/>
      <c r="U48" s="25"/>
      <c r="V48" s="25"/>
      <c r="W48" s="25"/>
      <c r="X48" s="25"/>
    </row>
    <row r="49" spans="16:24">
      <c r="P49" s="25"/>
      <c r="Q49" s="88" t="s">
        <v>657</v>
      </c>
      <c r="R49" s="58">
        <f t="shared" ref="R49:R60" si="0">((S6-R6)/R6)*100</f>
        <v>-25.129533678756477</v>
      </c>
      <c r="S49" s="25"/>
      <c r="T49" s="25"/>
      <c r="U49" s="25"/>
      <c r="V49" s="25"/>
      <c r="W49" s="25"/>
      <c r="X49" s="25"/>
    </row>
    <row r="50" spans="16:24">
      <c r="P50" s="25"/>
      <c r="Q50" s="88" t="s">
        <v>672</v>
      </c>
      <c r="R50" s="58">
        <f t="shared" si="0"/>
        <v>-23.440860215053764</v>
      </c>
      <c r="S50" s="25"/>
      <c r="T50" s="25"/>
      <c r="U50" s="25"/>
      <c r="V50" s="25"/>
      <c r="W50" s="25"/>
      <c r="X50" s="25"/>
    </row>
    <row r="51" spans="16:24">
      <c r="P51" s="25"/>
      <c r="Q51" s="88" t="s">
        <v>690</v>
      </c>
      <c r="R51" s="58">
        <f t="shared" si="0"/>
        <v>-5.7581573896353166</v>
      </c>
      <c r="S51" s="25"/>
      <c r="T51" s="25"/>
      <c r="U51" s="25"/>
      <c r="V51" s="25"/>
      <c r="W51" s="25"/>
      <c r="X51" s="25"/>
    </row>
    <row r="52" spans="16:24">
      <c r="P52" s="25"/>
      <c r="Q52" s="88" t="s">
        <v>699</v>
      </c>
      <c r="R52" s="58">
        <f t="shared" si="0"/>
        <v>-9.1254752851711025</v>
      </c>
      <c r="S52" s="25"/>
      <c r="T52" s="25"/>
      <c r="U52" s="25"/>
      <c r="V52" s="25"/>
      <c r="W52" s="25"/>
      <c r="X52" s="25"/>
    </row>
    <row r="53" spans="16:24">
      <c r="P53" s="25"/>
      <c r="Q53" s="88" t="s">
        <v>705</v>
      </c>
      <c r="R53" s="58">
        <f t="shared" si="0"/>
        <v>3.8696537678207736</v>
      </c>
      <c r="S53" s="25"/>
      <c r="T53" s="25"/>
      <c r="U53" s="25"/>
      <c r="V53" s="25"/>
      <c r="W53" s="25"/>
      <c r="X53" s="25"/>
    </row>
    <row r="54" spans="16:24">
      <c r="P54" s="25"/>
      <c r="Q54" s="88" t="s">
        <v>708</v>
      </c>
      <c r="R54" s="58">
        <f t="shared" si="0"/>
        <v>-1.1904761904761905</v>
      </c>
      <c r="S54" s="25"/>
      <c r="T54" s="25"/>
      <c r="U54" s="25"/>
      <c r="V54" s="25"/>
      <c r="W54" s="25"/>
      <c r="X54" s="25"/>
    </row>
    <row r="55" spans="16:24">
      <c r="P55" s="25"/>
      <c r="Q55" s="88" t="s">
        <v>983</v>
      </c>
      <c r="R55" s="58">
        <f t="shared" si="0"/>
        <v>-22.260273972602739</v>
      </c>
      <c r="S55" s="25"/>
      <c r="T55" s="25"/>
      <c r="U55" s="25"/>
      <c r="V55" s="25"/>
      <c r="W55" s="25"/>
      <c r="X55" s="25"/>
    </row>
    <row r="56" spans="16:24">
      <c r="P56" s="25"/>
      <c r="Q56" s="88" t="s">
        <v>989</v>
      </c>
      <c r="R56" s="58">
        <f t="shared" si="0"/>
        <v>7.8378378378378386</v>
      </c>
      <c r="S56" s="25"/>
      <c r="T56" s="25"/>
      <c r="U56" s="25"/>
      <c r="V56" s="25"/>
      <c r="W56" s="25"/>
      <c r="X56" s="25"/>
    </row>
    <row r="57" spans="16:24">
      <c r="P57" s="25"/>
      <c r="Q57" s="88" t="s">
        <v>1003</v>
      </c>
      <c r="R57" s="58">
        <f t="shared" si="0"/>
        <v>33.088235294117645</v>
      </c>
      <c r="S57" s="25"/>
      <c r="T57" s="25"/>
      <c r="U57" s="25"/>
      <c r="V57" s="25"/>
      <c r="W57" s="25"/>
      <c r="X57" s="25"/>
    </row>
    <row r="58" spans="16:24">
      <c r="P58" s="25"/>
      <c r="Q58" s="88" t="s">
        <v>1013</v>
      </c>
      <c r="R58" s="58">
        <f t="shared" si="0"/>
        <v>24.205378973105134</v>
      </c>
      <c r="S58" s="25"/>
      <c r="T58" s="25"/>
      <c r="U58" s="25"/>
      <c r="V58" s="25"/>
      <c r="W58" s="25"/>
      <c r="X58" s="25"/>
    </row>
    <row r="59" spans="16:24">
      <c r="P59" s="25"/>
      <c r="Q59" s="88" t="s">
        <v>1025</v>
      </c>
      <c r="R59" s="58">
        <f t="shared" si="0"/>
        <v>47.435897435897431</v>
      </c>
      <c r="S59" s="25"/>
      <c r="T59" s="25"/>
      <c r="U59" s="25"/>
      <c r="V59" s="25"/>
      <c r="W59" s="25"/>
      <c r="X59" s="25"/>
    </row>
    <row r="60" spans="16:24">
      <c r="P60" s="25"/>
      <c r="Q60" s="88" t="s">
        <v>1040</v>
      </c>
      <c r="R60" s="58">
        <f t="shared" si="0"/>
        <v>14.232902033271719</v>
      </c>
      <c r="S60" s="25"/>
      <c r="T60" s="25"/>
      <c r="U60" s="25"/>
      <c r="V60" s="25"/>
      <c r="W60" s="25"/>
      <c r="X60" s="25"/>
    </row>
    <row r="61" spans="16:24">
      <c r="P61" s="25"/>
      <c r="Q61" s="88" t="s">
        <v>1066</v>
      </c>
      <c r="R61" s="58">
        <f>((T6-S6)/S6)*100</f>
        <v>57.439446366782008</v>
      </c>
      <c r="S61" s="25"/>
      <c r="T61" s="25"/>
      <c r="U61" s="25"/>
      <c r="V61" s="25"/>
      <c r="W61" s="25"/>
      <c r="X61" s="25"/>
    </row>
    <row r="62" spans="16:24">
      <c r="P62" s="25"/>
      <c r="Q62" s="88" t="s">
        <v>1103</v>
      </c>
      <c r="R62" s="58">
        <f t="shared" ref="R62:R66" si="1">((T7-S7)/S7)*100</f>
        <v>43.539325842696627</v>
      </c>
      <c r="S62" s="25"/>
      <c r="T62" s="25"/>
      <c r="U62" s="25"/>
      <c r="V62" s="25"/>
      <c r="W62" s="25"/>
      <c r="X62" s="25"/>
    </row>
    <row r="63" spans="16:24">
      <c r="P63" s="25"/>
      <c r="Q63" s="88" t="s">
        <v>1136</v>
      </c>
      <c r="R63" s="58">
        <f t="shared" si="1"/>
        <v>29.531568228105908</v>
      </c>
      <c r="S63" s="25"/>
      <c r="T63" s="25"/>
      <c r="U63" s="25"/>
      <c r="V63" s="25"/>
      <c r="W63" s="25"/>
      <c r="X63" s="25"/>
    </row>
    <row r="64" spans="16:24">
      <c r="P64" s="25"/>
      <c r="Q64" s="88" t="s">
        <v>1160</v>
      </c>
      <c r="R64" s="58">
        <f t="shared" si="1"/>
        <v>7.5313807531380759</v>
      </c>
      <c r="S64" s="25"/>
      <c r="T64" s="25"/>
      <c r="U64" s="25"/>
      <c r="V64" s="25"/>
      <c r="W64" s="25"/>
      <c r="X64" s="25"/>
    </row>
    <row r="65" spans="1:24">
      <c r="P65" s="25"/>
      <c r="Q65" s="88" t="s">
        <v>1186</v>
      </c>
      <c r="R65" s="58">
        <f t="shared" si="1"/>
        <v>25.098039215686274</v>
      </c>
      <c r="S65" s="25"/>
      <c r="T65" s="25"/>
      <c r="U65" s="25"/>
      <c r="V65" s="25"/>
      <c r="W65" s="25"/>
      <c r="X65" s="25"/>
    </row>
    <row r="66" spans="1:24">
      <c r="P66" s="25"/>
      <c r="Q66" s="88" t="s">
        <v>1214</v>
      </c>
      <c r="R66" s="58">
        <f t="shared" si="1"/>
        <v>17.871485943775099</v>
      </c>
      <c r="S66" s="25"/>
      <c r="T66" s="25"/>
      <c r="U66" s="25"/>
      <c r="V66" s="25"/>
      <c r="W66" s="25"/>
      <c r="X66" s="25"/>
    </row>
    <row r="67" spans="1:24">
      <c r="P67" s="25"/>
      <c r="Q67" s="88" t="s">
        <v>1221</v>
      </c>
      <c r="R67" s="58">
        <f t="shared" ref="R67:R72" si="2">((T12-S12)/S12)*100</f>
        <v>17.180616740088105</v>
      </c>
      <c r="S67" s="25"/>
      <c r="T67" s="25"/>
      <c r="U67" s="25"/>
      <c r="V67" s="25"/>
      <c r="W67" s="25"/>
      <c r="X67" s="25"/>
    </row>
    <row r="68" spans="1:24">
      <c r="A68" s="25" t="s">
        <v>677</v>
      </c>
      <c r="P68" s="25"/>
      <c r="Q68" s="88" t="s">
        <v>1233</v>
      </c>
      <c r="R68" s="58">
        <f t="shared" si="2"/>
        <v>291.72932330827069</v>
      </c>
      <c r="S68" s="25"/>
      <c r="T68" s="25"/>
      <c r="U68" s="25"/>
      <c r="V68" s="25"/>
      <c r="W68" s="25"/>
      <c r="X68" s="25"/>
    </row>
    <row r="69" spans="1:24">
      <c r="P69" s="25"/>
      <c r="Q69" s="88" t="s">
        <v>1255</v>
      </c>
      <c r="R69" s="58">
        <f t="shared" si="2"/>
        <v>-60.405156537753221</v>
      </c>
      <c r="S69" s="25"/>
      <c r="T69" s="25"/>
      <c r="U69" s="25"/>
      <c r="V69" s="25"/>
      <c r="W69" s="25"/>
      <c r="X69" s="25"/>
    </row>
    <row r="70" spans="1:24">
      <c r="P70" s="25"/>
      <c r="Q70" s="15" t="s">
        <v>1283</v>
      </c>
      <c r="R70" s="58">
        <f t="shared" si="2"/>
        <v>-38.582677165354326</v>
      </c>
      <c r="S70" s="25"/>
      <c r="T70" s="25"/>
      <c r="U70" s="25"/>
      <c r="V70" s="25"/>
      <c r="W70" s="25"/>
      <c r="X70" s="25"/>
    </row>
    <row r="71" spans="1:24">
      <c r="P71" s="25"/>
      <c r="Q71" s="15" t="s">
        <v>1305</v>
      </c>
      <c r="R71" s="58">
        <f t="shared" si="2"/>
        <v>-24.347826086956523</v>
      </c>
      <c r="S71" s="25"/>
      <c r="T71" s="25"/>
      <c r="U71" s="25"/>
      <c r="V71" s="25"/>
      <c r="W71" s="25"/>
      <c r="X71" s="25"/>
    </row>
    <row r="72" spans="1:24">
      <c r="P72" s="25"/>
      <c r="Q72" s="15" t="s">
        <v>1323</v>
      </c>
      <c r="R72" s="58">
        <f t="shared" si="2"/>
        <v>-21.035598705501616</v>
      </c>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F21" sqref="F21"/>
    </sheetView>
  </sheetViews>
  <sheetFormatPr baseColWidth="10" defaultColWidth="8.83203125" defaultRowHeight="15"/>
  <cols>
    <col min="1" max="1" width="21.33203125" customWidth="1"/>
    <col min="2" max="9" width="10.33203125" customWidth="1"/>
  </cols>
  <sheetData>
    <row r="2" spans="1:10" ht="19.25" customHeight="1" thickBot="1">
      <c r="B2" s="56" t="s">
        <v>1204</v>
      </c>
      <c r="C2" s="56"/>
      <c r="D2" s="56"/>
      <c r="E2" s="56"/>
      <c r="F2" s="56"/>
      <c r="G2" s="56"/>
    </row>
    <row r="4" spans="1:10">
      <c r="A4" s="7" t="s">
        <v>562</v>
      </c>
      <c r="B4" s="25"/>
      <c r="C4" s="25"/>
      <c r="D4" s="25"/>
      <c r="E4" s="260" t="s">
        <v>452</v>
      </c>
      <c r="F4" s="260"/>
      <c r="G4" s="260"/>
      <c r="H4" s="260"/>
      <c r="I4" s="260"/>
      <c r="J4" s="25"/>
    </row>
    <row r="5" spans="1:10">
      <c r="A5" s="103"/>
      <c r="B5" s="103" t="s">
        <v>535</v>
      </c>
      <c r="C5" s="103"/>
      <c r="D5" s="103" t="s">
        <v>535</v>
      </c>
      <c r="E5" s="103"/>
      <c r="F5" s="103" t="s">
        <v>536</v>
      </c>
      <c r="G5" s="103"/>
      <c r="H5" s="103" t="s">
        <v>537</v>
      </c>
      <c r="I5" s="103"/>
      <c r="J5" s="25"/>
    </row>
    <row r="6" spans="1:10">
      <c r="A6" s="103" t="s">
        <v>463</v>
      </c>
      <c r="B6" s="103" t="str">
        <f>Innehåll!D79</f>
        <v xml:space="preserve"> 2023-12</v>
      </c>
      <c r="C6" s="103" t="str">
        <f>Innehåll!D80</f>
        <v xml:space="preserve"> 2022-12</v>
      </c>
      <c r="D6" s="103" t="str">
        <f>Innehåll!D81</f>
        <v>YTD  2023</v>
      </c>
      <c r="E6" s="103" t="str">
        <f>Innehåll!D82</f>
        <v>YTD  2022</v>
      </c>
      <c r="F6" s="103" t="str">
        <f>B6</f>
        <v xml:space="preserve"> 2023-12</v>
      </c>
      <c r="G6" s="103" t="str">
        <f>D6</f>
        <v>YTD  2023</v>
      </c>
      <c r="H6" s="103" t="str">
        <f>D6</f>
        <v>YTD  2023</v>
      </c>
      <c r="I6" s="103"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304</v>
      </c>
      <c r="B8" s="61">
        <v>3</v>
      </c>
      <c r="C8" s="61">
        <v>7</v>
      </c>
      <c r="D8" s="61">
        <v>143</v>
      </c>
      <c r="E8" s="61">
        <v>76</v>
      </c>
      <c r="F8" s="25">
        <v>-57.1</v>
      </c>
      <c r="G8" s="25">
        <v>88.2</v>
      </c>
      <c r="H8" s="25">
        <v>2.2000000000000002</v>
      </c>
      <c r="I8" s="25">
        <v>1.4</v>
      </c>
      <c r="J8" s="25"/>
    </row>
    <row r="9" spans="1:10">
      <c r="A9" s="25" t="s">
        <v>269</v>
      </c>
      <c r="B9" s="61">
        <v>1</v>
      </c>
      <c r="C9" s="61">
        <v>0</v>
      </c>
      <c r="D9" s="61">
        <v>7</v>
      </c>
      <c r="E9" s="61">
        <v>3</v>
      </c>
      <c r="F9" s="25">
        <v>0</v>
      </c>
      <c r="G9" s="25">
        <v>133.30000000000001</v>
      </c>
      <c r="H9" s="25">
        <v>0.1</v>
      </c>
      <c r="I9" s="25">
        <v>0.1</v>
      </c>
      <c r="J9" s="25"/>
    </row>
    <row r="10" spans="1:10">
      <c r="A10" s="25" t="s">
        <v>276</v>
      </c>
      <c r="B10" s="61">
        <v>10</v>
      </c>
      <c r="C10" s="61">
        <v>15</v>
      </c>
      <c r="D10" s="61">
        <v>127</v>
      </c>
      <c r="E10" s="61">
        <v>135</v>
      </c>
      <c r="F10" s="25">
        <v>-33.299999999999997</v>
      </c>
      <c r="G10" s="25">
        <v>-5.9</v>
      </c>
      <c r="H10" s="25">
        <v>1.9</v>
      </c>
      <c r="I10" s="25">
        <v>2.5</v>
      </c>
      <c r="J10" s="25"/>
    </row>
    <row r="11" spans="1:10">
      <c r="A11" s="25" t="s">
        <v>467</v>
      </c>
      <c r="B11" s="61">
        <v>35</v>
      </c>
      <c r="C11" s="61">
        <v>48</v>
      </c>
      <c r="D11" s="61">
        <v>474</v>
      </c>
      <c r="E11" s="61">
        <v>504</v>
      </c>
      <c r="F11" s="25">
        <v>-27.1</v>
      </c>
      <c r="G11" s="25">
        <v>-6</v>
      </c>
      <c r="H11" s="25">
        <v>7.2</v>
      </c>
      <c r="I11" s="25">
        <v>9.1999999999999993</v>
      </c>
      <c r="J11" s="25"/>
    </row>
    <row r="12" spans="1:10">
      <c r="A12" s="25" t="s">
        <v>286</v>
      </c>
      <c r="B12" s="61">
        <v>0</v>
      </c>
      <c r="C12" s="61">
        <v>0</v>
      </c>
      <c r="D12" s="61">
        <v>0</v>
      </c>
      <c r="E12" s="61">
        <v>2</v>
      </c>
      <c r="F12" s="25">
        <v>0</v>
      </c>
      <c r="G12" s="25">
        <v>-100</v>
      </c>
      <c r="H12" s="25">
        <v>0</v>
      </c>
      <c r="I12" s="25">
        <v>0</v>
      </c>
      <c r="J12" s="25"/>
    </row>
    <row r="13" spans="1:10">
      <c r="A13" s="25" t="s">
        <v>468</v>
      </c>
      <c r="B13" s="61">
        <v>168</v>
      </c>
      <c r="C13" s="61">
        <v>265</v>
      </c>
      <c r="D13" s="61">
        <v>2862</v>
      </c>
      <c r="E13" s="61">
        <v>2234</v>
      </c>
      <c r="F13" s="25">
        <v>-36.6</v>
      </c>
      <c r="G13" s="25">
        <v>28.1</v>
      </c>
      <c r="H13" s="25">
        <v>43.2</v>
      </c>
      <c r="I13" s="25">
        <v>40.700000000000003</v>
      </c>
      <c r="J13" s="25"/>
    </row>
    <row r="14" spans="1:10">
      <c r="A14" s="145" t="s">
        <v>294</v>
      </c>
      <c r="B14" s="146">
        <v>269</v>
      </c>
      <c r="C14" s="146">
        <v>277</v>
      </c>
      <c r="D14" s="146">
        <v>2982</v>
      </c>
      <c r="E14" s="146">
        <v>2482</v>
      </c>
      <c r="F14" s="147">
        <v>-2.9</v>
      </c>
      <c r="G14" s="147">
        <v>20.100000000000001</v>
      </c>
      <c r="H14" s="145">
        <v>45</v>
      </c>
      <c r="I14" s="145">
        <v>45.2</v>
      </c>
      <c r="J14" s="25"/>
    </row>
    <row r="15" spans="1:10" s="5" customFormat="1">
      <c r="A15" s="145" t="s">
        <v>295</v>
      </c>
      <c r="B15" s="146">
        <v>2</v>
      </c>
      <c r="C15" s="146">
        <v>6</v>
      </c>
      <c r="D15" s="146">
        <v>25</v>
      </c>
      <c r="E15" s="146">
        <v>56</v>
      </c>
      <c r="F15" s="147">
        <v>-66.7</v>
      </c>
      <c r="G15" s="147">
        <v>-55.4</v>
      </c>
      <c r="H15" s="145">
        <v>0.4</v>
      </c>
      <c r="I15" s="145">
        <v>1</v>
      </c>
      <c r="J15" s="38"/>
    </row>
    <row r="16" spans="1:10">
      <c r="A16" s="145" t="s">
        <v>454</v>
      </c>
      <c r="B16" s="146">
        <f>SUBTOTAL(109,Table_ExternalData_1[antalPerioden])</f>
        <v>488</v>
      </c>
      <c r="C16" s="146">
        <f>SUBTOTAL(109,Table_ExternalData_1[antalPeriodenFG])</f>
        <v>618</v>
      </c>
      <c r="D16" s="146">
        <f>SUBTOTAL(109,Table_ExternalData_1[antalAret])</f>
        <v>6620</v>
      </c>
      <c r="E16" s="146">
        <f>SUBTOTAL(109,Table_ExternalData_1[antalAretFG])</f>
        <v>5492</v>
      </c>
      <c r="F16" s="147">
        <f>IF(Table_ExternalData_1[[#Totals],[antalPeriodenFG]] &gt; 0,( Table_ExternalData_1[[#Totals],[antalPerioden]] - Table_ExternalData_1[[#Totals],[antalPeriodenFG]] ) / Table_ExternalData_1[[#Totals],[antalPeriodenFG]] * 100,0)</f>
        <v>-21.035598705501616</v>
      </c>
      <c r="G16" s="147">
        <f>IF(Table_ExternalData_1[[#Totals],[antalAretFG]] &gt; 0,( Table_ExternalData_1[[#Totals],[antalAret]] - Table_ExternalData_1[[#Totals],[antalAretFG]] ) / Table_ExternalData_1[[#Totals],[antalAretFG]] * 100,0)</f>
        <v>20.538965768390387</v>
      </c>
      <c r="H16" s="149" t="str">
        <f>TEXT(100,"0,0")</f>
        <v>100,0</v>
      </c>
      <c r="I16" s="149" t="str">
        <f>TEXT(100,"0,0")</f>
        <v>100,0</v>
      </c>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677</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pageSetUpPr fitToPage="1"/>
  </sheetPr>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56" t="s">
        <v>563</v>
      </c>
      <c r="D2" s="56"/>
      <c r="E2" s="56"/>
      <c r="F2" s="56"/>
    </row>
    <row r="4" spans="1:9">
      <c r="A4" s="7" t="s">
        <v>451</v>
      </c>
      <c r="B4" s="25"/>
      <c r="C4" s="25"/>
      <c r="D4" s="25"/>
      <c r="E4" s="260" t="s">
        <v>452</v>
      </c>
      <c r="F4" s="260"/>
      <c r="G4" s="260"/>
      <c r="H4" s="260"/>
      <c r="I4" s="260"/>
    </row>
    <row r="5" spans="1:9">
      <c r="A5" s="103"/>
      <c r="B5" s="263" t="s">
        <v>535</v>
      </c>
      <c r="C5" s="264"/>
      <c r="D5" s="263" t="s">
        <v>535</v>
      </c>
      <c r="E5" s="264"/>
      <c r="F5" s="274" t="s">
        <v>536</v>
      </c>
      <c r="G5" s="275"/>
      <c r="H5" s="261" t="s">
        <v>537</v>
      </c>
      <c r="I5" s="262"/>
    </row>
    <row r="6" spans="1:9">
      <c r="A6" s="103" t="s">
        <v>463</v>
      </c>
      <c r="B6" s="117" t="str">
        <f>Innehåll!D79</f>
        <v xml:space="preserve"> 2023-12</v>
      </c>
      <c r="C6" s="117" t="str">
        <f>Innehåll!D80</f>
        <v xml:space="preserve"> 2022-12</v>
      </c>
      <c r="D6" s="117" t="str">
        <f>Innehåll!D81</f>
        <v>YTD  2023</v>
      </c>
      <c r="E6" s="117" t="str">
        <f>Innehåll!D82</f>
        <v>YTD  2022</v>
      </c>
      <c r="F6" s="131" t="str">
        <f>B6</f>
        <v xml:space="preserve"> 2023-12</v>
      </c>
      <c r="G6" s="118" t="str">
        <f>D6</f>
        <v>YTD  2023</v>
      </c>
      <c r="H6" s="117" t="str">
        <f>D6</f>
        <v>YTD  2023</v>
      </c>
      <c r="I6" s="132" t="str">
        <f>E6</f>
        <v>YTD  2022</v>
      </c>
    </row>
    <row r="7" spans="1:9" ht="15" hidden="1" customHeight="1">
      <c r="A7" s="25"/>
      <c r="B7" s="25"/>
      <c r="C7" s="25"/>
      <c r="D7" s="25"/>
      <c r="E7" s="25"/>
      <c r="F7" s="25"/>
      <c r="G7" s="25"/>
      <c r="H7" s="25"/>
      <c r="I7" s="25"/>
    </row>
    <row r="8" spans="1:9" ht="15" hidden="1" customHeight="1">
      <c r="A8" s="25" t="s">
        <v>241</v>
      </c>
      <c r="B8" s="25" t="s">
        <v>26</v>
      </c>
      <c r="C8" s="25" t="s">
        <v>298</v>
      </c>
      <c r="D8" s="25" t="s">
        <v>299</v>
      </c>
      <c r="E8" s="25" t="s">
        <v>300</v>
      </c>
      <c r="F8" s="25" t="s">
        <v>301</v>
      </c>
      <c r="G8" s="25" t="s">
        <v>31</v>
      </c>
      <c r="H8" s="25" t="s">
        <v>302</v>
      </c>
      <c r="I8" s="25" t="s">
        <v>303</v>
      </c>
    </row>
    <row r="9" spans="1:9">
      <c r="A9" s="25" t="s">
        <v>467</v>
      </c>
      <c r="B9" s="61">
        <v>62</v>
      </c>
      <c r="C9" s="61">
        <v>15</v>
      </c>
      <c r="D9" s="61">
        <v>298</v>
      </c>
      <c r="E9" s="61">
        <v>164</v>
      </c>
      <c r="F9" s="58">
        <v>313.3</v>
      </c>
      <c r="G9" s="58">
        <v>81.7</v>
      </c>
      <c r="H9" s="58">
        <v>26.7</v>
      </c>
      <c r="I9" s="58">
        <v>13.2</v>
      </c>
    </row>
    <row r="10" spans="1:9">
      <c r="A10" s="25" t="s">
        <v>468</v>
      </c>
      <c r="B10" s="61">
        <v>91</v>
      </c>
      <c r="C10" s="61">
        <v>0</v>
      </c>
      <c r="D10" s="61">
        <v>211</v>
      </c>
      <c r="E10" s="61">
        <v>223</v>
      </c>
      <c r="F10" s="58">
        <v>0</v>
      </c>
      <c r="G10" s="58">
        <v>-5.4</v>
      </c>
      <c r="H10" s="58">
        <v>18.899999999999999</v>
      </c>
      <c r="I10" s="58">
        <v>18</v>
      </c>
    </row>
    <row r="11" spans="1:9">
      <c r="A11" s="25" t="s">
        <v>276</v>
      </c>
      <c r="B11" s="61">
        <v>14</v>
      </c>
      <c r="C11" s="61">
        <v>13</v>
      </c>
      <c r="D11" s="61">
        <v>181</v>
      </c>
      <c r="E11" s="61">
        <v>272</v>
      </c>
      <c r="F11" s="58">
        <v>7.7</v>
      </c>
      <c r="G11" s="58">
        <v>-33.5</v>
      </c>
      <c r="H11" s="58">
        <v>16.2</v>
      </c>
      <c r="I11" s="58">
        <v>21.9</v>
      </c>
    </row>
    <row r="12" spans="1:9">
      <c r="A12" s="25" t="s">
        <v>294</v>
      </c>
      <c r="B12" s="61">
        <v>5</v>
      </c>
      <c r="C12" s="61">
        <v>22</v>
      </c>
      <c r="D12" s="61">
        <v>133</v>
      </c>
      <c r="E12" s="61">
        <v>413</v>
      </c>
      <c r="F12" s="58">
        <v>-77.3</v>
      </c>
      <c r="G12" s="58">
        <v>-67.8</v>
      </c>
      <c r="H12" s="58">
        <v>11.9</v>
      </c>
      <c r="I12" s="58">
        <v>33.299999999999997</v>
      </c>
    </row>
    <row r="13" spans="1:9">
      <c r="A13" s="25" t="s">
        <v>269</v>
      </c>
      <c r="B13" s="61">
        <v>0</v>
      </c>
      <c r="C13" s="61">
        <v>7</v>
      </c>
      <c r="D13" s="61">
        <v>91</v>
      </c>
      <c r="E13" s="61">
        <v>27</v>
      </c>
      <c r="F13" s="58">
        <v>-100</v>
      </c>
      <c r="G13" s="58">
        <v>237</v>
      </c>
      <c r="H13" s="58">
        <v>8.1</v>
      </c>
      <c r="I13" s="58">
        <v>2.2000000000000002</v>
      </c>
    </row>
    <row r="14" spans="1:9">
      <c r="A14" s="25" t="s">
        <v>471</v>
      </c>
      <c r="B14" s="61">
        <v>12</v>
      </c>
      <c r="C14" s="61">
        <v>0</v>
      </c>
      <c r="D14" s="61">
        <v>59</v>
      </c>
      <c r="E14" s="61">
        <v>13</v>
      </c>
      <c r="F14" s="58">
        <v>0</v>
      </c>
      <c r="G14" s="58">
        <v>353.8</v>
      </c>
      <c r="H14" s="58">
        <v>5.3</v>
      </c>
      <c r="I14" s="58">
        <v>1</v>
      </c>
    </row>
    <row r="15" spans="1:9">
      <c r="A15" s="25" t="s">
        <v>673</v>
      </c>
      <c r="B15" s="61">
        <v>0</v>
      </c>
      <c r="C15" s="61">
        <v>0</v>
      </c>
      <c r="D15" s="61">
        <v>52</v>
      </c>
      <c r="E15" s="61">
        <v>59</v>
      </c>
      <c r="F15" s="58">
        <v>0</v>
      </c>
      <c r="G15" s="58">
        <v>-11.9</v>
      </c>
      <c r="H15" s="58">
        <v>4.7</v>
      </c>
      <c r="I15" s="58">
        <v>4.8</v>
      </c>
    </row>
    <row r="16" spans="1:9">
      <c r="A16" s="25" t="s">
        <v>1102</v>
      </c>
      <c r="B16" s="61">
        <v>0</v>
      </c>
      <c r="C16" s="61">
        <v>0</v>
      </c>
      <c r="D16" s="61">
        <v>42</v>
      </c>
      <c r="E16" s="61">
        <v>5</v>
      </c>
      <c r="F16" s="58">
        <v>0</v>
      </c>
      <c r="G16" s="58">
        <v>740</v>
      </c>
      <c r="H16" s="58">
        <v>3.8</v>
      </c>
      <c r="I16" s="58">
        <v>0.4</v>
      </c>
    </row>
    <row r="17" spans="1:9">
      <c r="A17" s="25" t="s">
        <v>266</v>
      </c>
      <c r="B17" s="61">
        <v>0</v>
      </c>
      <c r="C17" s="61">
        <v>4</v>
      </c>
      <c r="D17" s="61">
        <v>14</v>
      </c>
      <c r="E17" s="61">
        <v>5</v>
      </c>
      <c r="F17" s="58">
        <v>-100</v>
      </c>
      <c r="G17" s="58">
        <v>180</v>
      </c>
      <c r="H17" s="58">
        <v>1.3</v>
      </c>
      <c r="I17" s="58">
        <v>0.4</v>
      </c>
    </row>
    <row r="18" spans="1:9">
      <c r="A18" s="145" t="s">
        <v>707</v>
      </c>
      <c r="B18" s="146">
        <v>0</v>
      </c>
      <c r="C18" s="146">
        <v>3</v>
      </c>
      <c r="D18" s="146">
        <v>9</v>
      </c>
      <c r="E18" s="146">
        <v>4</v>
      </c>
      <c r="F18" s="147">
        <v>-100</v>
      </c>
      <c r="G18" s="147">
        <v>125</v>
      </c>
      <c r="H18" s="147">
        <v>0.8</v>
      </c>
      <c r="I18" s="147">
        <v>0.3</v>
      </c>
    </row>
    <row r="19" spans="1:9">
      <c r="A19" s="145" t="s">
        <v>286</v>
      </c>
      <c r="B19" s="146">
        <v>0</v>
      </c>
      <c r="C19" s="146">
        <v>0</v>
      </c>
      <c r="D19" s="146">
        <v>1</v>
      </c>
      <c r="E19" s="146">
        <v>0</v>
      </c>
      <c r="F19" s="147">
        <v>0</v>
      </c>
      <c r="G19" s="147">
        <v>0</v>
      </c>
      <c r="H19" s="147">
        <v>0.1</v>
      </c>
      <c r="I19" s="147">
        <v>0</v>
      </c>
    </row>
    <row r="20" spans="1:9">
      <c r="A20" s="145" t="s">
        <v>361</v>
      </c>
      <c r="B20" s="146">
        <v>0</v>
      </c>
      <c r="C20" s="146">
        <v>0</v>
      </c>
      <c r="D20" s="146">
        <v>0</v>
      </c>
      <c r="E20" s="146">
        <v>1</v>
      </c>
      <c r="F20" s="147">
        <v>0</v>
      </c>
      <c r="G20" s="147">
        <v>-100</v>
      </c>
      <c r="H20" s="147">
        <v>0</v>
      </c>
      <c r="I20" s="147">
        <v>0.1</v>
      </c>
    </row>
    <row r="21" spans="1:9">
      <c r="A21" s="145" t="s">
        <v>295</v>
      </c>
      <c r="B21" s="146">
        <v>1</v>
      </c>
      <c r="C21" s="146">
        <v>0</v>
      </c>
      <c r="D21" s="146">
        <v>27</v>
      </c>
      <c r="E21" s="146">
        <v>55</v>
      </c>
      <c r="F21" s="147">
        <v>0</v>
      </c>
      <c r="G21" s="147">
        <v>-50.9</v>
      </c>
      <c r="H21" s="147">
        <v>2.4</v>
      </c>
      <c r="I21" s="147">
        <v>4.4000000000000004</v>
      </c>
    </row>
    <row r="22" spans="1:9">
      <c r="A22" s="145" t="s">
        <v>355</v>
      </c>
      <c r="B22" s="146">
        <f>SUBTOTAL(109,getAggBussAll[antalPerioden])</f>
        <v>185</v>
      </c>
      <c r="C22" s="146">
        <f>SUBTOTAL(109,getAggBussAll[antalPeriodenFG])</f>
        <v>64</v>
      </c>
      <c r="D22" s="146">
        <f>SUBTOTAL(109,getAggBussAll[antalAret])</f>
        <v>1118</v>
      </c>
      <c r="E22" s="146">
        <f>SUBTOTAL(109,getAggBussAll[antalAretFG])</f>
        <v>1241</v>
      </c>
      <c r="F22" s="147">
        <f>IF(getAggBussAll[[#Totals],[antalPeriodenFG]] &gt; 0,( getAggBussAll[[#Totals],[antalPerioden]] - getAggBussAll[[#Totals],[antalPeriodenFG]] ) / getAggBussAll[[#Totals],[antalPeriodenFG]] * 100,0)</f>
        <v>189.0625</v>
      </c>
      <c r="G22" s="147">
        <f>IF(getAggBussAll[[#Totals],[antalAretFG]] &gt; 0,( getAggBussAll[[#Totals],[antalAret]] - getAggBussAll[[#Totals],[antalAretFG]] ) / getAggBussAll[[#Totals],[antalAretFG]] * 100,0)</f>
        <v>-9.9113618049959697</v>
      </c>
      <c r="H22" s="151" t="str">
        <f>TEXT(100,"0,0")</f>
        <v>100,0</v>
      </c>
      <c r="I22" s="151" t="str">
        <f>TEXT(100,"0,0")</f>
        <v>100,0</v>
      </c>
    </row>
    <row r="23" spans="1:9">
      <c r="A23" s="145"/>
      <c r="B23" s="146"/>
      <c r="C23" s="146"/>
      <c r="D23" s="146"/>
      <c r="E23" s="146"/>
      <c r="F23" s="147"/>
      <c r="G23" s="147"/>
      <c r="H23" s="147"/>
      <c r="I23" s="147"/>
    </row>
    <row r="24" spans="1:9">
      <c r="A24" s="25"/>
      <c r="B24" s="61"/>
      <c r="C24" s="61"/>
      <c r="D24" s="61"/>
      <c r="E24" s="61"/>
      <c r="F24" s="58"/>
      <c r="G24" s="58"/>
      <c r="H24" s="91"/>
      <c r="I24" s="91"/>
    </row>
    <row r="25" spans="1:9">
      <c r="A25" s="25"/>
      <c r="B25" s="61"/>
      <c r="C25" s="61"/>
      <c r="D25" s="61"/>
      <c r="E25" s="61"/>
      <c r="F25" s="58"/>
      <c r="G25" s="58"/>
      <c r="H25" s="91"/>
      <c r="I25" s="91"/>
    </row>
    <row r="26" spans="1:9" ht="19.25" customHeight="1" thickBot="1">
      <c r="A26" s="25"/>
      <c r="B26" s="25"/>
      <c r="C26" s="56" t="s">
        <v>564</v>
      </c>
      <c r="D26" s="56"/>
      <c r="E26" s="56"/>
      <c r="F26" s="56"/>
      <c r="G26" s="25"/>
      <c r="H26" s="25"/>
      <c r="I26" s="25"/>
    </row>
    <row r="27" spans="1:9">
      <c r="A27" s="25"/>
      <c r="B27" s="25"/>
      <c r="C27" s="25"/>
      <c r="D27" s="25"/>
      <c r="E27" s="25"/>
      <c r="F27" s="25"/>
      <c r="G27" s="25"/>
      <c r="H27" s="25"/>
      <c r="I27" s="25"/>
    </row>
    <row r="28" spans="1:9" s="5" customFormat="1">
      <c r="A28" s="7" t="s">
        <v>451</v>
      </c>
      <c r="B28" s="25"/>
      <c r="C28" s="25"/>
      <c r="D28" s="25"/>
      <c r="E28" s="260" t="s">
        <v>452</v>
      </c>
      <c r="F28" s="260"/>
      <c r="G28" s="260"/>
      <c r="H28" s="260"/>
      <c r="I28" s="260"/>
    </row>
    <row r="29" spans="1:9">
      <c r="A29" s="103"/>
      <c r="B29" s="103" t="s">
        <v>535</v>
      </c>
      <c r="C29" s="103"/>
      <c r="D29" s="103" t="s">
        <v>535</v>
      </c>
      <c r="E29" s="103"/>
      <c r="F29" s="103" t="s">
        <v>536</v>
      </c>
      <c r="G29" s="103"/>
      <c r="H29" s="103" t="s">
        <v>537</v>
      </c>
      <c r="I29" s="103"/>
    </row>
    <row r="30" spans="1:9">
      <c r="A30" s="103" t="s">
        <v>463</v>
      </c>
      <c r="B30" s="103" t="str">
        <f>Innehåll!D79</f>
        <v xml:space="preserve"> 2023-12</v>
      </c>
      <c r="C30" s="103" t="str">
        <f>Innehåll!D80</f>
        <v xml:space="preserve"> 2022-12</v>
      </c>
      <c r="D30" s="103" t="str">
        <f>Innehåll!D81</f>
        <v>YTD  2023</v>
      </c>
      <c r="E30" s="103" t="str">
        <f>Innehåll!D82</f>
        <v>YTD  2022</v>
      </c>
      <c r="F30" s="103" t="str">
        <f>B30</f>
        <v xml:space="preserve"> 2023-12</v>
      </c>
      <c r="G30" s="103" t="str">
        <f>D30</f>
        <v>YTD  2023</v>
      </c>
      <c r="H30" s="103" t="str">
        <f>D30</f>
        <v>YTD  2023</v>
      </c>
      <c r="I30" s="103" t="str">
        <f>E30</f>
        <v>YTD  2022</v>
      </c>
    </row>
    <row r="31" spans="1:9" ht="15" hidden="1" customHeight="1">
      <c r="A31" s="25" t="s">
        <v>241</v>
      </c>
      <c r="B31" s="25" t="s">
        <v>26</v>
      </c>
      <c r="C31" s="25" t="s">
        <v>298</v>
      </c>
      <c r="D31" s="25" t="s">
        <v>299</v>
      </c>
      <c r="E31" s="25" t="s">
        <v>300</v>
      </c>
      <c r="F31" s="25" t="s">
        <v>301</v>
      </c>
      <c r="G31" s="25" t="s">
        <v>31</v>
      </c>
      <c r="H31" s="25" t="s">
        <v>302</v>
      </c>
      <c r="I31" s="25" t="s">
        <v>303</v>
      </c>
    </row>
    <row r="32" spans="1:9">
      <c r="A32" s="25" t="s">
        <v>468</v>
      </c>
      <c r="B32" s="61">
        <v>91</v>
      </c>
      <c r="C32" s="61">
        <v>0</v>
      </c>
      <c r="D32" s="61">
        <v>211</v>
      </c>
      <c r="E32" s="61">
        <v>223</v>
      </c>
      <c r="F32" s="58">
        <v>0</v>
      </c>
      <c r="G32" s="58">
        <v>-5.4</v>
      </c>
      <c r="H32" s="58">
        <v>24.9</v>
      </c>
      <c r="I32" s="58">
        <v>20.7</v>
      </c>
    </row>
    <row r="33" spans="1:9">
      <c r="A33" s="25" t="s">
        <v>276</v>
      </c>
      <c r="B33" s="61">
        <v>14</v>
      </c>
      <c r="C33" s="61">
        <v>13</v>
      </c>
      <c r="D33" s="61">
        <v>171</v>
      </c>
      <c r="E33" s="61">
        <v>254</v>
      </c>
      <c r="F33" s="58">
        <v>7.7</v>
      </c>
      <c r="G33" s="58">
        <v>-32.700000000000003</v>
      </c>
      <c r="H33" s="58">
        <v>20.2</v>
      </c>
      <c r="I33" s="58">
        <v>23.6</v>
      </c>
    </row>
    <row r="34" spans="1:9">
      <c r="A34" s="25" t="s">
        <v>467</v>
      </c>
      <c r="B34" s="61">
        <v>47</v>
      </c>
      <c r="C34" s="61">
        <v>6</v>
      </c>
      <c r="D34" s="61">
        <v>157</v>
      </c>
      <c r="E34" s="61">
        <v>47</v>
      </c>
      <c r="F34" s="58">
        <v>683.3</v>
      </c>
      <c r="G34" s="58">
        <v>234</v>
      </c>
      <c r="H34" s="58">
        <v>18.5</v>
      </c>
      <c r="I34" s="58">
        <v>4.4000000000000004</v>
      </c>
    </row>
    <row r="35" spans="1:9">
      <c r="A35" s="25" t="s">
        <v>294</v>
      </c>
      <c r="B35" s="61">
        <v>5</v>
      </c>
      <c r="C35" s="61">
        <v>22</v>
      </c>
      <c r="D35" s="61">
        <v>133</v>
      </c>
      <c r="E35" s="61">
        <v>413</v>
      </c>
      <c r="F35" s="58">
        <v>-77.3</v>
      </c>
      <c r="G35" s="58">
        <v>-67.8</v>
      </c>
      <c r="H35" s="58">
        <v>15.7</v>
      </c>
      <c r="I35" s="58">
        <v>38.4</v>
      </c>
    </row>
    <row r="36" spans="1:9" ht="15" customHeight="1">
      <c r="A36" s="25" t="s">
        <v>471</v>
      </c>
      <c r="B36" s="61">
        <v>12</v>
      </c>
      <c r="C36" s="61">
        <v>0</v>
      </c>
      <c r="D36" s="61">
        <v>59</v>
      </c>
      <c r="E36" s="61">
        <v>13</v>
      </c>
      <c r="F36" s="58">
        <v>0</v>
      </c>
      <c r="G36" s="58">
        <v>353.8</v>
      </c>
      <c r="H36" s="58">
        <v>7</v>
      </c>
      <c r="I36" s="58">
        <v>1.2</v>
      </c>
    </row>
    <row r="37" spans="1:9">
      <c r="A37" s="25" t="s">
        <v>673</v>
      </c>
      <c r="B37" s="61">
        <v>0</v>
      </c>
      <c r="C37" s="61">
        <v>0</v>
      </c>
      <c r="D37" s="61">
        <v>52</v>
      </c>
      <c r="E37" s="61">
        <v>59</v>
      </c>
      <c r="F37" s="58">
        <v>0</v>
      </c>
      <c r="G37" s="58">
        <v>-11.9</v>
      </c>
      <c r="H37" s="58">
        <v>6.1</v>
      </c>
      <c r="I37" s="58">
        <v>5.5</v>
      </c>
    </row>
    <row r="38" spans="1:9">
      <c r="A38" s="25" t="s">
        <v>269</v>
      </c>
      <c r="B38" s="61">
        <v>0</v>
      </c>
      <c r="C38" s="61">
        <v>1</v>
      </c>
      <c r="D38" s="61">
        <v>37</v>
      </c>
      <c r="E38" s="61">
        <v>7</v>
      </c>
      <c r="F38" s="58">
        <v>-100</v>
      </c>
      <c r="G38" s="58">
        <v>428.6</v>
      </c>
      <c r="H38" s="58">
        <v>4.4000000000000004</v>
      </c>
      <c r="I38" s="58">
        <v>0.7</v>
      </c>
    </row>
    <row r="39" spans="1:9">
      <c r="A39" s="145" t="s">
        <v>707</v>
      </c>
      <c r="B39" s="146">
        <v>0</v>
      </c>
      <c r="C39" s="146">
        <v>3</v>
      </c>
      <c r="D39" s="146">
        <v>9</v>
      </c>
      <c r="E39" s="146">
        <v>4</v>
      </c>
      <c r="F39" s="147">
        <v>-100</v>
      </c>
      <c r="G39" s="147">
        <v>125</v>
      </c>
      <c r="H39" s="147">
        <v>1.1000000000000001</v>
      </c>
      <c r="I39" s="147">
        <v>0.4</v>
      </c>
    </row>
    <row r="40" spans="1:9">
      <c r="A40" s="145" t="s">
        <v>361</v>
      </c>
      <c r="B40" s="146">
        <v>0</v>
      </c>
      <c r="C40" s="146">
        <v>0</v>
      </c>
      <c r="D40" s="146">
        <v>0</v>
      </c>
      <c r="E40" s="146">
        <v>1</v>
      </c>
      <c r="F40" s="147">
        <v>0</v>
      </c>
      <c r="G40" s="147">
        <v>-100</v>
      </c>
      <c r="H40" s="147">
        <v>0</v>
      </c>
      <c r="I40" s="147">
        <v>0.1</v>
      </c>
    </row>
    <row r="41" spans="1:9">
      <c r="A41" s="145" t="s">
        <v>295</v>
      </c>
      <c r="B41" s="146">
        <v>0</v>
      </c>
      <c r="C41" s="146">
        <v>0</v>
      </c>
      <c r="D41" s="146">
        <v>18</v>
      </c>
      <c r="E41" s="146">
        <v>55</v>
      </c>
      <c r="F41" s="147">
        <v>0</v>
      </c>
      <c r="G41" s="147">
        <v>-67.3</v>
      </c>
      <c r="H41" s="147">
        <v>2.1</v>
      </c>
      <c r="I41" s="147">
        <v>5.0999999999999996</v>
      </c>
    </row>
    <row r="42" spans="1:9">
      <c r="A42" s="145" t="s">
        <v>355</v>
      </c>
      <c r="B42" s="146">
        <f>SUBTOTAL(109,getAggBuss[antalPerioden])</f>
        <v>169</v>
      </c>
      <c r="C42" s="146">
        <f>SUBTOTAL(109,getAggBuss[antalPeriodenFG])</f>
        <v>45</v>
      </c>
      <c r="D42" s="146">
        <f>SUBTOTAL(109,getAggBuss[antalAret])</f>
        <v>847</v>
      </c>
      <c r="E42" s="146">
        <f>SUBTOTAL(109,getAggBuss[antalAretFG])</f>
        <v>1076</v>
      </c>
      <c r="F42" s="147">
        <f>IF(getAggBuss[[#Totals],[antalPeriodenFG]] &gt; 0,( getAggBuss[[#Totals],[antalPerioden]] - getAggBuss[[#Totals],[antalPeriodenFG]] ) / getAggBuss[[#Totals],[antalPeriodenFG]] * 100,0)</f>
        <v>275.55555555555554</v>
      </c>
      <c r="G42" s="147">
        <f>IF(getAggBuss[[#Totals],[antalAretFG]] &gt; 0,( getAggBuss[[#Totals],[antalAret]] - getAggBuss[[#Totals],[antalAretFG]] ) / getAggBuss[[#Totals],[antalAretFG]] * 100,0)</f>
        <v>-21.282527881040892</v>
      </c>
      <c r="H42" s="151" t="str">
        <f>TEXT(100,"0,0")</f>
        <v>100,0</v>
      </c>
      <c r="I42" s="151" t="str">
        <f>TEXT(100,"0,0")</f>
        <v>100,0</v>
      </c>
    </row>
    <row r="43" spans="1:9">
      <c r="A43" s="25"/>
      <c r="B43" s="25"/>
      <c r="C43" s="25"/>
      <c r="D43" s="25"/>
      <c r="E43" s="25"/>
      <c r="F43" s="25"/>
      <c r="G43" s="25"/>
      <c r="H43" s="25"/>
      <c r="I43" s="25"/>
    </row>
    <row r="44" spans="1:9">
      <c r="A44" s="25" t="s">
        <v>677</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scale="81" orientation="portrait"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E23" sqref="E23"/>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565</v>
      </c>
      <c r="D2" s="56"/>
      <c r="E2" s="56"/>
      <c r="F2" s="56"/>
      <c r="G2" s="56"/>
      <c r="H2" s="25"/>
      <c r="I2" s="25"/>
      <c r="J2" s="25"/>
    </row>
    <row r="3" spans="1:10">
      <c r="A3" s="25"/>
      <c r="B3" s="25"/>
      <c r="C3" s="25"/>
      <c r="D3" s="25"/>
      <c r="E3" s="25"/>
      <c r="F3" s="25"/>
      <c r="G3" s="25"/>
      <c r="H3" s="25"/>
      <c r="I3" s="25"/>
      <c r="J3" s="25"/>
    </row>
    <row r="4" spans="1:10">
      <c r="A4" s="7" t="s">
        <v>451</v>
      </c>
      <c r="B4" s="25"/>
      <c r="C4" s="25"/>
      <c r="D4" s="25"/>
      <c r="E4" s="260" t="s">
        <v>452</v>
      </c>
      <c r="F4" s="260"/>
      <c r="G4" s="260"/>
      <c r="H4" s="260"/>
      <c r="I4" s="260"/>
      <c r="J4" s="25"/>
    </row>
    <row r="5" spans="1:10">
      <c r="A5" s="103"/>
      <c r="B5" s="263" t="s">
        <v>535</v>
      </c>
      <c r="C5" s="264"/>
      <c r="D5" s="263" t="s">
        <v>535</v>
      </c>
      <c r="E5" s="264"/>
      <c r="F5" s="274" t="s">
        <v>536</v>
      </c>
      <c r="G5" s="275"/>
      <c r="H5" s="261" t="s">
        <v>537</v>
      </c>
      <c r="I5" s="262"/>
      <c r="J5" s="25"/>
    </row>
    <row r="6" spans="1:10">
      <c r="A6" s="103" t="s">
        <v>463</v>
      </c>
      <c r="B6" s="117" t="str">
        <f>Innehåll!D79</f>
        <v xml:space="preserve"> 2023-12</v>
      </c>
      <c r="C6" s="117" t="str">
        <f>Innehåll!D80</f>
        <v xml:space="preserve"> 2022-12</v>
      </c>
      <c r="D6" s="117" t="str">
        <f>Innehåll!D81</f>
        <v>YTD  2023</v>
      </c>
      <c r="E6" s="117" t="str">
        <f>Innehåll!D82</f>
        <v>YTD  2022</v>
      </c>
      <c r="F6" s="131" t="str">
        <f>B6</f>
        <v xml:space="preserve"> 2023-12</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276</v>
      </c>
      <c r="B8" s="25">
        <v>11</v>
      </c>
      <c r="C8" s="25">
        <v>0</v>
      </c>
      <c r="D8" s="25">
        <v>126</v>
      </c>
      <c r="E8" s="25">
        <v>64</v>
      </c>
      <c r="F8" s="25">
        <v>0</v>
      </c>
      <c r="G8" s="25">
        <v>96.9</v>
      </c>
      <c r="H8" s="25">
        <v>40.4</v>
      </c>
      <c r="I8" s="25">
        <v>24.7</v>
      </c>
      <c r="J8" s="25"/>
    </row>
    <row r="9" spans="1:10">
      <c r="A9" s="25" t="s">
        <v>673</v>
      </c>
      <c r="B9" s="25">
        <v>0</v>
      </c>
      <c r="C9" s="25">
        <v>0</v>
      </c>
      <c r="D9" s="25">
        <v>52</v>
      </c>
      <c r="E9" s="25">
        <v>59</v>
      </c>
      <c r="F9" s="58">
        <v>0</v>
      </c>
      <c r="G9" s="58">
        <v>-11.9</v>
      </c>
      <c r="H9" s="25">
        <v>16.7</v>
      </c>
      <c r="I9" s="25">
        <v>22.8</v>
      </c>
      <c r="J9" s="25"/>
    </row>
    <row r="10" spans="1:10">
      <c r="A10" s="145" t="s">
        <v>294</v>
      </c>
      <c r="B10" s="145">
        <v>0</v>
      </c>
      <c r="C10" s="145">
        <v>0</v>
      </c>
      <c r="D10" s="145">
        <v>51</v>
      </c>
      <c r="E10" s="145">
        <v>92</v>
      </c>
      <c r="F10" s="147">
        <v>0</v>
      </c>
      <c r="G10" s="147">
        <v>-44.6</v>
      </c>
      <c r="H10" s="145">
        <v>16.3</v>
      </c>
      <c r="I10" s="145">
        <v>35.5</v>
      </c>
      <c r="J10" s="25"/>
    </row>
    <row r="11" spans="1:10">
      <c r="A11" s="145" t="s">
        <v>1102</v>
      </c>
      <c r="B11" s="145">
        <v>0</v>
      </c>
      <c r="C11" s="145">
        <v>0</v>
      </c>
      <c r="D11" s="145">
        <v>42</v>
      </c>
      <c r="E11" s="145">
        <v>5</v>
      </c>
      <c r="F11" s="147">
        <v>0</v>
      </c>
      <c r="G11" s="147">
        <v>740</v>
      </c>
      <c r="H11" s="145">
        <v>13.5</v>
      </c>
      <c r="I11" s="145">
        <v>1.9</v>
      </c>
      <c r="J11" s="25"/>
    </row>
    <row r="12" spans="1:10">
      <c r="A12" s="145" t="s">
        <v>467</v>
      </c>
      <c r="B12" s="146">
        <v>1</v>
      </c>
      <c r="C12" s="145">
        <v>0</v>
      </c>
      <c r="D12" s="146">
        <v>27</v>
      </c>
      <c r="E12" s="145">
        <v>4</v>
      </c>
      <c r="F12" s="145">
        <v>0</v>
      </c>
      <c r="G12" s="145">
        <v>575</v>
      </c>
      <c r="H12" s="145">
        <v>8.6999999999999993</v>
      </c>
      <c r="I12" s="145">
        <v>1.5</v>
      </c>
      <c r="J12" s="25"/>
    </row>
    <row r="13" spans="1:10">
      <c r="A13" s="145" t="s">
        <v>468</v>
      </c>
      <c r="B13" s="145">
        <v>0</v>
      </c>
      <c r="C13" s="145">
        <v>0</v>
      </c>
      <c r="D13" s="145">
        <v>4</v>
      </c>
      <c r="E13" s="145">
        <v>4</v>
      </c>
      <c r="F13" s="145">
        <v>0</v>
      </c>
      <c r="G13" s="145">
        <v>0</v>
      </c>
      <c r="H13" s="145">
        <v>1.3</v>
      </c>
      <c r="I13" s="145">
        <v>1.5</v>
      </c>
      <c r="J13" s="25"/>
    </row>
    <row r="14" spans="1:10" s="5" customFormat="1">
      <c r="A14" s="145" t="s">
        <v>295</v>
      </c>
      <c r="B14" s="145">
        <v>1</v>
      </c>
      <c r="C14" s="145">
        <v>0</v>
      </c>
      <c r="D14" s="145">
        <v>10</v>
      </c>
      <c r="E14" s="145">
        <v>31</v>
      </c>
      <c r="F14" s="145">
        <v>0</v>
      </c>
      <c r="G14" s="145">
        <v>-67.7</v>
      </c>
      <c r="H14" s="145">
        <v>3.2</v>
      </c>
      <c r="I14" s="145">
        <v>12</v>
      </c>
      <c r="J14" s="38"/>
    </row>
    <row r="15" spans="1:10">
      <c r="A15" s="145" t="s">
        <v>454</v>
      </c>
      <c r="B15" s="145">
        <f>SUBTOTAL(109,Table_bdsql12_BDnewRegistrations_getAggBussEL[antalPerioden])</f>
        <v>13</v>
      </c>
      <c r="C15" s="145">
        <f>SUBTOTAL(109,Table_bdsql12_BDnewRegistrations_getAggBussEL[antalPeriodenFG])</f>
        <v>0</v>
      </c>
      <c r="D15" s="145">
        <f>SUBTOTAL(109,Table_bdsql12_BDnewRegistrations_getAggBussEL[antalAret])</f>
        <v>312</v>
      </c>
      <c r="E15" s="145">
        <f>SUBTOTAL(109,Table_bdsql12_BDnewRegistrations_getAggBussEL[antalAretFG])</f>
        <v>259</v>
      </c>
      <c r="F15" s="147">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0</v>
      </c>
      <c r="G15" s="147">
        <f>IF(Table_bdsql12_BDnewRegistrations_getAggBussEL[[#Totals],[antalAretFG]] &gt; 0,( Table_bdsql12_BDnewRegistrations_getAggBussEL[[#Totals],[antalAret]] - Table_bdsql12_BDnewRegistrations_getAggBussEL[[#Totals],[antalAretFG]] ) / Table_bdsql12_BDnewRegistrations_getAggBussEL[[#Totals],[antalAretFG]] * 100,0)</f>
        <v>20.463320463320464</v>
      </c>
      <c r="H15" s="149" t="str">
        <f>TEXT(100,"0,0")</f>
        <v>100,0</v>
      </c>
      <c r="I15" s="149" t="str">
        <f>TEXT(100,"0,0")</f>
        <v>100,0</v>
      </c>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677</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M32" sqref="M32"/>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474</v>
      </c>
      <c r="R3" s="66"/>
      <c r="S3" s="66"/>
      <c r="T3" s="66"/>
      <c r="U3" s="92"/>
    </row>
    <row r="4" spans="17:21">
      <c r="Q4" s="25"/>
      <c r="R4" s="25"/>
      <c r="S4" s="25"/>
      <c r="T4" s="25"/>
      <c r="U4" s="25"/>
    </row>
    <row r="5" spans="17:21" ht="16" thickBot="1">
      <c r="Q5" s="19" t="s">
        <v>455</v>
      </c>
      <c r="R5" s="19">
        <v>2021</v>
      </c>
      <c r="S5" s="19">
        <v>2022</v>
      </c>
      <c r="T5" s="19">
        <v>2023</v>
      </c>
      <c r="U5" s="25"/>
    </row>
    <row r="6" spans="17:21">
      <c r="Q6" s="30" t="s">
        <v>2</v>
      </c>
      <c r="R6" s="30">
        <v>20573</v>
      </c>
      <c r="S6" s="30">
        <v>19893</v>
      </c>
      <c r="T6" s="30">
        <v>14601</v>
      </c>
      <c r="U6" s="25"/>
    </row>
    <row r="7" spans="17:21">
      <c r="Q7" s="30" t="s">
        <v>3</v>
      </c>
      <c r="R7" s="30">
        <v>22837</v>
      </c>
      <c r="S7" s="30">
        <v>21136</v>
      </c>
      <c r="T7" s="30">
        <v>18442</v>
      </c>
      <c r="U7" s="25"/>
    </row>
    <row r="8" spans="17:21">
      <c r="Q8" s="30" t="s">
        <v>4</v>
      </c>
      <c r="R8" s="30">
        <v>47460</v>
      </c>
      <c r="S8" s="30">
        <v>28710</v>
      </c>
      <c r="T8" s="30">
        <v>30261</v>
      </c>
      <c r="U8" s="25"/>
    </row>
    <row r="9" spans="17:21">
      <c r="Q9" s="30" t="s">
        <v>5</v>
      </c>
      <c r="R9" s="30">
        <v>21871</v>
      </c>
      <c r="S9" s="30">
        <v>21942</v>
      </c>
      <c r="T9" s="30">
        <v>20586</v>
      </c>
      <c r="U9" s="25"/>
    </row>
    <row r="10" spans="17:21">
      <c r="Q10" s="30" t="s">
        <v>6</v>
      </c>
      <c r="R10" s="30">
        <v>24327</v>
      </c>
      <c r="S10" s="30">
        <v>26413</v>
      </c>
      <c r="T10" s="30">
        <v>28490</v>
      </c>
      <c r="U10" s="25"/>
    </row>
    <row r="11" spans="17:21">
      <c r="Q11" s="30" t="s">
        <v>7</v>
      </c>
      <c r="R11" s="30">
        <v>36095</v>
      </c>
      <c r="S11" s="30">
        <v>26088</v>
      </c>
      <c r="T11" s="30">
        <v>28283</v>
      </c>
      <c r="U11" s="25"/>
    </row>
    <row r="12" spans="17:21">
      <c r="Q12" s="30" t="s">
        <v>8</v>
      </c>
      <c r="R12" s="30">
        <v>16778</v>
      </c>
      <c r="S12" s="30">
        <v>17834</v>
      </c>
      <c r="T12" s="30">
        <v>17300</v>
      </c>
      <c r="U12" s="25"/>
    </row>
    <row r="13" spans="17:21">
      <c r="Q13" s="30" t="s">
        <v>9</v>
      </c>
      <c r="R13" s="30">
        <v>19808</v>
      </c>
      <c r="S13" s="30">
        <v>20576</v>
      </c>
      <c r="T13" s="30">
        <v>23871</v>
      </c>
      <c r="U13" s="25"/>
    </row>
    <row r="14" spans="17:21">
      <c r="Q14" s="30" t="s">
        <v>10</v>
      </c>
      <c r="R14" s="30">
        <v>22634</v>
      </c>
      <c r="S14" s="30">
        <v>22048</v>
      </c>
      <c r="T14" s="30">
        <v>28135</v>
      </c>
      <c r="U14" s="25"/>
    </row>
    <row r="15" spans="17:21">
      <c r="Q15" s="30" t="s">
        <v>11</v>
      </c>
      <c r="R15" s="30">
        <v>19962</v>
      </c>
      <c r="S15" s="30">
        <v>22383</v>
      </c>
      <c r="T15" s="30">
        <v>25016</v>
      </c>
      <c r="U15" s="25"/>
    </row>
    <row r="16" spans="17:21">
      <c r="Q16" s="30" t="s">
        <v>12</v>
      </c>
      <c r="R16" s="30">
        <v>21056</v>
      </c>
      <c r="S16" s="30">
        <v>25588</v>
      </c>
      <c r="T16" s="30">
        <v>25406</v>
      </c>
      <c r="U16" s="25"/>
    </row>
    <row r="17" spans="17:21">
      <c r="Q17" s="30" t="s">
        <v>13</v>
      </c>
      <c r="R17" s="30">
        <v>27582</v>
      </c>
      <c r="S17" s="30">
        <v>35476</v>
      </c>
      <c r="T17" s="30">
        <v>29274</v>
      </c>
      <c r="U17" s="25"/>
    </row>
    <row r="18" spans="17:21">
      <c r="Q18" s="28" t="s">
        <v>534</v>
      </c>
      <c r="R18" s="28">
        <f>SUMIF(T6:T17,"&gt;0",R6:R17)</f>
        <v>300983</v>
      </c>
      <c r="S18" s="28">
        <f>SUMIF(T6:T17,"&gt;0",S6:S17)</f>
        <v>288087</v>
      </c>
      <c r="T18" s="28">
        <f>SUM(T6:T17)</f>
        <v>289665</v>
      </c>
      <c r="U18" s="25"/>
    </row>
    <row r="19" spans="17:21">
      <c r="Q19" s="32" t="s">
        <v>533</v>
      </c>
      <c r="R19" s="32">
        <f>SUM(R6:R17)</f>
        <v>300983</v>
      </c>
      <c r="S19" s="32">
        <f>SUM(S6:S17)</f>
        <v>288087</v>
      </c>
      <c r="T19" s="32">
        <v>289665</v>
      </c>
      <c r="U19" s="25"/>
    </row>
    <row r="20" spans="17:21">
      <c r="Q20" s="25"/>
      <c r="R20" s="25"/>
      <c r="S20" s="25"/>
      <c r="T20" s="25"/>
      <c r="U20" s="25"/>
    </row>
    <row r="21" spans="17:21">
      <c r="Q21" s="30" t="s">
        <v>452</v>
      </c>
      <c r="R21" s="25"/>
      <c r="S21" s="25"/>
      <c r="T21" s="25"/>
      <c r="U21" s="25"/>
    </row>
    <row r="22" spans="17:21">
      <c r="Q22" s="25"/>
      <c r="R22" s="25"/>
      <c r="S22" s="25"/>
      <c r="T22" s="25"/>
      <c r="U22" s="25"/>
    </row>
    <row r="23" spans="17:21" ht="17" thickBot="1">
      <c r="Q23" s="66" t="s">
        <v>546</v>
      </c>
      <c r="R23" s="66"/>
      <c r="S23" s="66"/>
      <c r="T23" s="66"/>
      <c r="U23" s="66"/>
    </row>
    <row r="24" spans="17:21">
      <c r="Q24" s="25"/>
      <c r="R24" s="25"/>
      <c r="S24" s="25"/>
      <c r="T24" s="25"/>
      <c r="U24" s="25"/>
    </row>
    <row r="25" spans="17:21">
      <c r="Q25" s="93" t="s">
        <v>543</v>
      </c>
      <c r="R25" s="94" t="s">
        <v>522</v>
      </c>
      <c r="S25" s="94" t="str">
        <f>[0]!Manaden</f>
        <v>December</v>
      </c>
      <c r="T25" s="94" t="s">
        <v>534</v>
      </c>
      <c r="U25" s="25"/>
    </row>
    <row r="26" spans="17:21">
      <c r="Q26" s="55" t="s">
        <v>544</v>
      </c>
      <c r="R26" s="55">
        <v>2023</v>
      </c>
      <c r="S26" s="55">
        <v>468</v>
      </c>
      <c r="T26" s="55">
        <v>6938</v>
      </c>
      <c r="U26" s="25"/>
    </row>
    <row r="27" spans="17:21">
      <c r="Q27" s="55" t="s">
        <v>544</v>
      </c>
      <c r="R27" s="55">
        <v>2022</v>
      </c>
      <c r="S27" s="55">
        <v>641</v>
      </c>
      <c r="T27" s="55">
        <v>9012</v>
      </c>
      <c r="U27" s="25"/>
    </row>
    <row r="28" spans="17:21">
      <c r="Q28" s="55" t="s">
        <v>545</v>
      </c>
      <c r="R28" s="55">
        <v>2023</v>
      </c>
      <c r="S28" s="55">
        <v>51</v>
      </c>
      <c r="T28" s="55">
        <v>645</v>
      </c>
      <c r="U28" s="25"/>
    </row>
    <row r="29" spans="17:21">
      <c r="Q29" s="55" t="s">
        <v>545</v>
      </c>
      <c r="R29" s="55">
        <v>2022</v>
      </c>
      <c r="S29" s="55">
        <v>93</v>
      </c>
      <c r="T29" s="55">
        <v>1114</v>
      </c>
      <c r="U29" s="25"/>
    </row>
    <row r="30" spans="17:21">
      <c r="Q30" s="25"/>
      <c r="R30" s="25"/>
      <c r="S30" s="25"/>
      <c r="T30" s="25"/>
      <c r="U30" s="25"/>
    </row>
    <row r="31" spans="17:21">
      <c r="Q31" s="30" t="s">
        <v>547</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438</v>
      </c>
      <c r="R37" s="57">
        <v>-3.3053030671268169</v>
      </c>
      <c r="S37" s="25"/>
      <c r="T37" s="25"/>
      <c r="U37" s="25"/>
    </row>
    <row r="38" spans="14:22">
      <c r="Q38" s="30" t="s">
        <v>501</v>
      </c>
      <c r="R38" s="57">
        <v>5.2687378998801515</v>
      </c>
      <c r="S38" s="25"/>
      <c r="T38" s="25"/>
      <c r="U38" s="25"/>
    </row>
    <row r="39" spans="14:22">
      <c r="Q39" s="30" t="s">
        <v>560</v>
      </c>
      <c r="R39" s="57">
        <v>71.651777641144349</v>
      </c>
      <c r="S39" s="25"/>
      <c r="T39" s="25"/>
      <c r="U39" s="25"/>
    </row>
    <row r="40" spans="14:22">
      <c r="Q40" s="30" t="s">
        <v>575</v>
      </c>
      <c r="R40" s="57">
        <v>15.621695918798901</v>
      </c>
      <c r="S40" s="25"/>
      <c r="T40" s="25"/>
      <c r="U40" s="25"/>
    </row>
    <row r="41" spans="14:22">
      <c r="Q41" s="30" t="s">
        <v>589</v>
      </c>
      <c r="R41" s="57">
        <v>53.183048926390029</v>
      </c>
      <c r="S41" s="25"/>
      <c r="T41" s="25"/>
      <c r="U41" s="25"/>
    </row>
    <row r="42" spans="14:22">
      <c r="Q42" s="30" t="s">
        <v>596</v>
      </c>
      <c r="R42" s="57">
        <v>45.856063361215497</v>
      </c>
      <c r="S42" s="25"/>
      <c r="T42" s="25"/>
      <c r="U42" s="25"/>
    </row>
    <row r="43" spans="14:22">
      <c r="N43" s="35"/>
      <c r="Q43" s="30" t="s">
        <v>601</v>
      </c>
      <c r="R43" s="57">
        <v>-26.146667840478916</v>
      </c>
      <c r="S43" s="25"/>
      <c r="T43" s="25"/>
      <c r="U43" s="25"/>
    </row>
    <row r="44" spans="14:22">
      <c r="Q44" s="30" t="s">
        <v>603</v>
      </c>
      <c r="R44" s="57">
        <v>-22.388527544863255</v>
      </c>
      <c r="S44" s="25"/>
      <c r="T44" s="25"/>
      <c r="U44" s="25"/>
    </row>
    <row r="45" spans="14:22">
      <c r="Q45" s="30" t="s">
        <v>611</v>
      </c>
      <c r="R45" s="57">
        <v>-21.188063651241336</v>
      </c>
      <c r="S45" s="25"/>
      <c r="T45" s="25"/>
      <c r="U45" s="25"/>
    </row>
    <row r="46" spans="14:22">
      <c r="Q46" s="30" t="s">
        <v>630</v>
      </c>
      <c r="R46" s="57">
        <v>-29.079475610189366</v>
      </c>
      <c r="S46" s="25"/>
      <c r="T46" s="25"/>
      <c r="U46" s="25"/>
    </row>
    <row r="47" spans="14:22">
      <c r="Q47" s="30" t="s">
        <v>639</v>
      </c>
      <c r="R47" s="57">
        <v>-20.755711113620112</v>
      </c>
      <c r="S47" s="25"/>
      <c r="T47" s="25"/>
      <c r="U47" s="25"/>
    </row>
    <row r="48" spans="14:22">
      <c r="Q48" s="30" t="s">
        <v>648</v>
      </c>
      <c r="R48" s="57">
        <v>-20.42582655357452</v>
      </c>
      <c r="S48" s="25"/>
      <c r="T48" s="25"/>
      <c r="U48" s="25"/>
    </row>
    <row r="49" spans="17:21">
      <c r="Q49" s="30" t="s">
        <v>657</v>
      </c>
      <c r="R49" s="57">
        <f>((S6-R6)/R6)*100</f>
        <v>-3.3053030671268169</v>
      </c>
      <c r="S49" s="25"/>
      <c r="T49" s="25"/>
      <c r="U49" s="25"/>
    </row>
    <row r="50" spans="17:21">
      <c r="Q50" s="30" t="s">
        <v>672</v>
      </c>
      <c r="R50" s="57">
        <f t="shared" ref="R50:R60" si="0">((S7-R7)/R7)*100</f>
        <v>-7.4484389368130666</v>
      </c>
      <c r="S50" s="25"/>
      <c r="T50" s="25"/>
      <c r="U50" s="25"/>
    </row>
    <row r="51" spans="17:21">
      <c r="Q51" s="30" t="s">
        <v>690</v>
      </c>
      <c r="R51" s="57">
        <f t="shared" si="0"/>
        <v>-39.506953223767383</v>
      </c>
      <c r="S51" s="25"/>
      <c r="T51" s="25"/>
      <c r="U51" s="25"/>
    </row>
    <row r="52" spans="17:21">
      <c r="Q52" s="30" t="s">
        <v>699</v>
      </c>
      <c r="R52" s="57">
        <f t="shared" si="0"/>
        <v>0.32463078963010383</v>
      </c>
      <c r="S52" s="25"/>
      <c r="T52" s="25"/>
      <c r="U52" s="25"/>
    </row>
    <row r="53" spans="17:21">
      <c r="Q53" s="30" t="s">
        <v>705</v>
      </c>
      <c r="R53" s="57">
        <f t="shared" si="0"/>
        <v>8.5748345459777209</v>
      </c>
      <c r="S53" s="25"/>
      <c r="T53" s="25"/>
      <c r="U53" s="25"/>
    </row>
    <row r="54" spans="17:21">
      <c r="Q54" s="30" t="s">
        <v>708</v>
      </c>
      <c r="R54" s="57">
        <f t="shared" si="0"/>
        <v>-27.724061504363483</v>
      </c>
      <c r="S54" s="25"/>
      <c r="T54" s="25"/>
      <c r="U54" s="25"/>
    </row>
    <row r="55" spans="17:21">
      <c r="Q55" s="30" t="s">
        <v>983</v>
      </c>
      <c r="R55" s="57">
        <f t="shared" si="0"/>
        <v>6.2939563714387887</v>
      </c>
      <c r="S55" s="25"/>
      <c r="T55" s="25"/>
      <c r="U55" s="25"/>
    </row>
    <row r="56" spans="17:21">
      <c r="Q56" s="30" t="s">
        <v>989</v>
      </c>
      <c r="R56" s="57">
        <f t="shared" si="0"/>
        <v>3.877221324717286</v>
      </c>
      <c r="S56" s="25"/>
      <c r="T56" s="25"/>
      <c r="U56" s="25"/>
    </row>
    <row r="57" spans="17:21">
      <c r="Q57" s="30" t="s">
        <v>1003</v>
      </c>
      <c r="R57" s="57">
        <f t="shared" si="0"/>
        <v>-2.5890253600777591</v>
      </c>
      <c r="S57" s="25"/>
      <c r="T57" s="25"/>
      <c r="U57" s="25"/>
    </row>
    <row r="58" spans="17:21">
      <c r="Q58" s="30" t="s">
        <v>1013</v>
      </c>
      <c r="R58" s="57">
        <f t="shared" si="0"/>
        <v>12.128043282236249</v>
      </c>
      <c r="S58" s="25"/>
      <c r="T58" s="25"/>
      <c r="U58" s="25"/>
    </row>
    <row r="59" spans="17:21">
      <c r="Q59" s="30" t="s">
        <v>1025</v>
      </c>
      <c r="R59" s="57">
        <f t="shared" si="0"/>
        <v>21.523556231003038</v>
      </c>
      <c r="S59" s="25"/>
      <c r="T59" s="25"/>
      <c r="U59" s="25"/>
    </row>
    <row r="60" spans="17:21">
      <c r="Q60" s="30" t="s">
        <v>1040</v>
      </c>
      <c r="R60" s="57">
        <f t="shared" si="0"/>
        <v>28.620114567471539</v>
      </c>
      <c r="S60" s="25"/>
      <c r="T60" s="25"/>
      <c r="U60" s="25"/>
    </row>
    <row r="61" spans="17:21">
      <c r="Q61" s="30" t="s">
        <v>1066</v>
      </c>
      <c r="R61" s="57">
        <f t="shared" ref="R61:R66" si="1">((T6-S6)/S6)*100</f>
        <v>-26.602322424973607</v>
      </c>
      <c r="S61" s="25"/>
      <c r="T61" s="25"/>
      <c r="U61" s="25"/>
    </row>
    <row r="62" spans="17:21">
      <c r="Q62" s="223" t="s">
        <v>1103</v>
      </c>
      <c r="R62" s="57">
        <f t="shared" si="1"/>
        <v>-12.746025738077213</v>
      </c>
      <c r="S62" s="25"/>
      <c r="T62" s="25"/>
      <c r="U62" s="25"/>
    </row>
    <row r="63" spans="17:21">
      <c r="Q63" s="223" t="s">
        <v>1136</v>
      </c>
      <c r="R63" s="57">
        <f t="shared" si="1"/>
        <v>5.4022988505747129</v>
      </c>
      <c r="S63" s="25"/>
      <c r="T63" s="25"/>
      <c r="U63" s="25"/>
    </row>
    <row r="64" spans="17:21">
      <c r="Q64" s="223" t="s">
        <v>1160</v>
      </c>
      <c r="R64" s="57">
        <f t="shared" si="1"/>
        <v>-6.179928903472792</v>
      </c>
      <c r="S64" s="25"/>
      <c r="T64" s="25"/>
      <c r="U64" s="25"/>
    </row>
    <row r="65" spans="1:21">
      <c r="A65" s="95"/>
      <c r="Q65" s="223" t="s">
        <v>1186</v>
      </c>
      <c r="R65" s="57">
        <f t="shared" si="1"/>
        <v>7.8635520387687885</v>
      </c>
      <c r="S65" s="25"/>
      <c r="T65" s="25"/>
      <c r="U65" s="25"/>
    </row>
    <row r="66" spans="1:21">
      <c r="Q66" s="223" t="s">
        <v>1214</v>
      </c>
      <c r="R66" s="57">
        <f t="shared" si="1"/>
        <v>8.4138301134621294</v>
      </c>
      <c r="S66" s="25"/>
      <c r="T66" s="25"/>
      <c r="U66" s="25"/>
    </row>
    <row r="67" spans="1:21">
      <c r="A67" s="95" t="s">
        <v>677</v>
      </c>
      <c r="Q67" s="223" t="s">
        <v>1221</v>
      </c>
      <c r="R67" s="57">
        <f t="shared" ref="R67:R72" si="2">((T12-S12)/S12)*100</f>
        <v>-2.9942805876415837</v>
      </c>
      <c r="S67" s="25"/>
      <c r="T67" s="25"/>
      <c r="U67" s="25"/>
    </row>
    <row r="68" spans="1:21">
      <c r="Q68" s="223" t="s">
        <v>1233</v>
      </c>
      <c r="R68" s="57">
        <f t="shared" si="2"/>
        <v>16.013802488335926</v>
      </c>
      <c r="S68" s="25"/>
      <c r="T68" s="25"/>
      <c r="U68" s="25"/>
    </row>
    <row r="69" spans="1:21">
      <c r="Q69" s="223" t="s">
        <v>1255</v>
      </c>
      <c r="R69" s="57">
        <f t="shared" si="2"/>
        <v>27.607946298984036</v>
      </c>
      <c r="S69" s="25"/>
      <c r="T69" s="25"/>
      <c r="U69" s="25"/>
    </row>
    <row r="70" spans="1:21">
      <c r="Q70" s="223" t="s">
        <v>1283</v>
      </c>
      <c r="R70" s="57">
        <f t="shared" si="2"/>
        <v>11.76339185989367</v>
      </c>
      <c r="S70" s="25"/>
      <c r="T70" s="25"/>
      <c r="U70" s="25"/>
    </row>
    <row r="71" spans="1:21">
      <c r="Q71" s="223" t="s">
        <v>1305</v>
      </c>
      <c r="R71" s="57">
        <f t="shared" si="2"/>
        <v>-0.71127090823823669</v>
      </c>
      <c r="S71" s="25"/>
      <c r="T71" s="25"/>
      <c r="U71" s="25"/>
    </row>
    <row r="72" spans="1:21">
      <c r="Q72" s="15" t="s">
        <v>1323</v>
      </c>
      <c r="R72" s="57">
        <f t="shared" si="2"/>
        <v>-17.482241515390687</v>
      </c>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pageSetUpPr fitToPage="1"/>
  </sheetPr>
  <dimension ref="A2:Q56"/>
  <sheetViews>
    <sheetView workbookViewId="0">
      <pane ySplit="6" topLeftCell="A7" activePane="bottomLeft" state="frozen"/>
      <selection pane="bottomLeft" activeCell="T25" sqref="T25"/>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524</v>
      </c>
      <c r="E2" s="56"/>
      <c r="F2" s="56"/>
      <c r="G2" s="56"/>
      <c r="H2" s="56"/>
      <c r="I2" s="56"/>
      <c r="J2" s="56"/>
      <c r="K2" s="56"/>
      <c r="L2" s="56"/>
    </row>
    <row r="3" spans="1:17" ht="20.25" customHeight="1"/>
    <row r="4" spans="1:17">
      <c r="A4" s="55" t="s">
        <v>523</v>
      </c>
      <c r="B4" s="25"/>
      <c r="C4" s="25"/>
      <c r="D4" s="25"/>
      <c r="E4" s="80"/>
      <c r="F4" s="80"/>
      <c r="G4" s="260" t="s">
        <v>452</v>
      </c>
      <c r="H4" s="260"/>
      <c r="I4" s="260"/>
      <c r="J4" s="260"/>
      <c r="K4" s="260"/>
      <c r="L4" s="260"/>
      <c r="M4" s="260"/>
      <c r="N4" s="260"/>
      <c r="O4" s="260"/>
      <c r="P4" s="25"/>
      <c r="Q4" s="25"/>
    </row>
    <row r="5" spans="1:17">
      <c r="A5" s="103" t="s">
        <v>463</v>
      </c>
      <c r="B5" s="103" t="s">
        <v>522</v>
      </c>
      <c r="C5" s="212" t="s">
        <v>534</v>
      </c>
      <c r="D5" s="212" t="s">
        <v>2</v>
      </c>
      <c r="E5" s="212" t="s">
        <v>3</v>
      </c>
      <c r="F5" s="212" t="s">
        <v>521</v>
      </c>
      <c r="G5" s="212" t="s">
        <v>520</v>
      </c>
      <c r="H5" s="212" t="s">
        <v>6</v>
      </c>
      <c r="I5" s="212" t="s">
        <v>519</v>
      </c>
      <c r="J5" s="212" t="s">
        <v>518</v>
      </c>
      <c r="K5" s="212" t="s">
        <v>9</v>
      </c>
      <c r="L5" s="212" t="s">
        <v>10</v>
      </c>
      <c r="M5" s="212" t="s">
        <v>11</v>
      </c>
      <c r="N5" s="212" t="s">
        <v>12</v>
      </c>
      <c r="O5" s="212" t="s">
        <v>13</v>
      </c>
      <c r="P5" s="25"/>
      <c r="Q5" s="25"/>
    </row>
    <row r="6" spans="1:17" hidden="1">
      <c r="A6" s="145"/>
      <c r="B6" s="145"/>
      <c r="C6" s="145" t="s">
        <v>517</v>
      </c>
      <c r="D6" s="145" t="s">
        <v>516</v>
      </c>
      <c r="E6" s="145" t="s">
        <v>515</v>
      </c>
      <c r="F6" s="145" t="s">
        <v>514</v>
      </c>
      <c r="G6" s="145" t="s">
        <v>513</v>
      </c>
      <c r="H6" s="145" t="s">
        <v>512</v>
      </c>
      <c r="I6" s="145" t="s">
        <v>511</v>
      </c>
      <c r="J6" s="145" t="s">
        <v>510</v>
      </c>
      <c r="K6" s="145" t="s">
        <v>509</v>
      </c>
      <c r="L6" s="145" t="s">
        <v>508</v>
      </c>
      <c r="M6" s="145" t="s">
        <v>507</v>
      </c>
      <c r="N6" s="145" t="s">
        <v>506</v>
      </c>
      <c r="O6" s="145" t="s">
        <v>505</v>
      </c>
      <c r="P6" s="25"/>
      <c r="Q6" s="25"/>
    </row>
    <row r="7" spans="1:17">
      <c r="A7" s="164" t="s">
        <v>704</v>
      </c>
      <c r="B7" s="145"/>
      <c r="C7" s="146"/>
      <c r="D7" s="145"/>
      <c r="E7" s="145"/>
      <c r="F7" s="145"/>
      <c r="G7" s="145"/>
      <c r="H7" s="145"/>
      <c r="I7" s="145"/>
      <c r="J7" s="145"/>
      <c r="K7" s="145"/>
      <c r="L7" s="145"/>
      <c r="M7" s="145"/>
      <c r="N7" s="145"/>
      <c r="O7" s="145"/>
      <c r="P7" s="25"/>
      <c r="Q7" s="25"/>
    </row>
    <row r="8" spans="1:17">
      <c r="A8" s="145"/>
      <c r="B8" s="164">
        <v>2022</v>
      </c>
      <c r="C8" s="146">
        <v>1</v>
      </c>
      <c r="D8" s="145">
        <v>0</v>
      </c>
      <c r="E8" s="145">
        <v>0</v>
      </c>
      <c r="F8" s="145">
        <v>0</v>
      </c>
      <c r="G8" s="145">
        <v>0</v>
      </c>
      <c r="H8" s="145">
        <v>1</v>
      </c>
      <c r="I8" s="145">
        <v>0</v>
      </c>
      <c r="J8" s="145">
        <v>0</v>
      </c>
      <c r="K8" s="145">
        <v>0</v>
      </c>
      <c r="L8" s="145">
        <v>0</v>
      </c>
      <c r="M8" s="145">
        <v>0</v>
      </c>
      <c r="N8" s="145">
        <v>0</v>
      </c>
      <c r="O8" s="145">
        <v>0</v>
      </c>
      <c r="P8" s="25"/>
      <c r="Q8" s="25"/>
    </row>
    <row r="9" spans="1:17">
      <c r="A9" s="164"/>
      <c r="B9" s="145"/>
      <c r="C9" s="146"/>
      <c r="D9" s="145"/>
      <c r="E9" s="145"/>
      <c r="F9" s="145"/>
      <c r="G9" s="145"/>
      <c r="H9" s="145"/>
      <c r="I9" s="145"/>
      <c r="J9" s="145"/>
      <c r="K9" s="145"/>
      <c r="L9" s="145"/>
      <c r="M9" s="145"/>
      <c r="N9" s="145"/>
      <c r="O9" s="145"/>
      <c r="P9" s="25"/>
      <c r="Q9" s="25"/>
    </row>
    <row r="10" spans="1:17">
      <c r="A10" s="164" t="s">
        <v>269</v>
      </c>
      <c r="B10" s="145"/>
      <c r="C10" s="146"/>
      <c r="D10" s="145"/>
      <c r="E10" s="145"/>
      <c r="F10" s="145"/>
      <c r="G10" s="145"/>
      <c r="H10" s="145"/>
      <c r="I10" s="145"/>
      <c r="J10" s="145"/>
      <c r="K10" s="145"/>
      <c r="L10" s="145"/>
      <c r="M10" s="145"/>
      <c r="N10" s="145"/>
      <c r="O10" s="145"/>
      <c r="P10" s="25"/>
      <c r="Q10" s="25"/>
    </row>
    <row r="11" spans="1:17">
      <c r="A11" s="145"/>
      <c r="B11" s="164">
        <v>2023</v>
      </c>
      <c r="C11" s="146">
        <v>5</v>
      </c>
      <c r="D11" s="145">
        <v>0</v>
      </c>
      <c r="E11" s="145">
        <v>0</v>
      </c>
      <c r="F11" s="145">
        <v>0</v>
      </c>
      <c r="G11" s="145">
        <v>0</v>
      </c>
      <c r="H11" s="145">
        <v>1</v>
      </c>
      <c r="I11" s="145">
        <v>0</v>
      </c>
      <c r="J11" s="145">
        <v>0</v>
      </c>
      <c r="K11" s="145">
        <v>3</v>
      </c>
      <c r="L11" s="145">
        <v>1</v>
      </c>
      <c r="M11" s="145">
        <v>0</v>
      </c>
      <c r="N11" s="145">
        <v>0</v>
      </c>
      <c r="O11" s="145">
        <v>0</v>
      </c>
      <c r="P11" s="25"/>
      <c r="Q11" s="25"/>
    </row>
    <row r="12" spans="1:17">
      <c r="A12" s="145"/>
      <c r="B12" s="164">
        <v>2022</v>
      </c>
      <c r="C12" s="146">
        <v>2</v>
      </c>
      <c r="D12" s="145">
        <v>0</v>
      </c>
      <c r="E12" s="145">
        <v>1</v>
      </c>
      <c r="F12" s="145">
        <v>0</v>
      </c>
      <c r="G12" s="145">
        <v>1</v>
      </c>
      <c r="H12" s="145">
        <v>0</v>
      </c>
      <c r="I12" s="145">
        <v>0</v>
      </c>
      <c r="J12" s="145">
        <v>0</v>
      </c>
      <c r="K12" s="145">
        <v>0</v>
      </c>
      <c r="L12" s="145">
        <v>0</v>
      </c>
      <c r="M12" s="145">
        <v>0</v>
      </c>
      <c r="N12" s="145">
        <v>0</v>
      </c>
      <c r="O12" s="145">
        <v>0</v>
      </c>
      <c r="P12" s="25"/>
      <c r="Q12" s="25"/>
    </row>
    <row r="13" spans="1:17">
      <c r="A13" s="164"/>
      <c r="B13" s="145"/>
      <c r="C13" s="146"/>
      <c r="D13" s="145"/>
      <c r="E13" s="145"/>
      <c r="F13" s="145"/>
      <c r="G13" s="145"/>
      <c r="H13" s="145"/>
      <c r="I13" s="145"/>
      <c r="J13" s="145"/>
      <c r="K13" s="145"/>
      <c r="L13" s="145"/>
      <c r="M13" s="145"/>
      <c r="N13" s="145"/>
      <c r="O13" s="145"/>
      <c r="P13" s="25"/>
      <c r="Q13" s="25"/>
    </row>
    <row r="14" spans="1:17">
      <c r="A14" s="164" t="s">
        <v>276</v>
      </c>
      <c r="B14" s="145"/>
      <c r="C14" s="146"/>
      <c r="D14" s="145"/>
      <c r="E14" s="145"/>
      <c r="F14" s="145"/>
      <c r="G14" s="145"/>
      <c r="H14" s="145"/>
      <c r="I14" s="145"/>
      <c r="J14" s="145"/>
      <c r="K14" s="145"/>
      <c r="L14" s="145"/>
      <c r="M14" s="145"/>
      <c r="N14" s="145"/>
      <c r="O14" s="145"/>
      <c r="P14" s="25"/>
      <c r="Q14" s="25"/>
    </row>
    <row r="15" spans="1:17">
      <c r="A15" s="145"/>
      <c r="B15" s="164">
        <v>2022</v>
      </c>
      <c r="C15" s="146">
        <v>1</v>
      </c>
      <c r="D15" s="145">
        <v>0</v>
      </c>
      <c r="E15" s="145">
        <v>0</v>
      </c>
      <c r="F15" s="145">
        <v>0</v>
      </c>
      <c r="G15" s="145">
        <v>0</v>
      </c>
      <c r="H15" s="145">
        <v>0</v>
      </c>
      <c r="I15" s="145">
        <v>0</v>
      </c>
      <c r="J15" s="145">
        <v>0</v>
      </c>
      <c r="K15" s="145">
        <v>0</v>
      </c>
      <c r="L15" s="145">
        <v>1</v>
      </c>
      <c r="M15" s="145">
        <v>0</v>
      </c>
      <c r="N15" s="145">
        <v>0</v>
      </c>
      <c r="O15" s="145">
        <v>0</v>
      </c>
      <c r="P15" s="25"/>
      <c r="Q15" s="25"/>
    </row>
    <row r="16" spans="1:17">
      <c r="A16" s="164"/>
      <c r="B16" s="145"/>
      <c r="C16" s="146"/>
      <c r="D16" s="145"/>
      <c r="E16" s="145"/>
      <c r="F16" s="145"/>
      <c r="G16" s="145"/>
      <c r="H16" s="145"/>
      <c r="I16" s="145"/>
      <c r="J16" s="145"/>
      <c r="K16" s="145"/>
      <c r="L16" s="145"/>
      <c r="M16" s="145"/>
      <c r="N16" s="145"/>
      <c r="O16" s="145"/>
      <c r="P16" s="25"/>
      <c r="Q16" s="25"/>
    </row>
    <row r="17" spans="1:17">
      <c r="A17" s="164" t="s">
        <v>378</v>
      </c>
      <c r="B17" s="145"/>
      <c r="C17" s="146"/>
      <c r="D17" s="145"/>
      <c r="E17" s="145"/>
      <c r="F17" s="145"/>
      <c r="G17" s="145"/>
      <c r="H17" s="145"/>
      <c r="I17" s="145"/>
      <c r="J17" s="145"/>
      <c r="K17" s="145"/>
      <c r="L17" s="145"/>
      <c r="M17" s="145"/>
      <c r="N17" s="145"/>
      <c r="O17" s="145"/>
      <c r="P17" s="25"/>
      <c r="Q17" s="25"/>
    </row>
    <row r="18" spans="1:17">
      <c r="A18" s="145"/>
      <c r="B18" s="164">
        <v>2023</v>
      </c>
      <c r="C18" s="146">
        <v>16</v>
      </c>
      <c r="D18" s="145">
        <v>0</v>
      </c>
      <c r="E18" s="145">
        <v>2</v>
      </c>
      <c r="F18" s="145">
        <v>0</v>
      </c>
      <c r="G18" s="145">
        <v>8</v>
      </c>
      <c r="H18" s="145">
        <v>1</v>
      </c>
      <c r="I18" s="145">
        <v>0</v>
      </c>
      <c r="J18" s="145">
        <v>3</v>
      </c>
      <c r="K18" s="145">
        <v>0</v>
      </c>
      <c r="L18" s="145">
        <v>1</v>
      </c>
      <c r="M18" s="145">
        <v>0</v>
      </c>
      <c r="N18" s="145">
        <v>0</v>
      </c>
      <c r="O18" s="145">
        <v>1</v>
      </c>
      <c r="P18" s="25"/>
      <c r="Q18" s="25"/>
    </row>
    <row r="19" spans="1:17">
      <c r="A19" s="145"/>
      <c r="B19" s="164">
        <v>2022</v>
      </c>
      <c r="C19" s="146">
        <v>10</v>
      </c>
      <c r="D19" s="145">
        <v>1</v>
      </c>
      <c r="E19" s="145">
        <v>0</v>
      </c>
      <c r="F19" s="145">
        <v>2</v>
      </c>
      <c r="G19" s="145">
        <v>1</v>
      </c>
      <c r="H19" s="145">
        <v>1</v>
      </c>
      <c r="I19" s="145">
        <v>1</v>
      </c>
      <c r="J19" s="145">
        <v>1</v>
      </c>
      <c r="K19" s="145">
        <v>0</v>
      </c>
      <c r="L19" s="145">
        <v>0</v>
      </c>
      <c r="M19" s="145">
        <v>3</v>
      </c>
      <c r="N19" s="145">
        <v>0</v>
      </c>
      <c r="O19" s="145">
        <v>0</v>
      </c>
      <c r="P19" s="25"/>
      <c r="Q19" s="25"/>
    </row>
    <row r="20" spans="1:17">
      <c r="A20" s="164"/>
      <c r="B20" s="145"/>
      <c r="C20" s="146"/>
      <c r="D20" s="145"/>
      <c r="E20" s="145"/>
      <c r="F20" s="145"/>
      <c r="G20" s="145"/>
      <c r="H20" s="145"/>
      <c r="I20" s="145"/>
      <c r="J20" s="145"/>
      <c r="K20" s="145"/>
      <c r="L20" s="145"/>
      <c r="M20" s="145"/>
      <c r="N20" s="145"/>
      <c r="O20" s="145"/>
      <c r="P20" s="25"/>
      <c r="Q20" s="25"/>
    </row>
    <row r="21" spans="1:17">
      <c r="A21" s="164" t="s">
        <v>468</v>
      </c>
      <c r="B21" s="145"/>
      <c r="C21" s="146"/>
      <c r="D21" s="145"/>
      <c r="E21" s="145"/>
      <c r="F21" s="145"/>
      <c r="G21" s="145"/>
      <c r="H21" s="145"/>
      <c r="I21" s="145"/>
      <c r="J21" s="145"/>
      <c r="K21" s="145"/>
      <c r="L21" s="145"/>
      <c r="M21" s="145"/>
      <c r="N21" s="145"/>
      <c r="O21" s="145"/>
      <c r="P21" s="25"/>
      <c r="Q21" s="25"/>
    </row>
    <row r="22" spans="1:17">
      <c r="A22" s="145"/>
      <c r="B22" s="164">
        <v>2023</v>
      </c>
      <c r="C22" s="146">
        <v>16</v>
      </c>
      <c r="D22" s="145">
        <v>2</v>
      </c>
      <c r="E22" s="145">
        <v>4</v>
      </c>
      <c r="F22" s="145">
        <v>1</v>
      </c>
      <c r="G22" s="145">
        <v>1</v>
      </c>
      <c r="H22" s="145">
        <v>3</v>
      </c>
      <c r="I22" s="145">
        <v>1</v>
      </c>
      <c r="J22" s="145">
        <v>0</v>
      </c>
      <c r="K22" s="145">
        <v>1</v>
      </c>
      <c r="L22" s="145">
        <v>0</v>
      </c>
      <c r="M22" s="145">
        <v>0</v>
      </c>
      <c r="N22" s="145">
        <v>1</v>
      </c>
      <c r="O22" s="145">
        <v>2</v>
      </c>
      <c r="P22" s="25"/>
      <c r="Q22" s="25"/>
    </row>
    <row r="23" spans="1:17">
      <c r="A23" s="145"/>
      <c r="B23" s="164">
        <v>2022</v>
      </c>
      <c r="C23" s="146">
        <v>7</v>
      </c>
      <c r="D23" s="145">
        <v>0</v>
      </c>
      <c r="E23" s="145">
        <v>0</v>
      </c>
      <c r="F23" s="145">
        <v>0</v>
      </c>
      <c r="G23" s="145">
        <v>1</v>
      </c>
      <c r="H23" s="145">
        <v>0</v>
      </c>
      <c r="I23" s="145">
        <v>0</v>
      </c>
      <c r="J23" s="145">
        <v>0</v>
      </c>
      <c r="K23" s="145">
        <v>0</v>
      </c>
      <c r="L23" s="145">
        <v>0</v>
      </c>
      <c r="M23" s="145">
        <v>0</v>
      </c>
      <c r="N23" s="145">
        <v>6</v>
      </c>
      <c r="O23" s="145">
        <v>5</v>
      </c>
      <c r="P23" s="25"/>
      <c r="Q23" s="25"/>
    </row>
    <row r="24" spans="1:17">
      <c r="A24" s="164"/>
      <c r="B24" s="145"/>
      <c r="C24" s="146"/>
      <c r="D24" s="145"/>
      <c r="E24" s="145"/>
      <c r="F24" s="145"/>
      <c r="G24" s="145"/>
      <c r="H24" s="145"/>
      <c r="I24" s="145"/>
      <c r="J24" s="145"/>
      <c r="K24" s="145"/>
      <c r="L24" s="145"/>
      <c r="M24" s="145"/>
      <c r="N24" s="145"/>
      <c r="O24" s="145"/>
      <c r="P24" s="25"/>
      <c r="Q24" s="25"/>
    </row>
    <row r="25" spans="1:17">
      <c r="A25" s="164" t="s">
        <v>503</v>
      </c>
      <c r="B25" s="145"/>
      <c r="C25" s="146"/>
      <c r="D25" s="145"/>
      <c r="E25" s="145"/>
      <c r="F25" s="145"/>
      <c r="G25" s="145"/>
      <c r="H25" s="145"/>
      <c r="I25" s="145"/>
      <c r="J25" s="145"/>
      <c r="K25" s="145"/>
      <c r="L25" s="145"/>
      <c r="M25" s="145"/>
      <c r="N25" s="145"/>
      <c r="O25" s="145"/>
      <c r="P25" s="25"/>
      <c r="Q25" s="25"/>
    </row>
    <row r="26" spans="1:17">
      <c r="A26" s="145"/>
      <c r="B26" s="164">
        <v>2023</v>
      </c>
      <c r="C26" s="146">
        <v>6</v>
      </c>
      <c r="D26" s="145">
        <v>0</v>
      </c>
      <c r="E26" s="145">
        <v>0</v>
      </c>
      <c r="F26" s="145">
        <v>3</v>
      </c>
      <c r="G26" s="145">
        <v>3</v>
      </c>
      <c r="H26" s="145">
        <v>0</v>
      </c>
      <c r="I26" s="145">
        <v>0</v>
      </c>
      <c r="J26" s="145">
        <v>0</v>
      </c>
      <c r="K26" s="145">
        <v>0</v>
      </c>
      <c r="L26" s="145">
        <v>0</v>
      </c>
      <c r="M26" s="145">
        <v>0</v>
      </c>
      <c r="N26" s="145">
        <v>0</v>
      </c>
      <c r="O26" s="145">
        <v>0</v>
      </c>
      <c r="P26" s="25"/>
      <c r="Q26" s="25"/>
    </row>
    <row r="27" spans="1:17">
      <c r="A27" s="145"/>
      <c r="B27" s="164">
        <v>2022</v>
      </c>
      <c r="C27" s="146">
        <v>3</v>
      </c>
      <c r="D27" s="145">
        <v>1</v>
      </c>
      <c r="E27" s="145">
        <v>0</v>
      </c>
      <c r="F27" s="145">
        <v>0</v>
      </c>
      <c r="G27" s="145">
        <v>0</v>
      </c>
      <c r="H27" s="145">
        <v>1</v>
      </c>
      <c r="I27" s="145">
        <v>0</v>
      </c>
      <c r="J27" s="145">
        <v>0</v>
      </c>
      <c r="K27" s="145">
        <v>0</v>
      </c>
      <c r="L27" s="145">
        <v>1</v>
      </c>
      <c r="M27" s="145">
        <v>0</v>
      </c>
      <c r="N27" s="145">
        <v>0</v>
      </c>
      <c r="O27" s="145">
        <v>0</v>
      </c>
      <c r="P27" s="25"/>
      <c r="Q27" s="25"/>
    </row>
    <row r="28" spans="1:17">
      <c r="A28" s="164"/>
      <c r="B28" s="145"/>
      <c r="C28" s="146"/>
      <c r="D28" s="145"/>
      <c r="E28" s="145"/>
      <c r="F28" s="145"/>
      <c r="G28" s="145"/>
      <c r="H28" s="145"/>
      <c r="I28" s="145"/>
      <c r="J28" s="145"/>
      <c r="K28" s="145"/>
      <c r="L28" s="145"/>
      <c r="M28" s="145"/>
      <c r="N28" s="145"/>
      <c r="O28" s="145"/>
      <c r="P28" s="25"/>
      <c r="Q28" s="25"/>
    </row>
    <row r="29" spans="1:17">
      <c r="A29" s="164" t="s">
        <v>294</v>
      </c>
      <c r="B29" s="145"/>
      <c r="C29" s="146"/>
      <c r="D29" s="145"/>
      <c r="E29" s="145"/>
      <c r="F29" s="145"/>
      <c r="G29" s="145"/>
      <c r="H29" s="145"/>
      <c r="I29" s="145"/>
      <c r="J29" s="145"/>
      <c r="K29" s="145"/>
      <c r="L29" s="145"/>
      <c r="M29" s="145"/>
      <c r="N29" s="145"/>
      <c r="O29" s="145"/>
      <c r="P29" s="25"/>
      <c r="Q29" s="25"/>
    </row>
    <row r="30" spans="1:17">
      <c r="A30" s="145"/>
      <c r="B30" s="164">
        <v>2023</v>
      </c>
      <c r="C30" s="146">
        <v>37</v>
      </c>
      <c r="D30" s="145">
        <v>5</v>
      </c>
      <c r="E30" s="145">
        <v>14</v>
      </c>
      <c r="F30" s="145">
        <v>5</v>
      </c>
      <c r="G30" s="145">
        <v>9</v>
      </c>
      <c r="H30" s="145">
        <v>3</v>
      </c>
      <c r="I30" s="145">
        <v>0</v>
      </c>
      <c r="J30" s="145">
        <v>1</v>
      </c>
      <c r="K30" s="145">
        <v>1</v>
      </c>
      <c r="L30" s="145">
        <v>1</v>
      </c>
      <c r="M30" s="145">
        <v>0</v>
      </c>
      <c r="N30" s="145">
        <v>2</v>
      </c>
      <c r="O30" s="145">
        <v>0</v>
      </c>
      <c r="P30" s="25"/>
      <c r="Q30" s="25"/>
    </row>
    <row r="31" spans="1:17">
      <c r="A31" s="145"/>
      <c r="B31" s="164">
        <v>2022</v>
      </c>
      <c r="C31" s="146">
        <v>57</v>
      </c>
      <c r="D31" s="145">
        <v>4</v>
      </c>
      <c r="E31" s="145">
        <v>6</v>
      </c>
      <c r="F31" s="145">
        <v>3</v>
      </c>
      <c r="G31" s="145">
        <v>14</v>
      </c>
      <c r="H31" s="145">
        <v>8</v>
      </c>
      <c r="I31" s="145">
        <v>5</v>
      </c>
      <c r="J31" s="145">
        <v>2</v>
      </c>
      <c r="K31" s="145">
        <v>8</v>
      </c>
      <c r="L31" s="145">
        <v>0</v>
      </c>
      <c r="M31" s="145">
        <v>3</v>
      </c>
      <c r="N31" s="145">
        <v>4</v>
      </c>
      <c r="O31" s="145">
        <v>8</v>
      </c>
      <c r="P31" s="25"/>
      <c r="Q31" s="25"/>
    </row>
    <row r="32" spans="1:17">
      <c r="A32" s="164"/>
      <c r="B32" s="145"/>
      <c r="C32" s="146"/>
      <c r="D32" s="145"/>
      <c r="E32" s="145"/>
      <c r="F32" s="145"/>
      <c r="G32" s="145"/>
      <c r="H32" s="145"/>
      <c r="I32" s="145"/>
      <c r="J32" s="145"/>
      <c r="K32" s="145"/>
      <c r="L32" s="145"/>
      <c r="M32" s="145"/>
      <c r="N32" s="145"/>
      <c r="O32" s="145"/>
      <c r="P32" s="25"/>
      <c r="Q32" s="25"/>
    </row>
    <row r="33" spans="1:17">
      <c r="A33" s="164" t="s">
        <v>295</v>
      </c>
      <c r="B33" s="145"/>
      <c r="C33" s="146"/>
      <c r="D33" s="145"/>
      <c r="E33" s="145"/>
      <c r="F33" s="145"/>
      <c r="G33" s="145"/>
      <c r="H33" s="145"/>
      <c r="I33" s="145"/>
      <c r="J33" s="145"/>
      <c r="K33" s="145"/>
      <c r="L33" s="145"/>
      <c r="M33" s="145"/>
      <c r="N33" s="145"/>
      <c r="O33" s="145"/>
      <c r="P33" s="25"/>
      <c r="Q33" s="25"/>
    </row>
    <row r="34" spans="1:17">
      <c r="A34" s="145"/>
      <c r="B34" s="164">
        <v>2023</v>
      </c>
      <c r="C34" s="146">
        <v>6</v>
      </c>
      <c r="D34" s="145">
        <v>0</v>
      </c>
      <c r="E34" s="145">
        <v>3</v>
      </c>
      <c r="F34" s="145">
        <v>1</v>
      </c>
      <c r="G34" s="145">
        <v>2</v>
      </c>
      <c r="H34" s="145">
        <v>0</v>
      </c>
      <c r="I34" s="145">
        <v>0</v>
      </c>
      <c r="J34" s="145">
        <v>0</v>
      </c>
      <c r="K34" s="145">
        <v>0</v>
      </c>
      <c r="L34" s="145">
        <v>0</v>
      </c>
      <c r="M34" s="145">
        <v>0</v>
      </c>
      <c r="N34" s="145">
        <v>0</v>
      </c>
      <c r="O34" s="145">
        <v>0</v>
      </c>
      <c r="P34" s="25"/>
      <c r="Q34" s="25"/>
    </row>
    <row r="35" spans="1:17">
      <c r="A35" s="145"/>
      <c r="B35" s="164">
        <v>2022</v>
      </c>
      <c r="C35" s="146">
        <v>8</v>
      </c>
      <c r="D35" s="145">
        <v>1</v>
      </c>
      <c r="E35" s="145">
        <v>1</v>
      </c>
      <c r="F35" s="145">
        <v>1</v>
      </c>
      <c r="G35" s="145">
        <v>0</v>
      </c>
      <c r="H35" s="145">
        <v>2</v>
      </c>
      <c r="I35" s="145">
        <v>0</v>
      </c>
      <c r="J35" s="145">
        <v>0</v>
      </c>
      <c r="K35" s="145">
        <v>1</v>
      </c>
      <c r="L35" s="145">
        <v>0</v>
      </c>
      <c r="M35" s="145">
        <v>1</v>
      </c>
      <c r="N35" s="145">
        <v>1</v>
      </c>
      <c r="O35" s="145">
        <v>1</v>
      </c>
      <c r="P35" s="25"/>
      <c r="Q35" s="25"/>
    </row>
    <row r="36" spans="1:17">
      <c r="A36" s="164"/>
      <c r="B36" s="145"/>
      <c r="C36" s="146"/>
      <c r="D36" s="145"/>
      <c r="E36" s="145"/>
      <c r="F36" s="145"/>
      <c r="G36" s="145"/>
      <c r="H36" s="145"/>
      <c r="I36" s="145"/>
      <c r="J36" s="145"/>
      <c r="K36" s="145"/>
      <c r="L36" s="145"/>
      <c r="M36" s="145"/>
      <c r="N36" s="145"/>
      <c r="O36" s="145"/>
      <c r="P36" s="25"/>
      <c r="Q36" s="25"/>
    </row>
    <row r="37" spans="1:17">
      <c r="A37" s="164" t="s">
        <v>502</v>
      </c>
      <c r="B37" s="145"/>
      <c r="C37" s="146"/>
      <c r="D37" s="145"/>
      <c r="E37" s="145"/>
      <c r="F37" s="145"/>
      <c r="G37" s="145"/>
      <c r="H37" s="145"/>
      <c r="I37" s="145"/>
      <c r="J37" s="145"/>
      <c r="K37" s="145"/>
      <c r="L37" s="145"/>
      <c r="M37" s="145"/>
      <c r="N37" s="145"/>
      <c r="O37" s="145"/>
      <c r="P37" s="25"/>
      <c r="Q37" s="25"/>
    </row>
    <row r="38" spans="1:17">
      <c r="A38" s="145"/>
      <c r="B38" s="164">
        <v>2023</v>
      </c>
      <c r="C38" s="146">
        <v>86</v>
      </c>
      <c r="D38" s="145">
        <v>7</v>
      </c>
      <c r="E38" s="145">
        <v>23</v>
      </c>
      <c r="F38" s="145">
        <v>10</v>
      </c>
      <c r="G38" s="145">
        <v>23</v>
      </c>
      <c r="H38" s="145">
        <v>8</v>
      </c>
      <c r="I38" s="145">
        <v>1</v>
      </c>
      <c r="J38" s="145">
        <v>4</v>
      </c>
      <c r="K38" s="145">
        <v>5</v>
      </c>
      <c r="L38" s="145">
        <v>3</v>
      </c>
      <c r="M38" s="145">
        <v>0</v>
      </c>
      <c r="N38" s="145">
        <v>3</v>
      </c>
      <c r="O38" s="145">
        <v>3</v>
      </c>
      <c r="P38" s="25"/>
      <c r="Q38" s="25"/>
    </row>
    <row r="39" spans="1:17">
      <c r="A39" s="145"/>
      <c r="B39" s="164">
        <v>2022</v>
      </c>
      <c r="C39" s="146">
        <v>89</v>
      </c>
      <c r="D39" s="145">
        <v>7</v>
      </c>
      <c r="E39" s="145">
        <v>8</v>
      </c>
      <c r="F39" s="145">
        <v>6</v>
      </c>
      <c r="G39" s="145">
        <v>17</v>
      </c>
      <c r="H39" s="145">
        <v>13</v>
      </c>
      <c r="I39" s="145">
        <v>6</v>
      </c>
      <c r="J39" s="145">
        <v>3</v>
      </c>
      <c r="K39" s="145">
        <v>9</v>
      </c>
      <c r="L39" s="145">
        <v>2</v>
      </c>
      <c r="M39" s="145">
        <v>7</v>
      </c>
      <c r="N39" s="145">
        <v>11</v>
      </c>
      <c r="O39" s="145">
        <v>14</v>
      </c>
      <c r="P39" s="25"/>
      <c r="Q39" s="25"/>
    </row>
    <row r="40" spans="1:17">
      <c r="A40" s="164"/>
      <c r="B40" s="145"/>
      <c r="C40" s="146"/>
      <c r="D40" s="145"/>
      <c r="E40" s="145"/>
      <c r="F40" s="145"/>
      <c r="G40" s="145"/>
      <c r="H40" s="145"/>
      <c r="I40" s="145"/>
      <c r="J40" s="145"/>
      <c r="K40" s="145"/>
      <c r="L40" s="145"/>
      <c r="M40" s="145"/>
      <c r="N40" s="145"/>
      <c r="O40" s="145"/>
      <c r="P40" s="25"/>
      <c r="Q40" s="25"/>
    </row>
    <row r="41" spans="1:17">
      <c r="P41" s="25"/>
      <c r="Q41" s="25"/>
    </row>
    <row r="42" spans="1:17">
      <c r="A42" s="25"/>
      <c r="P42" s="25"/>
      <c r="Q42" s="25"/>
    </row>
    <row r="43" spans="1:17">
      <c r="P43" s="25"/>
      <c r="Q43" s="25"/>
    </row>
    <row r="44" spans="1:17">
      <c r="P44" s="25"/>
      <c r="Q44" s="25"/>
    </row>
    <row r="45" spans="1:17">
      <c r="P45" s="25"/>
      <c r="Q45" s="25"/>
    </row>
    <row r="46" spans="1:17">
      <c r="P46" s="25"/>
      <c r="Q46" s="25"/>
    </row>
    <row r="47" spans="1:17">
      <c r="P47" s="25"/>
      <c r="Q47" s="25"/>
    </row>
    <row r="48" spans="1:17">
      <c r="P48" s="25"/>
      <c r="Q48" s="25"/>
    </row>
    <row r="49" spans="1:17">
      <c r="A49" t="s">
        <v>677</v>
      </c>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scale="8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76"/>
  <sheetViews>
    <sheetView showZeros="0" workbookViewId="0">
      <pane ySplit="7" topLeftCell="A8" activePane="bottomLeft" state="frozen"/>
      <selection activeCell="D49" sqref="D49"/>
      <selection pane="bottomLeft" activeCell="O22" sqref="O22"/>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450</v>
      </c>
      <c r="D2" s="56"/>
      <c r="E2" s="56"/>
      <c r="F2" s="56"/>
      <c r="G2" s="56"/>
    </row>
    <row r="4" spans="1:12">
      <c r="A4" s="7" t="s">
        <v>451</v>
      </c>
      <c r="B4" s="55"/>
      <c r="C4" s="64"/>
      <c r="D4" s="64"/>
      <c r="E4" s="25"/>
      <c r="F4" s="25"/>
      <c r="G4" s="25"/>
      <c r="H4" s="230" t="s">
        <v>452</v>
      </c>
      <c r="I4" s="230"/>
      <c r="J4" s="230"/>
      <c r="K4" s="230"/>
      <c r="L4" s="230"/>
    </row>
    <row r="5" spans="1:12">
      <c r="A5" s="96"/>
      <c r="B5" s="97"/>
      <c r="C5" s="233" t="s">
        <v>535</v>
      </c>
      <c r="D5" s="232"/>
      <c r="E5" s="233" t="s">
        <v>535</v>
      </c>
      <c r="F5" s="232"/>
      <c r="G5" s="234" t="s">
        <v>536</v>
      </c>
      <c r="H5" s="235"/>
      <c r="I5" s="231" t="s">
        <v>537</v>
      </c>
      <c r="J5" s="232"/>
      <c r="K5" s="231" t="s">
        <v>537</v>
      </c>
      <c r="L5" s="232"/>
    </row>
    <row r="6" spans="1:12">
      <c r="A6" s="96"/>
      <c r="B6" s="97" t="s">
        <v>453</v>
      </c>
      <c r="C6" s="98" t="str">
        <f>Innehåll!D79</f>
        <v xml:space="preserve"> 2023-12</v>
      </c>
      <c r="D6" s="98" t="str">
        <f>Innehåll!D80</f>
        <v xml:space="preserve"> 2022-12</v>
      </c>
      <c r="E6" s="98" t="str">
        <f>Innehåll!D81</f>
        <v>YTD  2023</v>
      </c>
      <c r="F6" s="98" t="str">
        <f>Innehåll!D82</f>
        <v>YTD  2022</v>
      </c>
      <c r="G6" s="99" t="str">
        <f>C6</f>
        <v xml:space="preserve"> 2023-12</v>
      </c>
      <c r="H6" s="100" t="str">
        <f>E6</f>
        <v>YTD  2023</v>
      </c>
      <c r="I6" s="98" t="str">
        <f>C6</f>
        <v xml:space="preserve"> 2023-12</v>
      </c>
      <c r="J6" s="101" t="str">
        <f>E6</f>
        <v>YTD  2023</v>
      </c>
      <c r="K6" s="102" t="str">
        <f>D6</f>
        <v xml:space="preserve"> 2022-12</v>
      </c>
      <c r="L6" s="102" t="str">
        <f>F6</f>
        <v>YTD  2022</v>
      </c>
    </row>
    <row r="7" spans="1:12" ht="1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599</v>
      </c>
      <c r="C8" s="55">
        <v>1098</v>
      </c>
      <c r="D8" s="55">
        <v>1090</v>
      </c>
      <c r="E8" s="55">
        <v>16412</v>
      </c>
      <c r="F8" s="55">
        <v>6550</v>
      </c>
      <c r="G8" s="55">
        <v>0.73</v>
      </c>
      <c r="H8" s="55">
        <v>150.56</v>
      </c>
      <c r="I8" s="55">
        <v>3.75</v>
      </c>
      <c r="J8" s="55">
        <v>5.67</v>
      </c>
      <c r="K8" s="55">
        <v>3.07</v>
      </c>
      <c r="L8" s="55">
        <v>2.27</v>
      </c>
    </row>
    <row r="9" spans="1:12">
      <c r="A9" s="55">
        <v>2</v>
      </c>
      <c r="B9" s="55" t="s">
        <v>43</v>
      </c>
      <c r="C9" s="55">
        <v>1967</v>
      </c>
      <c r="D9" s="55">
        <v>3108</v>
      </c>
      <c r="E9" s="55">
        <v>13606</v>
      </c>
      <c r="F9" s="55">
        <v>14255</v>
      </c>
      <c r="G9" s="55">
        <v>-36.71</v>
      </c>
      <c r="H9" s="55">
        <v>-4.55</v>
      </c>
      <c r="I9" s="55">
        <v>6.72</v>
      </c>
      <c r="J9" s="55">
        <v>4.7</v>
      </c>
      <c r="K9" s="55">
        <v>8.76</v>
      </c>
      <c r="L9" s="55">
        <v>4.95</v>
      </c>
    </row>
    <row r="10" spans="1:12">
      <c r="A10" s="55">
        <v>3</v>
      </c>
      <c r="B10" s="55" t="s">
        <v>39</v>
      </c>
      <c r="C10" s="55">
        <v>1907</v>
      </c>
      <c r="D10" s="55">
        <v>2010</v>
      </c>
      <c r="E10" s="55">
        <v>11632</v>
      </c>
      <c r="F10" s="55">
        <v>12016</v>
      </c>
      <c r="G10" s="55">
        <v>-5.12</v>
      </c>
      <c r="H10" s="55">
        <v>-3.2</v>
      </c>
      <c r="I10" s="55">
        <v>6.51</v>
      </c>
      <c r="J10" s="55">
        <v>4.0199999999999996</v>
      </c>
      <c r="K10" s="55">
        <v>5.67</v>
      </c>
      <c r="L10" s="55">
        <v>4.17</v>
      </c>
    </row>
    <row r="11" spans="1:12">
      <c r="A11" s="55">
        <v>4</v>
      </c>
      <c r="B11" s="55" t="s">
        <v>478</v>
      </c>
      <c r="C11" s="55">
        <v>1371</v>
      </c>
      <c r="D11" s="55">
        <v>1729</v>
      </c>
      <c r="E11" s="55">
        <v>11007</v>
      </c>
      <c r="F11" s="55">
        <v>8882</v>
      </c>
      <c r="G11" s="55">
        <v>-20.71</v>
      </c>
      <c r="H11" s="55">
        <v>23.92</v>
      </c>
      <c r="I11" s="55">
        <v>4.68</v>
      </c>
      <c r="J11" s="55">
        <v>3.8</v>
      </c>
      <c r="K11" s="55">
        <v>4.87</v>
      </c>
      <c r="L11" s="55">
        <v>3.08</v>
      </c>
    </row>
    <row r="12" spans="1:12">
      <c r="A12" s="55">
        <v>5</v>
      </c>
      <c r="B12" s="55" t="s">
        <v>566</v>
      </c>
      <c r="C12" s="55">
        <v>931</v>
      </c>
      <c r="D12" s="55">
        <v>575</v>
      </c>
      <c r="E12" s="55">
        <v>6317</v>
      </c>
      <c r="F12" s="55">
        <v>4359</v>
      </c>
      <c r="G12" s="55">
        <v>61.91</v>
      </c>
      <c r="H12" s="55">
        <v>44.92</v>
      </c>
      <c r="I12" s="55">
        <v>3.18</v>
      </c>
      <c r="J12" s="55">
        <v>2.1800000000000002</v>
      </c>
      <c r="K12" s="55">
        <v>1.62</v>
      </c>
      <c r="L12" s="55">
        <v>1.51</v>
      </c>
    </row>
    <row r="13" spans="1:12">
      <c r="A13" s="55">
        <v>6</v>
      </c>
      <c r="B13" s="55" t="s">
        <v>42</v>
      </c>
      <c r="C13" s="55">
        <v>387</v>
      </c>
      <c r="D13" s="55">
        <v>761</v>
      </c>
      <c r="E13" s="55">
        <v>6091</v>
      </c>
      <c r="F13" s="55">
        <v>8909</v>
      </c>
      <c r="G13" s="55">
        <v>-49.15</v>
      </c>
      <c r="H13" s="55">
        <v>-31.63</v>
      </c>
      <c r="I13" s="55">
        <v>1.32</v>
      </c>
      <c r="J13" s="55">
        <v>2.1</v>
      </c>
      <c r="K13" s="55">
        <v>2.15</v>
      </c>
      <c r="L13" s="55">
        <v>3.09</v>
      </c>
    </row>
    <row r="14" spans="1:12">
      <c r="A14" s="55">
        <v>7</v>
      </c>
      <c r="B14" s="55" t="s">
        <v>50</v>
      </c>
      <c r="C14" s="55">
        <v>653</v>
      </c>
      <c r="D14" s="55">
        <v>377</v>
      </c>
      <c r="E14" s="55">
        <v>5848</v>
      </c>
      <c r="F14" s="55">
        <v>6317</v>
      </c>
      <c r="G14" s="55">
        <v>73.209999999999994</v>
      </c>
      <c r="H14" s="55">
        <v>-7.42</v>
      </c>
      <c r="I14" s="55">
        <v>2.23</v>
      </c>
      <c r="J14" s="55">
        <v>2.02</v>
      </c>
      <c r="K14" s="55">
        <v>1.06</v>
      </c>
      <c r="L14" s="55">
        <v>2.19</v>
      </c>
    </row>
    <row r="15" spans="1:12">
      <c r="A15" s="55">
        <v>8</v>
      </c>
      <c r="B15" s="55" t="s">
        <v>36</v>
      </c>
      <c r="C15" s="55">
        <v>807</v>
      </c>
      <c r="D15" s="55">
        <v>1622</v>
      </c>
      <c r="E15" s="55">
        <v>5463</v>
      </c>
      <c r="F15" s="55">
        <v>8547</v>
      </c>
      <c r="G15" s="55">
        <v>-50.25</v>
      </c>
      <c r="H15" s="55">
        <v>-36.08</v>
      </c>
      <c r="I15" s="55">
        <v>2.76</v>
      </c>
      <c r="J15" s="55">
        <v>1.89</v>
      </c>
      <c r="K15" s="55">
        <v>4.57</v>
      </c>
      <c r="L15" s="55">
        <v>2.97</v>
      </c>
    </row>
    <row r="16" spans="1:12">
      <c r="A16" s="55">
        <v>9</v>
      </c>
      <c r="B16" s="55" t="s">
        <v>86</v>
      </c>
      <c r="C16" s="55">
        <v>539</v>
      </c>
      <c r="D16" s="55">
        <v>533</v>
      </c>
      <c r="E16" s="55">
        <v>4921</v>
      </c>
      <c r="F16" s="55">
        <v>5032</v>
      </c>
      <c r="G16" s="55">
        <v>1.1299999999999999</v>
      </c>
      <c r="H16" s="55">
        <v>-2.21</v>
      </c>
      <c r="I16" s="55">
        <v>1.84</v>
      </c>
      <c r="J16" s="55">
        <v>1.7</v>
      </c>
      <c r="K16" s="55">
        <v>1.5</v>
      </c>
      <c r="L16" s="55">
        <v>1.75</v>
      </c>
    </row>
    <row r="17" spans="1:12">
      <c r="A17" s="55">
        <v>10</v>
      </c>
      <c r="B17" s="55" t="s">
        <v>224</v>
      </c>
      <c r="C17" s="55">
        <v>424</v>
      </c>
      <c r="D17" s="55">
        <v>320</v>
      </c>
      <c r="E17" s="55">
        <v>4891</v>
      </c>
      <c r="F17" s="55">
        <v>8056</v>
      </c>
      <c r="G17" s="55">
        <v>32.5</v>
      </c>
      <c r="H17" s="55">
        <v>-39.29</v>
      </c>
      <c r="I17" s="55">
        <v>1.45</v>
      </c>
      <c r="J17" s="55">
        <v>1.69</v>
      </c>
      <c r="K17" s="55">
        <v>0.9</v>
      </c>
      <c r="L17" s="55">
        <v>2.8</v>
      </c>
    </row>
    <row r="18" spans="1:12">
      <c r="A18" s="55">
        <v>11</v>
      </c>
      <c r="B18" s="55" t="s">
        <v>591</v>
      </c>
      <c r="C18" s="55">
        <v>655</v>
      </c>
      <c r="D18" s="55">
        <v>291</v>
      </c>
      <c r="E18" s="55">
        <v>4411</v>
      </c>
      <c r="F18" s="55">
        <v>2170</v>
      </c>
      <c r="G18" s="55">
        <v>125.09</v>
      </c>
      <c r="H18" s="55">
        <v>103.27</v>
      </c>
      <c r="I18" s="55">
        <v>2.2400000000000002</v>
      </c>
      <c r="J18" s="55">
        <v>1.52</v>
      </c>
      <c r="K18" s="55">
        <v>0.82</v>
      </c>
      <c r="L18" s="55">
        <v>0.75</v>
      </c>
    </row>
    <row r="19" spans="1:12">
      <c r="A19" s="55">
        <v>12</v>
      </c>
      <c r="B19" s="55" t="s">
        <v>627</v>
      </c>
      <c r="C19" s="55">
        <v>256</v>
      </c>
      <c r="D19" s="55">
        <v>631</v>
      </c>
      <c r="E19" s="55">
        <v>4345</v>
      </c>
      <c r="F19" s="55">
        <v>3970</v>
      </c>
      <c r="G19" s="55">
        <v>-59.43</v>
      </c>
      <c r="H19" s="55">
        <v>9.4499999999999993</v>
      </c>
      <c r="I19" s="55">
        <v>0.87</v>
      </c>
      <c r="J19" s="55">
        <v>1.5</v>
      </c>
      <c r="K19" s="55">
        <v>1.78</v>
      </c>
      <c r="L19" s="55">
        <v>1.38</v>
      </c>
    </row>
    <row r="20" spans="1:12">
      <c r="A20" s="55">
        <v>13</v>
      </c>
      <c r="B20" s="55" t="s">
        <v>37</v>
      </c>
      <c r="C20" s="55">
        <v>474</v>
      </c>
      <c r="D20" s="55">
        <v>333</v>
      </c>
      <c r="E20" s="55">
        <v>4135</v>
      </c>
      <c r="F20" s="55">
        <v>4851</v>
      </c>
      <c r="G20" s="55">
        <v>42.34</v>
      </c>
      <c r="H20" s="55">
        <v>-14.76</v>
      </c>
      <c r="I20" s="55">
        <v>1.62</v>
      </c>
      <c r="J20" s="55">
        <v>1.43</v>
      </c>
      <c r="K20" s="55">
        <v>0.94</v>
      </c>
      <c r="L20" s="55">
        <v>1.68</v>
      </c>
    </row>
    <row r="21" spans="1:12">
      <c r="A21" s="55">
        <v>14</v>
      </c>
      <c r="B21" s="55" t="s">
        <v>641</v>
      </c>
      <c r="C21" s="55">
        <v>369</v>
      </c>
      <c r="D21" s="55">
        <v>172</v>
      </c>
      <c r="E21" s="55">
        <v>3919</v>
      </c>
      <c r="F21" s="55">
        <v>1324</v>
      </c>
      <c r="G21" s="55">
        <v>114.53</v>
      </c>
      <c r="H21" s="55">
        <v>196</v>
      </c>
      <c r="I21" s="55">
        <v>1.26</v>
      </c>
      <c r="J21" s="55">
        <v>1.35</v>
      </c>
      <c r="K21" s="55">
        <v>0.48</v>
      </c>
      <c r="L21" s="55">
        <v>0.46</v>
      </c>
    </row>
    <row r="22" spans="1:12">
      <c r="A22" s="55">
        <v>15</v>
      </c>
      <c r="B22" s="55" t="s">
        <v>45</v>
      </c>
      <c r="C22" s="55">
        <v>210</v>
      </c>
      <c r="D22" s="55">
        <v>184</v>
      </c>
      <c r="E22" s="55">
        <v>3750</v>
      </c>
      <c r="F22" s="55">
        <v>4746</v>
      </c>
      <c r="G22" s="55">
        <v>14.13</v>
      </c>
      <c r="H22" s="55">
        <v>-20.99</v>
      </c>
      <c r="I22" s="55">
        <v>0.72</v>
      </c>
      <c r="J22" s="55">
        <v>1.29</v>
      </c>
      <c r="K22" s="55">
        <v>0.52</v>
      </c>
      <c r="L22" s="55">
        <v>1.65</v>
      </c>
    </row>
    <row r="23" spans="1:12">
      <c r="A23" s="55">
        <v>16</v>
      </c>
      <c r="B23" s="55" t="s">
        <v>390</v>
      </c>
      <c r="C23" s="55">
        <v>358</v>
      </c>
      <c r="D23" s="55">
        <v>604</v>
      </c>
      <c r="E23" s="55">
        <v>3638</v>
      </c>
      <c r="F23" s="55">
        <v>4465</v>
      </c>
      <c r="G23" s="55">
        <v>-40.729999999999997</v>
      </c>
      <c r="H23" s="55">
        <v>-18.52</v>
      </c>
      <c r="I23" s="55">
        <v>1.22</v>
      </c>
      <c r="J23" s="55">
        <v>1.26</v>
      </c>
      <c r="K23" s="55">
        <v>1.7</v>
      </c>
      <c r="L23" s="55">
        <v>1.55</v>
      </c>
    </row>
    <row r="24" spans="1:12">
      <c r="A24" s="55">
        <v>17</v>
      </c>
      <c r="B24" s="55" t="s">
        <v>47</v>
      </c>
      <c r="C24" s="55">
        <v>386</v>
      </c>
      <c r="D24" s="55">
        <v>296</v>
      </c>
      <c r="E24" s="55">
        <v>3562</v>
      </c>
      <c r="F24" s="55">
        <v>3946</v>
      </c>
      <c r="G24" s="55">
        <v>30.41</v>
      </c>
      <c r="H24" s="55">
        <v>-9.73</v>
      </c>
      <c r="I24" s="55">
        <v>1.32</v>
      </c>
      <c r="J24" s="55">
        <v>1.23</v>
      </c>
      <c r="K24" s="55">
        <v>0.83</v>
      </c>
      <c r="L24" s="55">
        <v>1.37</v>
      </c>
    </row>
    <row r="25" spans="1:12">
      <c r="A25" s="55">
        <v>18</v>
      </c>
      <c r="B25" s="55" t="s">
        <v>626</v>
      </c>
      <c r="C25" s="55">
        <v>220</v>
      </c>
      <c r="D25" s="55">
        <v>182</v>
      </c>
      <c r="E25" s="55">
        <v>3522</v>
      </c>
      <c r="F25" s="55">
        <v>2726</v>
      </c>
      <c r="G25" s="55">
        <v>20.88</v>
      </c>
      <c r="H25" s="55">
        <v>29.2</v>
      </c>
      <c r="I25" s="55">
        <v>0.75</v>
      </c>
      <c r="J25" s="55">
        <v>1.22</v>
      </c>
      <c r="K25" s="55">
        <v>0.51</v>
      </c>
      <c r="L25" s="55">
        <v>0.95</v>
      </c>
    </row>
    <row r="26" spans="1:12">
      <c r="A26" s="55">
        <v>19</v>
      </c>
      <c r="B26" s="55" t="s">
        <v>631</v>
      </c>
      <c r="C26" s="55">
        <v>436</v>
      </c>
      <c r="D26" s="55">
        <v>1349</v>
      </c>
      <c r="E26" s="55">
        <v>3324</v>
      </c>
      <c r="F26" s="55">
        <v>3339</v>
      </c>
      <c r="G26" s="55">
        <v>-67.680000000000007</v>
      </c>
      <c r="H26" s="55">
        <v>-0.45</v>
      </c>
      <c r="I26" s="55">
        <v>1.49</v>
      </c>
      <c r="J26" s="55">
        <v>1.1499999999999999</v>
      </c>
      <c r="K26" s="55">
        <v>3.8</v>
      </c>
      <c r="L26" s="55">
        <v>1.1599999999999999</v>
      </c>
    </row>
    <row r="27" spans="1:12">
      <c r="A27" s="55">
        <v>20</v>
      </c>
      <c r="B27" s="55" t="s">
        <v>1018</v>
      </c>
      <c r="C27" s="55">
        <v>211</v>
      </c>
      <c r="D27" s="55">
        <v>980</v>
      </c>
      <c r="E27" s="55">
        <v>3213</v>
      </c>
      <c r="F27" s="55">
        <v>1063</v>
      </c>
      <c r="G27" s="55">
        <v>-78.47</v>
      </c>
      <c r="H27" s="55">
        <v>202.26</v>
      </c>
      <c r="I27" s="55">
        <v>0.72</v>
      </c>
      <c r="J27" s="55">
        <v>1.1100000000000001</v>
      </c>
      <c r="K27" s="55">
        <v>2.76</v>
      </c>
      <c r="L27" s="55">
        <v>0.37</v>
      </c>
    </row>
    <row r="28" spans="1:12">
      <c r="A28" s="55">
        <v>21</v>
      </c>
      <c r="B28" s="55" t="s">
        <v>55</v>
      </c>
      <c r="C28" s="55">
        <v>630</v>
      </c>
      <c r="D28" s="55">
        <v>157</v>
      </c>
      <c r="E28" s="55">
        <v>3011</v>
      </c>
      <c r="F28" s="55">
        <v>2238</v>
      </c>
      <c r="G28" s="55">
        <v>301.27</v>
      </c>
      <c r="H28" s="55">
        <v>34.54</v>
      </c>
      <c r="I28" s="55">
        <v>2.15</v>
      </c>
      <c r="J28" s="55">
        <v>1.04</v>
      </c>
      <c r="K28" s="55">
        <v>0.44</v>
      </c>
      <c r="L28" s="55">
        <v>0.78</v>
      </c>
    </row>
    <row r="29" spans="1:12">
      <c r="A29" s="55">
        <v>22</v>
      </c>
      <c r="B29" s="55" t="s">
        <v>71</v>
      </c>
      <c r="C29" s="55">
        <v>122</v>
      </c>
      <c r="D29" s="55">
        <v>264</v>
      </c>
      <c r="E29" s="55">
        <v>2920</v>
      </c>
      <c r="F29" s="55">
        <v>4641</v>
      </c>
      <c r="G29" s="55">
        <v>-53.79</v>
      </c>
      <c r="H29" s="55">
        <v>-37.08</v>
      </c>
      <c r="I29" s="55">
        <v>0.42</v>
      </c>
      <c r="J29" s="55">
        <v>1.01</v>
      </c>
      <c r="K29" s="55">
        <v>0.74</v>
      </c>
      <c r="L29" s="55">
        <v>1.61</v>
      </c>
    </row>
    <row r="30" spans="1:12">
      <c r="A30" s="55">
        <v>23</v>
      </c>
      <c r="B30" s="55" t="s">
        <v>54</v>
      </c>
      <c r="C30" s="55">
        <v>326</v>
      </c>
      <c r="D30" s="55">
        <v>530</v>
      </c>
      <c r="E30" s="55">
        <v>2914</v>
      </c>
      <c r="F30" s="55">
        <v>2476</v>
      </c>
      <c r="G30" s="55">
        <v>-38.49</v>
      </c>
      <c r="H30" s="55">
        <v>17.690000000000001</v>
      </c>
      <c r="I30" s="55">
        <v>1.1100000000000001</v>
      </c>
      <c r="J30" s="55">
        <v>1.01</v>
      </c>
      <c r="K30" s="55">
        <v>1.49</v>
      </c>
      <c r="L30" s="55">
        <v>0.86</v>
      </c>
    </row>
    <row r="31" spans="1:12">
      <c r="A31" s="55">
        <v>24</v>
      </c>
      <c r="B31" s="55" t="s">
        <v>64</v>
      </c>
      <c r="C31" s="55">
        <v>363</v>
      </c>
      <c r="D31" s="55">
        <v>234</v>
      </c>
      <c r="E31" s="55">
        <v>2891</v>
      </c>
      <c r="F31" s="55">
        <v>1738</v>
      </c>
      <c r="G31" s="55">
        <v>55.13</v>
      </c>
      <c r="H31" s="55">
        <v>66.34</v>
      </c>
      <c r="I31" s="55">
        <v>1.24</v>
      </c>
      <c r="J31" s="55">
        <v>1</v>
      </c>
      <c r="K31" s="55">
        <v>0.66</v>
      </c>
      <c r="L31" s="55">
        <v>0.6</v>
      </c>
    </row>
    <row r="32" spans="1:12">
      <c r="A32" s="55">
        <v>25</v>
      </c>
      <c r="B32" s="55" t="s">
        <v>38</v>
      </c>
      <c r="C32" s="55">
        <v>172</v>
      </c>
      <c r="D32" s="55">
        <v>256</v>
      </c>
      <c r="E32" s="55">
        <v>2736</v>
      </c>
      <c r="F32" s="55">
        <v>3546</v>
      </c>
      <c r="G32" s="55">
        <v>-32.81</v>
      </c>
      <c r="H32" s="55">
        <v>-22.84</v>
      </c>
      <c r="I32" s="55">
        <v>0.59</v>
      </c>
      <c r="J32" s="55">
        <v>0.94</v>
      </c>
      <c r="K32" s="55">
        <v>0.72</v>
      </c>
      <c r="L32" s="55">
        <v>1.23</v>
      </c>
    </row>
    <row r="33" spans="1:12">
      <c r="A33" s="55">
        <v>26</v>
      </c>
      <c r="B33" s="55" t="s">
        <v>415</v>
      </c>
      <c r="C33" s="55">
        <v>330</v>
      </c>
      <c r="D33" s="55">
        <v>399</v>
      </c>
      <c r="E33" s="55">
        <v>2692</v>
      </c>
      <c r="F33" s="55">
        <v>1987</v>
      </c>
      <c r="G33" s="55">
        <v>-17.29</v>
      </c>
      <c r="H33" s="55">
        <v>35.479999999999997</v>
      </c>
      <c r="I33" s="55">
        <v>1.1299999999999999</v>
      </c>
      <c r="J33" s="55">
        <v>0.93</v>
      </c>
      <c r="K33" s="55">
        <v>1.1200000000000001</v>
      </c>
      <c r="L33" s="55">
        <v>0.69</v>
      </c>
    </row>
    <row r="34" spans="1:12">
      <c r="A34" s="55">
        <v>27</v>
      </c>
      <c r="B34" s="55" t="s">
        <v>40</v>
      </c>
      <c r="C34" s="55">
        <v>242</v>
      </c>
      <c r="D34" s="55">
        <v>159</v>
      </c>
      <c r="E34" s="55">
        <v>2658</v>
      </c>
      <c r="F34" s="55">
        <v>3532</v>
      </c>
      <c r="G34" s="55">
        <v>52.2</v>
      </c>
      <c r="H34" s="55">
        <v>-24.75</v>
      </c>
      <c r="I34" s="55">
        <v>0.83</v>
      </c>
      <c r="J34" s="55">
        <v>0.92</v>
      </c>
      <c r="K34" s="55">
        <v>0.45</v>
      </c>
      <c r="L34" s="55">
        <v>1.23</v>
      </c>
    </row>
    <row r="35" spans="1:12">
      <c r="A35" s="55">
        <v>28</v>
      </c>
      <c r="B35" s="55" t="s">
        <v>41</v>
      </c>
      <c r="C35" s="55">
        <v>205</v>
      </c>
      <c r="D35" s="55">
        <v>126</v>
      </c>
      <c r="E35" s="55">
        <v>2583</v>
      </c>
      <c r="F35" s="55">
        <v>3557</v>
      </c>
      <c r="G35" s="55">
        <v>62.7</v>
      </c>
      <c r="H35" s="55">
        <v>-27.38</v>
      </c>
      <c r="I35" s="55">
        <v>0.7</v>
      </c>
      <c r="J35" s="55">
        <v>0.89</v>
      </c>
      <c r="K35" s="55">
        <v>0.36</v>
      </c>
      <c r="L35" s="55">
        <v>1.23</v>
      </c>
    </row>
    <row r="36" spans="1:12">
      <c r="A36" s="55">
        <v>29</v>
      </c>
      <c r="B36" s="55" t="s">
        <v>1002</v>
      </c>
      <c r="C36" s="55">
        <v>106</v>
      </c>
      <c r="D36" s="55">
        <v>198</v>
      </c>
      <c r="E36" s="55">
        <v>2536</v>
      </c>
      <c r="F36" s="55">
        <v>313</v>
      </c>
      <c r="G36" s="55">
        <v>-46.46</v>
      </c>
      <c r="H36" s="55">
        <v>710.22</v>
      </c>
      <c r="I36" s="55">
        <v>0.36</v>
      </c>
      <c r="J36" s="55">
        <v>0.88</v>
      </c>
      <c r="K36" s="55">
        <v>0.56000000000000005</v>
      </c>
      <c r="L36" s="55">
        <v>0.11</v>
      </c>
    </row>
    <row r="37" spans="1:12">
      <c r="A37" s="55">
        <v>30</v>
      </c>
      <c r="B37" s="55" t="s">
        <v>82</v>
      </c>
      <c r="C37" s="55">
        <v>288</v>
      </c>
      <c r="D37" s="55">
        <v>163</v>
      </c>
      <c r="E37" s="55">
        <v>2519</v>
      </c>
      <c r="F37" s="55">
        <v>1214</v>
      </c>
      <c r="G37" s="55">
        <v>76.69</v>
      </c>
      <c r="H37" s="55">
        <v>107.5</v>
      </c>
      <c r="I37" s="55">
        <v>0.98</v>
      </c>
      <c r="J37" s="55">
        <v>0.87</v>
      </c>
      <c r="K37" s="55">
        <v>0.46</v>
      </c>
      <c r="L37" s="55">
        <v>0.42</v>
      </c>
    </row>
    <row r="38" spans="1:12">
      <c r="A38" s="55">
        <v>31</v>
      </c>
      <c r="B38" s="55" t="s">
        <v>67</v>
      </c>
      <c r="C38" s="55">
        <v>358</v>
      </c>
      <c r="D38" s="55">
        <v>363</v>
      </c>
      <c r="E38" s="55">
        <v>2439</v>
      </c>
      <c r="F38" s="55">
        <v>2454</v>
      </c>
      <c r="G38" s="55">
        <v>-1.38</v>
      </c>
      <c r="H38" s="55">
        <v>-0.61</v>
      </c>
      <c r="I38" s="55">
        <v>1.22</v>
      </c>
      <c r="J38" s="55">
        <v>0.84</v>
      </c>
      <c r="K38" s="55">
        <v>1.02</v>
      </c>
      <c r="L38" s="55">
        <v>0.85</v>
      </c>
    </row>
    <row r="39" spans="1:12">
      <c r="A39" s="55">
        <v>32</v>
      </c>
      <c r="B39" s="55" t="s">
        <v>84</v>
      </c>
      <c r="C39" s="55">
        <v>480</v>
      </c>
      <c r="D39" s="55">
        <v>627</v>
      </c>
      <c r="E39" s="55">
        <v>2354</v>
      </c>
      <c r="F39" s="55">
        <v>4274</v>
      </c>
      <c r="G39" s="55">
        <v>-23.44</v>
      </c>
      <c r="H39" s="55">
        <v>-44.92</v>
      </c>
      <c r="I39" s="55">
        <v>1.64</v>
      </c>
      <c r="J39" s="55">
        <v>0.81</v>
      </c>
      <c r="K39" s="55">
        <v>1.77</v>
      </c>
      <c r="L39" s="55">
        <v>1.48</v>
      </c>
    </row>
    <row r="40" spans="1:12">
      <c r="A40" s="55">
        <v>33</v>
      </c>
      <c r="B40" s="55" t="s">
        <v>46</v>
      </c>
      <c r="C40" s="55">
        <v>204</v>
      </c>
      <c r="D40" s="55">
        <v>187</v>
      </c>
      <c r="E40" s="55">
        <v>2319</v>
      </c>
      <c r="F40" s="55">
        <v>2348</v>
      </c>
      <c r="G40" s="55">
        <v>9.09</v>
      </c>
      <c r="H40" s="55">
        <v>-1.24</v>
      </c>
      <c r="I40" s="55">
        <v>0.7</v>
      </c>
      <c r="J40" s="55">
        <v>0.8</v>
      </c>
      <c r="K40" s="55">
        <v>0.53</v>
      </c>
      <c r="L40" s="55">
        <v>0.82</v>
      </c>
    </row>
    <row r="41" spans="1:12">
      <c r="A41" s="55">
        <v>34</v>
      </c>
      <c r="B41" s="55" t="s">
        <v>1007</v>
      </c>
      <c r="C41" s="55">
        <v>207</v>
      </c>
      <c r="D41" s="55">
        <v>424</v>
      </c>
      <c r="E41" s="55">
        <v>2274</v>
      </c>
      <c r="F41" s="55">
        <v>717</v>
      </c>
      <c r="G41" s="55">
        <v>-51.18</v>
      </c>
      <c r="H41" s="55">
        <v>217.15</v>
      </c>
      <c r="I41" s="55">
        <v>0.71</v>
      </c>
      <c r="J41" s="55">
        <v>0.79</v>
      </c>
      <c r="K41" s="55">
        <v>1.2</v>
      </c>
      <c r="L41" s="55">
        <v>0.25</v>
      </c>
    </row>
    <row r="42" spans="1:12">
      <c r="A42" s="55">
        <v>35</v>
      </c>
      <c r="B42" s="55" t="s">
        <v>94</v>
      </c>
      <c r="C42" s="55">
        <v>320</v>
      </c>
      <c r="D42" s="55">
        <v>535</v>
      </c>
      <c r="E42" s="55">
        <v>2269</v>
      </c>
      <c r="F42" s="55">
        <v>3851</v>
      </c>
      <c r="G42" s="55">
        <v>-40.19</v>
      </c>
      <c r="H42" s="55">
        <v>-41.08</v>
      </c>
      <c r="I42" s="55">
        <v>1.0900000000000001</v>
      </c>
      <c r="J42" s="55">
        <v>0.78</v>
      </c>
      <c r="K42" s="55">
        <v>1.51</v>
      </c>
      <c r="L42" s="55">
        <v>1.34</v>
      </c>
    </row>
    <row r="43" spans="1:12">
      <c r="A43" s="55">
        <v>36</v>
      </c>
      <c r="B43" s="55" t="s">
        <v>70</v>
      </c>
      <c r="C43" s="55">
        <v>146</v>
      </c>
      <c r="D43" s="55">
        <v>60</v>
      </c>
      <c r="E43" s="55">
        <v>2185</v>
      </c>
      <c r="F43" s="55">
        <v>1798</v>
      </c>
      <c r="G43" s="55">
        <v>143.33000000000001</v>
      </c>
      <c r="H43" s="55">
        <v>21.52</v>
      </c>
      <c r="I43" s="55">
        <v>0.5</v>
      </c>
      <c r="J43" s="55">
        <v>0.75</v>
      </c>
      <c r="K43" s="55">
        <v>0.17</v>
      </c>
      <c r="L43" s="55">
        <v>0.62</v>
      </c>
    </row>
    <row r="44" spans="1:12">
      <c r="A44" s="55">
        <v>37</v>
      </c>
      <c r="B44" s="55" t="s">
        <v>72</v>
      </c>
      <c r="C44" s="55">
        <v>199</v>
      </c>
      <c r="D44" s="55">
        <v>84</v>
      </c>
      <c r="E44" s="55">
        <v>2130</v>
      </c>
      <c r="F44" s="55">
        <v>1546</v>
      </c>
      <c r="G44" s="55">
        <v>136.9</v>
      </c>
      <c r="H44" s="55">
        <v>37.770000000000003</v>
      </c>
      <c r="I44" s="55">
        <v>0.68</v>
      </c>
      <c r="J44" s="55">
        <v>0.74</v>
      </c>
      <c r="K44" s="55">
        <v>0.24</v>
      </c>
      <c r="L44" s="55">
        <v>0.54</v>
      </c>
    </row>
    <row r="45" spans="1:12">
      <c r="A45" s="55">
        <v>38</v>
      </c>
      <c r="B45" s="55" t="s">
        <v>136</v>
      </c>
      <c r="C45" s="55">
        <v>268</v>
      </c>
      <c r="D45" s="55">
        <v>60</v>
      </c>
      <c r="E45" s="55">
        <v>2047</v>
      </c>
      <c r="F45" s="55">
        <v>1442</v>
      </c>
      <c r="G45" s="55">
        <v>346.67</v>
      </c>
      <c r="H45" s="55">
        <v>41.96</v>
      </c>
      <c r="I45" s="55">
        <v>0.92</v>
      </c>
      <c r="J45" s="55">
        <v>0.71</v>
      </c>
      <c r="K45" s="55">
        <v>0.17</v>
      </c>
      <c r="L45" s="55">
        <v>0.5</v>
      </c>
    </row>
    <row r="46" spans="1:12">
      <c r="A46" s="55">
        <v>39</v>
      </c>
      <c r="B46" s="55" t="s">
        <v>57</v>
      </c>
      <c r="C46" s="55">
        <v>157</v>
      </c>
      <c r="D46" s="55">
        <v>165</v>
      </c>
      <c r="E46" s="55">
        <v>2018</v>
      </c>
      <c r="F46" s="55">
        <v>1988</v>
      </c>
      <c r="G46" s="55">
        <v>-4.8499999999999996</v>
      </c>
      <c r="H46" s="55">
        <v>1.51</v>
      </c>
      <c r="I46" s="55">
        <v>0.54</v>
      </c>
      <c r="J46" s="55">
        <v>0.7</v>
      </c>
      <c r="K46" s="55">
        <v>0.47</v>
      </c>
      <c r="L46" s="55">
        <v>0.69</v>
      </c>
    </row>
    <row r="47" spans="1:12">
      <c r="A47" s="55">
        <v>40</v>
      </c>
      <c r="B47" s="55" t="s">
        <v>52</v>
      </c>
      <c r="C47" s="55">
        <v>183</v>
      </c>
      <c r="D47" s="55">
        <v>233</v>
      </c>
      <c r="E47" s="55">
        <v>1994</v>
      </c>
      <c r="F47" s="55">
        <v>2883</v>
      </c>
      <c r="G47" s="55">
        <v>-21.46</v>
      </c>
      <c r="H47" s="55">
        <v>-30.84</v>
      </c>
      <c r="I47" s="55">
        <v>0.63</v>
      </c>
      <c r="J47" s="55">
        <v>0.69</v>
      </c>
      <c r="K47" s="55">
        <v>0.66</v>
      </c>
      <c r="L47" s="55">
        <v>1</v>
      </c>
    </row>
    <row r="48" spans="1:12">
      <c r="A48" s="55">
        <v>41</v>
      </c>
      <c r="B48" s="55" t="s">
        <v>44</v>
      </c>
      <c r="C48" s="55">
        <v>175</v>
      </c>
      <c r="D48" s="55">
        <v>61</v>
      </c>
      <c r="E48" s="55">
        <v>1973</v>
      </c>
      <c r="F48" s="55">
        <v>1867</v>
      </c>
      <c r="G48" s="55">
        <v>186.89</v>
      </c>
      <c r="H48" s="55">
        <v>5.68</v>
      </c>
      <c r="I48" s="55">
        <v>0.6</v>
      </c>
      <c r="J48" s="55">
        <v>0.68</v>
      </c>
      <c r="K48" s="55">
        <v>0.17</v>
      </c>
      <c r="L48" s="55">
        <v>0.65</v>
      </c>
    </row>
    <row r="49" spans="1:12">
      <c r="A49" s="55">
        <v>42</v>
      </c>
      <c r="B49" s="55" t="s">
        <v>56</v>
      </c>
      <c r="C49" s="55">
        <v>70</v>
      </c>
      <c r="D49" s="55">
        <v>45</v>
      </c>
      <c r="E49" s="55">
        <v>1885</v>
      </c>
      <c r="F49" s="55">
        <v>1273</v>
      </c>
      <c r="G49" s="55">
        <v>55.56</v>
      </c>
      <c r="H49" s="55">
        <v>48.08</v>
      </c>
      <c r="I49" s="55">
        <v>0.24</v>
      </c>
      <c r="J49" s="55">
        <v>0.65</v>
      </c>
      <c r="K49" s="55">
        <v>0.13</v>
      </c>
      <c r="L49" s="55">
        <v>0.44</v>
      </c>
    </row>
    <row r="50" spans="1:12">
      <c r="A50" s="55">
        <v>43</v>
      </c>
      <c r="B50" s="55" t="s">
        <v>74</v>
      </c>
      <c r="C50" s="55">
        <v>160</v>
      </c>
      <c r="D50" s="55">
        <v>57</v>
      </c>
      <c r="E50" s="55">
        <v>1857</v>
      </c>
      <c r="F50" s="55">
        <v>1849</v>
      </c>
      <c r="G50" s="55">
        <v>180.7</v>
      </c>
      <c r="H50" s="55">
        <v>0.43</v>
      </c>
      <c r="I50" s="55">
        <v>0.55000000000000004</v>
      </c>
      <c r="J50" s="55">
        <v>0.64</v>
      </c>
      <c r="K50" s="55">
        <v>0.16</v>
      </c>
      <c r="L50" s="55">
        <v>0.64</v>
      </c>
    </row>
    <row r="51" spans="1:12">
      <c r="A51" s="55">
        <v>44</v>
      </c>
      <c r="B51" s="55" t="s">
        <v>691</v>
      </c>
      <c r="C51" s="55">
        <v>50</v>
      </c>
      <c r="D51" s="55">
        <v>403</v>
      </c>
      <c r="E51" s="55">
        <v>1783</v>
      </c>
      <c r="F51" s="55">
        <v>1523</v>
      </c>
      <c r="G51" s="55">
        <v>-87.59</v>
      </c>
      <c r="H51" s="55">
        <v>17.07</v>
      </c>
      <c r="I51" s="55">
        <v>0.17</v>
      </c>
      <c r="J51" s="55">
        <v>0.62</v>
      </c>
      <c r="K51" s="55">
        <v>1.1399999999999999</v>
      </c>
      <c r="L51" s="55">
        <v>0.53</v>
      </c>
    </row>
    <row r="52" spans="1:12">
      <c r="A52" s="55">
        <v>45</v>
      </c>
      <c r="B52" s="55" t="s">
        <v>49</v>
      </c>
      <c r="C52" s="55">
        <v>136</v>
      </c>
      <c r="D52" s="55">
        <v>255</v>
      </c>
      <c r="E52" s="55">
        <v>1770</v>
      </c>
      <c r="F52" s="55">
        <v>2952</v>
      </c>
      <c r="G52" s="55">
        <v>-46.67</v>
      </c>
      <c r="H52" s="55">
        <v>-40.04</v>
      </c>
      <c r="I52" s="55">
        <v>0.46</v>
      </c>
      <c r="J52" s="55">
        <v>0.61</v>
      </c>
      <c r="K52" s="55">
        <v>0.72</v>
      </c>
      <c r="L52" s="55">
        <v>1.02</v>
      </c>
    </row>
    <row r="53" spans="1:12">
      <c r="A53" s="55">
        <v>46</v>
      </c>
      <c r="B53" s="55" t="s">
        <v>51</v>
      </c>
      <c r="C53" s="55">
        <v>149</v>
      </c>
      <c r="D53" s="55">
        <v>244</v>
      </c>
      <c r="E53" s="55">
        <v>1735</v>
      </c>
      <c r="F53" s="55">
        <v>2679</v>
      </c>
      <c r="G53" s="55">
        <v>-38.93</v>
      </c>
      <c r="H53" s="55">
        <v>-35.24</v>
      </c>
      <c r="I53" s="55">
        <v>0.51</v>
      </c>
      <c r="J53" s="55">
        <v>0.6</v>
      </c>
      <c r="K53" s="55">
        <v>0.69</v>
      </c>
      <c r="L53" s="55">
        <v>0.93</v>
      </c>
    </row>
    <row r="54" spans="1:12">
      <c r="A54" s="55">
        <v>47</v>
      </c>
      <c r="B54" s="55" t="s">
        <v>693</v>
      </c>
      <c r="C54" s="55">
        <v>211</v>
      </c>
      <c r="D54" s="55">
        <v>447</v>
      </c>
      <c r="E54" s="55">
        <v>1733</v>
      </c>
      <c r="F54" s="55">
        <v>1667</v>
      </c>
      <c r="G54" s="55">
        <v>-52.8</v>
      </c>
      <c r="H54" s="55">
        <v>3.96</v>
      </c>
      <c r="I54" s="55">
        <v>0.72</v>
      </c>
      <c r="J54" s="55">
        <v>0.6</v>
      </c>
      <c r="K54" s="55">
        <v>1.26</v>
      </c>
      <c r="L54" s="55">
        <v>0.57999999999999996</v>
      </c>
    </row>
    <row r="55" spans="1:12">
      <c r="A55" s="55">
        <v>48</v>
      </c>
      <c r="B55" s="55" t="s">
        <v>692</v>
      </c>
      <c r="C55" s="55">
        <v>228</v>
      </c>
      <c r="D55" s="55">
        <v>81</v>
      </c>
      <c r="E55" s="55">
        <v>1712</v>
      </c>
      <c r="F55" s="55">
        <v>773</v>
      </c>
      <c r="G55" s="55">
        <v>181.48</v>
      </c>
      <c r="H55" s="55">
        <v>121.47</v>
      </c>
      <c r="I55" s="55">
        <v>0.78</v>
      </c>
      <c r="J55" s="55">
        <v>0.59</v>
      </c>
      <c r="K55" s="55">
        <v>0.23</v>
      </c>
      <c r="L55" s="55">
        <v>0.27</v>
      </c>
    </row>
    <row r="56" spans="1:12">
      <c r="A56" s="55">
        <v>49</v>
      </c>
      <c r="B56" s="55" t="s">
        <v>58</v>
      </c>
      <c r="C56" s="55">
        <v>233</v>
      </c>
      <c r="D56" s="55">
        <v>70</v>
      </c>
      <c r="E56" s="55">
        <v>1669</v>
      </c>
      <c r="F56" s="55">
        <v>1398</v>
      </c>
      <c r="G56" s="55">
        <v>232.86</v>
      </c>
      <c r="H56" s="55">
        <v>19.38</v>
      </c>
      <c r="I56" s="55">
        <v>0.8</v>
      </c>
      <c r="J56" s="55">
        <v>0.57999999999999996</v>
      </c>
      <c r="K56" s="55">
        <v>0.2</v>
      </c>
      <c r="L56" s="55">
        <v>0.49</v>
      </c>
    </row>
    <row r="57" spans="1:12">
      <c r="A57" s="55">
        <v>50</v>
      </c>
      <c r="B57" s="55" t="s">
        <v>87</v>
      </c>
      <c r="C57" s="55">
        <v>138</v>
      </c>
      <c r="D57" s="55">
        <v>163</v>
      </c>
      <c r="E57" s="55">
        <v>1646</v>
      </c>
      <c r="F57" s="55">
        <v>2096</v>
      </c>
      <c r="G57" s="55">
        <v>-15.34</v>
      </c>
      <c r="H57" s="55">
        <v>-21.47</v>
      </c>
      <c r="I57" s="55">
        <v>0.47</v>
      </c>
      <c r="J57" s="55">
        <v>0.56999999999999995</v>
      </c>
      <c r="K57" s="55">
        <v>0.46</v>
      </c>
      <c r="L57" s="55">
        <v>0.73</v>
      </c>
    </row>
    <row r="58" spans="1:12">
      <c r="A58" s="55">
        <v>51</v>
      </c>
      <c r="B58" s="55" t="s">
        <v>480</v>
      </c>
      <c r="C58" s="55">
        <v>136</v>
      </c>
      <c r="D58" s="55">
        <v>66</v>
      </c>
      <c r="E58" s="55">
        <v>1643</v>
      </c>
      <c r="F58" s="55">
        <v>1279</v>
      </c>
      <c r="G58" s="55">
        <v>106.06</v>
      </c>
      <c r="H58" s="55">
        <v>28.46</v>
      </c>
      <c r="I58" s="55">
        <v>0.46</v>
      </c>
      <c r="J58" s="55">
        <v>0.56999999999999995</v>
      </c>
      <c r="K58" s="55">
        <v>0.19</v>
      </c>
      <c r="L58" s="55">
        <v>0.44</v>
      </c>
    </row>
    <row r="59" spans="1:12">
      <c r="A59" s="55">
        <v>52</v>
      </c>
      <c r="B59" s="55" t="s">
        <v>78</v>
      </c>
      <c r="C59" s="55">
        <v>103</v>
      </c>
      <c r="D59" s="55">
        <v>334</v>
      </c>
      <c r="E59" s="55">
        <v>1632</v>
      </c>
      <c r="F59" s="55">
        <v>2153</v>
      </c>
      <c r="G59" s="55">
        <v>-69.16</v>
      </c>
      <c r="H59" s="55">
        <v>-24.2</v>
      </c>
      <c r="I59" s="55">
        <v>0.35</v>
      </c>
      <c r="J59" s="55">
        <v>0.56000000000000005</v>
      </c>
      <c r="K59" s="55">
        <v>0.94</v>
      </c>
      <c r="L59" s="55">
        <v>0.75</v>
      </c>
    </row>
    <row r="60" spans="1:12">
      <c r="A60" s="55">
        <v>53</v>
      </c>
      <c r="B60" s="55" t="s">
        <v>116</v>
      </c>
      <c r="C60" s="55">
        <v>65</v>
      </c>
      <c r="D60" s="55">
        <v>211</v>
      </c>
      <c r="E60" s="55">
        <v>1605</v>
      </c>
      <c r="F60" s="55">
        <v>1941</v>
      </c>
      <c r="G60" s="55">
        <v>-69.19</v>
      </c>
      <c r="H60" s="55">
        <v>-17.309999999999999</v>
      </c>
      <c r="I60" s="55">
        <v>0.22</v>
      </c>
      <c r="J60" s="55">
        <v>0.55000000000000004</v>
      </c>
      <c r="K60" s="55">
        <v>0.59</v>
      </c>
      <c r="L60" s="55">
        <v>0.67</v>
      </c>
    </row>
    <row r="61" spans="1:12">
      <c r="A61" s="55">
        <v>54</v>
      </c>
      <c r="B61" s="55" t="s">
        <v>48</v>
      </c>
      <c r="C61" s="55">
        <v>213</v>
      </c>
      <c r="D61" s="55">
        <v>56</v>
      </c>
      <c r="E61" s="55">
        <v>1545</v>
      </c>
      <c r="F61" s="55">
        <v>1378</v>
      </c>
      <c r="G61" s="55">
        <v>280.36</v>
      </c>
      <c r="H61" s="55">
        <v>12.12</v>
      </c>
      <c r="I61" s="55">
        <v>0.73</v>
      </c>
      <c r="J61" s="55">
        <v>0.53</v>
      </c>
      <c r="K61" s="55">
        <v>0.16</v>
      </c>
      <c r="L61" s="55">
        <v>0.48</v>
      </c>
    </row>
    <row r="62" spans="1:12">
      <c r="A62" s="55">
        <v>55</v>
      </c>
      <c r="B62" s="55" t="s">
        <v>979</v>
      </c>
      <c r="C62" s="55">
        <v>139</v>
      </c>
      <c r="D62" s="55">
        <v>316</v>
      </c>
      <c r="E62" s="55">
        <v>1471</v>
      </c>
      <c r="F62" s="55">
        <v>1022</v>
      </c>
      <c r="G62" s="55">
        <v>-56.01</v>
      </c>
      <c r="H62" s="55">
        <v>43.93</v>
      </c>
      <c r="I62" s="55">
        <v>0.47</v>
      </c>
      <c r="J62" s="55">
        <v>0.51</v>
      </c>
      <c r="K62" s="55">
        <v>0.89</v>
      </c>
      <c r="L62" s="55">
        <v>0.35</v>
      </c>
    </row>
    <row r="63" spans="1:12">
      <c r="A63" s="55">
        <v>56</v>
      </c>
      <c r="B63" s="55" t="s">
        <v>568</v>
      </c>
      <c r="C63" s="55">
        <v>39</v>
      </c>
      <c r="D63" s="55">
        <v>171</v>
      </c>
      <c r="E63" s="55">
        <v>1462</v>
      </c>
      <c r="F63" s="55">
        <v>2103</v>
      </c>
      <c r="G63" s="55">
        <v>-77.19</v>
      </c>
      <c r="H63" s="55">
        <v>-30.48</v>
      </c>
      <c r="I63" s="55">
        <v>0.13</v>
      </c>
      <c r="J63" s="55">
        <v>0.5</v>
      </c>
      <c r="K63" s="55">
        <v>0.48</v>
      </c>
      <c r="L63" s="55">
        <v>0.73</v>
      </c>
    </row>
    <row r="64" spans="1:12">
      <c r="A64" s="55">
        <v>57</v>
      </c>
      <c r="B64" s="55" t="s">
        <v>53</v>
      </c>
      <c r="C64" s="55">
        <v>91</v>
      </c>
      <c r="D64" s="55">
        <v>134</v>
      </c>
      <c r="E64" s="55">
        <v>1434</v>
      </c>
      <c r="F64" s="55">
        <v>1570</v>
      </c>
      <c r="G64" s="55">
        <v>-32.090000000000003</v>
      </c>
      <c r="H64" s="55">
        <v>-8.66</v>
      </c>
      <c r="I64" s="55">
        <v>0.31</v>
      </c>
      <c r="J64" s="55">
        <v>0.5</v>
      </c>
      <c r="K64" s="55">
        <v>0.38</v>
      </c>
      <c r="L64" s="55">
        <v>0.54</v>
      </c>
    </row>
    <row r="65" spans="1:12">
      <c r="A65" s="55">
        <v>58</v>
      </c>
      <c r="B65" s="55" t="s">
        <v>567</v>
      </c>
      <c r="C65" s="55">
        <v>187</v>
      </c>
      <c r="D65" s="55">
        <v>44</v>
      </c>
      <c r="E65" s="55">
        <v>1428</v>
      </c>
      <c r="F65" s="55">
        <v>1262</v>
      </c>
      <c r="G65" s="55">
        <v>325</v>
      </c>
      <c r="H65" s="55">
        <v>13.15</v>
      </c>
      <c r="I65" s="55">
        <v>0.64</v>
      </c>
      <c r="J65" s="55">
        <v>0.49</v>
      </c>
      <c r="K65" s="55">
        <v>0.12</v>
      </c>
      <c r="L65" s="55">
        <v>0.44</v>
      </c>
    </row>
    <row r="66" spans="1:12">
      <c r="A66" s="55">
        <v>59</v>
      </c>
      <c r="B66" s="55" t="s">
        <v>90</v>
      </c>
      <c r="C66" s="55">
        <v>77</v>
      </c>
      <c r="D66" s="55">
        <v>381</v>
      </c>
      <c r="E66" s="55">
        <v>1427</v>
      </c>
      <c r="F66" s="55">
        <v>2193</v>
      </c>
      <c r="G66" s="55">
        <v>-79.790000000000006</v>
      </c>
      <c r="H66" s="55">
        <v>-34.93</v>
      </c>
      <c r="I66" s="55">
        <v>0.26</v>
      </c>
      <c r="J66" s="55">
        <v>0.49</v>
      </c>
      <c r="K66" s="55">
        <v>1.07</v>
      </c>
      <c r="L66" s="55">
        <v>0.76</v>
      </c>
    </row>
    <row r="67" spans="1:12">
      <c r="A67" s="55">
        <v>60</v>
      </c>
      <c r="B67" s="55" t="s">
        <v>637</v>
      </c>
      <c r="C67" s="55">
        <v>128</v>
      </c>
      <c r="D67" s="55">
        <v>0</v>
      </c>
      <c r="E67" s="55">
        <v>1414</v>
      </c>
      <c r="F67" s="55">
        <v>0</v>
      </c>
      <c r="G67" s="55">
        <v>0</v>
      </c>
      <c r="H67" s="55">
        <v>0</v>
      </c>
      <c r="I67" s="55">
        <v>0.44</v>
      </c>
      <c r="J67" s="55">
        <v>0.49</v>
      </c>
      <c r="K67" s="55">
        <v>0</v>
      </c>
      <c r="L67" s="55">
        <v>0</v>
      </c>
    </row>
    <row r="68" spans="1:12">
      <c r="A68" s="55">
        <v>61</v>
      </c>
      <c r="B68" s="55" t="s">
        <v>61</v>
      </c>
      <c r="C68" s="55">
        <v>54</v>
      </c>
      <c r="D68" s="55">
        <v>45</v>
      </c>
      <c r="E68" s="55">
        <v>1407</v>
      </c>
      <c r="F68" s="55">
        <v>1957</v>
      </c>
      <c r="G68" s="55">
        <v>20</v>
      </c>
      <c r="H68" s="55">
        <v>-28.1</v>
      </c>
      <c r="I68" s="55">
        <v>0.18</v>
      </c>
      <c r="J68" s="55">
        <v>0.49</v>
      </c>
      <c r="K68" s="55">
        <v>0.13</v>
      </c>
      <c r="L68" s="55">
        <v>0.68</v>
      </c>
    </row>
    <row r="69" spans="1:12">
      <c r="A69" s="55">
        <v>62</v>
      </c>
      <c r="B69" s="55" t="s">
        <v>104</v>
      </c>
      <c r="C69" s="55">
        <v>120</v>
      </c>
      <c r="D69" s="55">
        <v>399</v>
      </c>
      <c r="E69" s="55">
        <v>1406</v>
      </c>
      <c r="F69" s="55">
        <v>1307</v>
      </c>
      <c r="G69" s="55">
        <v>-69.92</v>
      </c>
      <c r="H69" s="55">
        <v>7.57</v>
      </c>
      <c r="I69" s="55">
        <v>0.41</v>
      </c>
      <c r="J69" s="55">
        <v>0.49</v>
      </c>
      <c r="K69" s="55">
        <v>1.1200000000000001</v>
      </c>
      <c r="L69" s="55">
        <v>0.45</v>
      </c>
    </row>
    <row r="70" spans="1:12">
      <c r="A70" s="55">
        <v>63</v>
      </c>
      <c r="B70" s="55" t="s">
        <v>640</v>
      </c>
      <c r="C70" s="55">
        <v>58</v>
      </c>
      <c r="D70" s="55">
        <v>155</v>
      </c>
      <c r="E70" s="55">
        <v>1398</v>
      </c>
      <c r="F70" s="55">
        <v>1475</v>
      </c>
      <c r="G70" s="55">
        <v>-62.58</v>
      </c>
      <c r="H70" s="55">
        <v>-5.22</v>
      </c>
      <c r="I70" s="55">
        <v>0.2</v>
      </c>
      <c r="J70" s="55">
        <v>0.48</v>
      </c>
      <c r="K70" s="55">
        <v>0.44</v>
      </c>
      <c r="L70" s="55">
        <v>0.51</v>
      </c>
    </row>
    <row r="71" spans="1:12">
      <c r="A71" s="55">
        <v>64</v>
      </c>
      <c r="B71" s="55" t="s">
        <v>134</v>
      </c>
      <c r="C71" s="55">
        <v>168</v>
      </c>
      <c r="D71" s="55">
        <v>11</v>
      </c>
      <c r="E71" s="55">
        <v>1375</v>
      </c>
      <c r="F71" s="55">
        <v>1111</v>
      </c>
      <c r="G71" s="55">
        <v>1427.27</v>
      </c>
      <c r="H71" s="55">
        <v>23.76</v>
      </c>
      <c r="I71" s="55">
        <v>0.56999999999999995</v>
      </c>
      <c r="J71" s="55">
        <v>0.47</v>
      </c>
      <c r="K71" s="55">
        <v>0.03</v>
      </c>
      <c r="L71" s="55">
        <v>0.39</v>
      </c>
    </row>
    <row r="72" spans="1:12">
      <c r="A72" s="55">
        <v>65</v>
      </c>
      <c r="B72" s="55" t="s">
        <v>650</v>
      </c>
      <c r="C72" s="55">
        <v>186</v>
      </c>
      <c r="D72" s="55">
        <v>105</v>
      </c>
      <c r="E72" s="55">
        <v>1372</v>
      </c>
      <c r="F72" s="55">
        <v>619</v>
      </c>
      <c r="G72" s="55">
        <v>77.14</v>
      </c>
      <c r="H72" s="55">
        <v>121.65</v>
      </c>
      <c r="I72" s="55">
        <v>0.64</v>
      </c>
      <c r="J72" s="55">
        <v>0.47</v>
      </c>
      <c r="K72" s="55">
        <v>0.3</v>
      </c>
      <c r="L72" s="55">
        <v>0.21</v>
      </c>
    </row>
    <row r="73" spans="1:12">
      <c r="A73" s="55">
        <v>66</v>
      </c>
      <c r="B73" s="55" t="s">
        <v>68</v>
      </c>
      <c r="C73" s="55">
        <v>191</v>
      </c>
      <c r="D73" s="55">
        <v>113</v>
      </c>
      <c r="E73" s="55">
        <v>1337</v>
      </c>
      <c r="F73" s="55">
        <v>1465</v>
      </c>
      <c r="G73" s="55">
        <v>69.03</v>
      </c>
      <c r="H73" s="55">
        <v>-8.74</v>
      </c>
      <c r="I73" s="55">
        <v>0.65</v>
      </c>
      <c r="J73" s="55">
        <v>0.46</v>
      </c>
      <c r="K73" s="55">
        <v>0.32</v>
      </c>
      <c r="L73" s="55">
        <v>0.51</v>
      </c>
    </row>
    <row r="74" spans="1:12">
      <c r="A74" s="55">
        <v>67</v>
      </c>
      <c r="B74" s="55" t="s">
        <v>63</v>
      </c>
      <c r="C74" s="55">
        <v>224</v>
      </c>
      <c r="D74" s="55">
        <v>41</v>
      </c>
      <c r="E74" s="55">
        <v>1282</v>
      </c>
      <c r="F74" s="55">
        <v>1439</v>
      </c>
      <c r="G74" s="55">
        <v>446.34</v>
      </c>
      <c r="H74" s="55">
        <v>-10.91</v>
      </c>
      <c r="I74" s="55">
        <v>0.77</v>
      </c>
      <c r="J74" s="55">
        <v>0.44</v>
      </c>
      <c r="K74" s="55">
        <v>0.12</v>
      </c>
      <c r="L74" s="55">
        <v>0.5</v>
      </c>
    </row>
    <row r="75" spans="1:12">
      <c r="A75" s="55">
        <v>68</v>
      </c>
      <c r="B75" s="55" t="s">
        <v>118</v>
      </c>
      <c r="C75" s="55">
        <v>170</v>
      </c>
      <c r="D75" s="55">
        <v>196</v>
      </c>
      <c r="E75" s="55">
        <v>1246</v>
      </c>
      <c r="F75" s="55">
        <v>1113</v>
      </c>
      <c r="G75" s="55">
        <v>-13.27</v>
      </c>
      <c r="H75" s="55">
        <v>11.95</v>
      </c>
      <c r="I75" s="55">
        <v>0.57999999999999996</v>
      </c>
      <c r="J75" s="55">
        <v>0.43</v>
      </c>
      <c r="K75" s="55">
        <v>0.55000000000000004</v>
      </c>
      <c r="L75" s="55">
        <v>0.39</v>
      </c>
    </row>
    <row r="76" spans="1:12">
      <c r="A76" s="55">
        <v>69</v>
      </c>
      <c r="B76" s="55" t="s">
        <v>194</v>
      </c>
      <c r="C76" s="55">
        <v>73</v>
      </c>
      <c r="D76" s="55">
        <v>95</v>
      </c>
      <c r="E76" s="55">
        <v>1246</v>
      </c>
      <c r="F76" s="55">
        <v>1038</v>
      </c>
      <c r="G76" s="55">
        <v>-23.16</v>
      </c>
      <c r="H76" s="55">
        <v>20.04</v>
      </c>
      <c r="I76" s="55">
        <v>0.25</v>
      </c>
      <c r="J76" s="55">
        <v>0.43</v>
      </c>
      <c r="K76" s="55">
        <v>0.27</v>
      </c>
      <c r="L76" s="55">
        <v>0.36</v>
      </c>
    </row>
    <row r="77" spans="1:12">
      <c r="A77" s="55">
        <v>70</v>
      </c>
      <c r="B77" s="55" t="s">
        <v>102</v>
      </c>
      <c r="C77" s="55">
        <v>133</v>
      </c>
      <c r="D77" s="55">
        <v>23</v>
      </c>
      <c r="E77" s="55">
        <v>1233</v>
      </c>
      <c r="F77" s="55">
        <v>401</v>
      </c>
      <c r="G77" s="55">
        <v>478.26</v>
      </c>
      <c r="H77" s="55">
        <v>207.48</v>
      </c>
      <c r="I77" s="55">
        <v>0.45</v>
      </c>
      <c r="J77" s="55">
        <v>0.43</v>
      </c>
      <c r="K77" s="55">
        <v>0.06</v>
      </c>
      <c r="L77" s="55">
        <v>0.14000000000000001</v>
      </c>
    </row>
    <row r="78" spans="1:12">
      <c r="A78" s="55">
        <v>71</v>
      </c>
      <c r="B78" s="55" t="s">
        <v>1052</v>
      </c>
      <c r="C78" s="55">
        <v>189</v>
      </c>
      <c r="D78" s="55">
        <v>0</v>
      </c>
      <c r="E78" s="55">
        <v>1233</v>
      </c>
      <c r="F78" s="55">
        <v>0</v>
      </c>
      <c r="G78" s="55">
        <v>0</v>
      </c>
      <c r="H78" s="55">
        <v>0</v>
      </c>
      <c r="I78" s="55">
        <v>0.65</v>
      </c>
      <c r="J78" s="55">
        <v>0.43</v>
      </c>
      <c r="K78" s="55">
        <v>0</v>
      </c>
      <c r="L78" s="55">
        <v>0</v>
      </c>
    </row>
    <row r="79" spans="1:12">
      <c r="A79" s="55">
        <v>72</v>
      </c>
      <c r="B79" s="55" t="s">
        <v>632</v>
      </c>
      <c r="C79" s="55">
        <v>7</v>
      </c>
      <c r="D79" s="55">
        <v>641</v>
      </c>
      <c r="E79" s="55">
        <v>1206</v>
      </c>
      <c r="F79" s="55">
        <v>2356</v>
      </c>
      <c r="G79" s="55">
        <v>-98.91</v>
      </c>
      <c r="H79" s="55">
        <v>-48.81</v>
      </c>
      <c r="I79" s="55">
        <v>0.02</v>
      </c>
      <c r="J79" s="55">
        <v>0.42</v>
      </c>
      <c r="K79" s="55">
        <v>1.81</v>
      </c>
      <c r="L79" s="55">
        <v>0.82</v>
      </c>
    </row>
    <row r="80" spans="1:12">
      <c r="A80" s="55">
        <v>73</v>
      </c>
      <c r="B80" s="55" t="s">
        <v>80</v>
      </c>
      <c r="C80" s="55">
        <v>121</v>
      </c>
      <c r="D80" s="55">
        <v>54</v>
      </c>
      <c r="E80" s="55">
        <v>1202</v>
      </c>
      <c r="F80" s="55">
        <v>694</v>
      </c>
      <c r="G80" s="55">
        <v>124.07</v>
      </c>
      <c r="H80" s="55">
        <v>73.2</v>
      </c>
      <c r="I80" s="55">
        <v>0.41</v>
      </c>
      <c r="J80" s="55">
        <v>0.41</v>
      </c>
      <c r="K80" s="55">
        <v>0.15</v>
      </c>
      <c r="L80" s="55">
        <v>0.24</v>
      </c>
    </row>
    <row r="81" spans="1:12">
      <c r="A81" s="55">
        <v>74</v>
      </c>
      <c r="B81" s="55" t="s">
        <v>1123</v>
      </c>
      <c r="C81" s="55">
        <v>67</v>
      </c>
      <c r="D81" s="55">
        <v>0</v>
      </c>
      <c r="E81" s="55">
        <v>1190</v>
      </c>
      <c r="F81" s="55">
        <v>100</v>
      </c>
      <c r="G81" s="55">
        <v>0</v>
      </c>
      <c r="H81" s="55">
        <v>1090</v>
      </c>
      <c r="I81" s="55">
        <v>0.23</v>
      </c>
      <c r="J81" s="55">
        <v>0.41</v>
      </c>
      <c r="K81" s="55">
        <v>0</v>
      </c>
      <c r="L81" s="55">
        <v>0.03</v>
      </c>
    </row>
    <row r="82" spans="1:12">
      <c r="A82" s="55">
        <v>75</v>
      </c>
      <c r="B82" s="55" t="s">
        <v>60</v>
      </c>
      <c r="C82" s="55">
        <v>96</v>
      </c>
      <c r="D82" s="55">
        <v>193</v>
      </c>
      <c r="E82" s="55">
        <v>1187</v>
      </c>
      <c r="F82" s="55">
        <v>1645</v>
      </c>
      <c r="G82" s="55">
        <v>-50.26</v>
      </c>
      <c r="H82" s="55">
        <v>-27.84</v>
      </c>
      <c r="I82" s="55">
        <v>0.33</v>
      </c>
      <c r="J82" s="55">
        <v>0.41</v>
      </c>
      <c r="K82" s="55">
        <v>0.54</v>
      </c>
      <c r="L82" s="55">
        <v>0.56999999999999995</v>
      </c>
    </row>
    <row r="83" spans="1:12">
      <c r="A83" s="55">
        <v>76</v>
      </c>
      <c r="B83" s="55" t="s">
        <v>77</v>
      </c>
      <c r="C83" s="55">
        <v>58</v>
      </c>
      <c r="D83" s="55">
        <v>113</v>
      </c>
      <c r="E83" s="55">
        <v>1187</v>
      </c>
      <c r="F83" s="55">
        <v>1303</v>
      </c>
      <c r="G83" s="55">
        <v>-48.67</v>
      </c>
      <c r="H83" s="55">
        <v>-8.9</v>
      </c>
      <c r="I83" s="55">
        <v>0.2</v>
      </c>
      <c r="J83" s="55">
        <v>0.41</v>
      </c>
      <c r="K83" s="55">
        <v>0.32</v>
      </c>
      <c r="L83" s="55">
        <v>0.45</v>
      </c>
    </row>
    <row r="84" spans="1:12">
      <c r="A84" s="55">
        <v>77</v>
      </c>
      <c r="B84" s="55" t="s">
        <v>99</v>
      </c>
      <c r="C84" s="55">
        <v>17</v>
      </c>
      <c r="D84" s="55">
        <v>101</v>
      </c>
      <c r="E84" s="55">
        <v>1164</v>
      </c>
      <c r="F84" s="55">
        <v>2288</v>
      </c>
      <c r="G84" s="55">
        <v>-83.17</v>
      </c>
      <c r="H84" s="55">
        <v>-49.13</v>
      </c>
      <c r="I84" s="55">
        <v>0.06</v>
      </c>
      <c r="J84" s="55">
        <v>0.4</v>
      </c>
      <c r="K84" s="55">
        <v>0.28000000000000003</v>
      </c>
      <c r="L84" s="55">
        <v>0.79</v>
      </c>
    </row>
    <row r="85" spans="1:12">
      <c r="A85" s="55">
        <v>78</v>
      </c>
      <c r="B85" s="55" t="s">
        <v>147</v>
      </c>
      <c r="C85" s="55">
        <v>87</v>
      </c>
      <c r="D85" s="55">
        <v>13</v>
      </c>
      <c r="E85" s="55">
        <v>1157</v>
      </c>
      <c r="F85" s="55">
        <v>394</v>
      </c>
      <c r="G85" s="55">
        <v>569.23</v>
      </c>
      <c r="H85" s="55">
        <v>193.65</v>
      </c>
      <c r="I85" s="55">
        <v>0.3</v>
      </c>
      <c r="J85" s="55">
        <v>0.4</v>
      </c>
      <c r="K85" s="55">
        <v>0.04</v>
      </c>
      <c r="L85" s="55">
        <v>0.14000000000000001</v>
      </c>
    </row>
    <row r="86" spans="1:12">
      <c r="A86" s="55">
        <v>79</v>
      </c>
      <c r="B86" s="55" t="s">
        <v>76</v>
      </c>
      <c r="C86" s="55">
        <v>142</v>
      </c>
      <c r="D86" s="55">
        <v>101</v>
      </c>
      <c r="E86" s="55">
        <v>1145</v>
      </c>
      <c r="F86" s="55">
        <v>1078</v>
      </c>
      <c r="G86" s="55">
        <v>40.590000000000003</v>
      </c>
      <c r="H86" s="55">
        <v>6.22</v>
      </c>
      <c r="I86" s="55">
        <v>0.49</v>
      </c>
      <c r="J86" s="55">
        <v>0.4</v>
      </c>
      <c r="K86" s="55">
        <v>0.28000000000000003</v>
      </c>
      <c r="L86" s="55">
        <v>0.37</v>
      </c>
    </row>
    <row r="87" spans="1:12">
      <c r="A87" s="55">
        <v>80</v>
      </c>
      <c r="B87" s="55" t="s">
        <v>59</v>
      </c>
      <c r="C87" s="55">
        <v>46</v>
      </c>
      <c r="D87" s="55">
        <v>166</v>
      </c>
      <c r="E87" s="55">
        <v>1116</v>
      </c>
      <c r="F87" s="55">
        <v>1462</v>
      </c>
      <c r="G87" s="55">
        <v>-72.290000000000006</v>
      </c>
      <c r="H87" s="55">
        <v>-23.67</v>
      </c>
      <c r="I87" s="55">
        <v>0.16</v>
      </c>
      <c r="J87" s="55">
        <v>0.39</v>
      </c>
      <c r="K87" s="55">
        <v>0.47</v>
      </c>
      <c r="L87" s="55">
        <v>0.51</v>
      </c>
    </row>
    <row r="88" spans="1:12">
      <c r="A88" s="55">
        <v>81</v>
      </c>
      <c r="B88" s="55" t="s">
        <v>93</v>
      </c>
      <c r="C88" s="55">
        <v>49</v>
      </c>
      <c r="D88" s="55">
        <v>95</v>
      </c>
      <c r="E88" s="55">
        <v>1114</v>
      </c>
      <c r="F88" s="55">
        <v>755</v>
      </c>
      <c r="G88" s="55">
        <v>-48.42</v>
      </c>
      <c r="H88" s="55">
        <v>47.55</v>
      </c>
      <c r="I88" s="55">
        <v>0.17</v>
      </c>
      <c r="J88" s="55">
        <v>0.38</v>
      </c>
      <c r="K88" s="55">
        <v>0.27</v>
      </c>
      <c r="L88" s="55">
        <v>0.26</v>
      </c>
    </row>
    <row r="89" spans="1:12">
      <c r="A89" s="55">
        <v>82</v>
      </c>
      <c r="B89" s="55" t="s">
        <v>597</v>
      </c>
      <c r="C89" s="55">
        <v>159</v>
      </c>
      <c r="D89" s="55">
        <v>155</v>
      </c>
      <c r="E89" s="55">
        <v>1103</v>
      </c>
      <c r="F89" s="55">
        <v>553</v>
      </c>
      <c r="G89" s="55">
        <v>2.58</v>
      </c>
      <c r="H89" s="55">
        <v>99.46</v>
      </c>
      <c r="I89" s="55">
        <v>0.54</v>
      </c>
      <c r="J89" s="55">
        <v>0.38</v>
      </c>
      <c r="K89" s="55">
        <v>0.44</v>
      </c>
      <c r="L89" s="55">
        <v>0.19</v>
      </c>
    </row>
    <row r="90" spans="1:12">
      <c r="A90" s="55">
        <v>83</v>
      </c>
      <c r="B90" s="55" t="s">
        <v>583</v>
      </c>
      <c r="C90" s="55">
        <v>55</v>
      </c>
      <c r="D90" s="55">
        <v>213</v>
      </c>
      <c r="E90" s="55">
        <v>1094</v>
      </c>
      <c r="F90" s="55">
        <v>2903</v>
      </c>
      <c r="G90" s="55">
        <v>-74.180000000000007</v>
      </c>
      <c r="H90" s="55">
        <v>-62.31</v>
      </c>
      <c r="I90" s="55">
        <v>0.19</v>
      </c>
      <c r="J90" s="55">
        <v>0.38</v>
      </c>
      <c r="K90" s="55">
        <v>0.6</v>
      </c>
      <c r="L90" s="55">
        <v>1.01</v>
      </c>
    </row>
    <row r="91" spans="1:12">
      <c r="A91" s="55">
        <v>84</v>
      </c>
      <c r="B91" s="55" t="s">
        <v>85</v>
      </c>
      <c r="C91" s="55">
        <v>65</v>
      </c>
      <c r="D91" s="55">
        <v>43</v>
      </c>
      <c r="E91" s="55">
        <v>1048</v>
      </c>
      <c r="F91" s="55">
        <v>669</v>
      </c>
      <c r="G91" s="55">
        <v>51.16</v>
      </c>
      <c r="H91" s="55">
        <v>56.65</v>
      </c>
      <c r="I91" s="55">
        <v>0.22</v>
      </c>
      <c r="J91" s="55">
        <v>0.36</v>
      </c>
      <c r="K91" s="55">
        <v>0.12</v>
      </c>
      <c r="L91" s="55">
        <v>0.23</v>
      </c>
    </row>
    <row r="92" spans="1:12">
      <c r="A92" s="55">
        <v>85</v>
      </c>
      <c r="B92" s="55" t="s">
        <v>649</v>
      </c>
      <c r="C92" s="55">
        <v>60</v>
      </c>
      <c r="D92" s="55">
        <v>99</v>
      </c>
      <c r="E92" s="55">
        <v>1036</v>
      </c>
      <c r="F92" s="55">
        <v>952</v>
      </c>
      <c r="G92" s="55">
        <v>-39.39</v>
      </c>
      <c r="H92" s="55">
        <v>8.82</v>
      </c>
      <c r="I92" s="55">
        <v>0.2</v>
      </c>
      <c r="J92" s="55">
        <v>0.36</v>
      </c>
      <c r="K92" s="55">
        <v>0.28000000000000003</v>
      </c>
      <c r="L92" s="55">
        <v>0.33</v>
      </c>
    </row>
    <row r="93" spans="1:12">
      <c r="A93" s="55">
        <v>86</v>
      </c>
      <c r="B93" s="55" t="s">
        <v>1054</v>
      </c>
      <c r="C93" s="55">
        <v>245</v>
      </c>
      <c r="D93" s="55">
        <v>0</v>
      </c>
      <c r="E93" s="55">
        <v>1018</v>
      </c>
      <c r="F93" s="55">
        <v>0</v>
      </c>
      <c r="G93" s="55">
        <v>0</v>
      </c>
      <c r="H93" s="55">
        <v>0</v>
      </c>
      <c r="I93" s="55">
        <v>0.84</v>
      </c>
      <c r="J93" s="55">
        <v>0.35</v>
      </c>
      <c r="K93" s="55">
        <v>0</v>
      </c>
      <c r="L93" s="55">
        <v>0</v>
      </c>
    </row>
    <row r="94" spans="1:12">
      <c r="A94" s="55">
        <v>87</v>
      </c>
      <c r="B94" s="55" t="s">
        <v>83</v>
      </c>
      <c r="C94" s="55">
        <v>75</v>
      </c>
      <c r="D94" s="55">
        <v>71</v>
      </c>
      <c r="E94" s="55">
        <v>992</v>
      </c>
      <c r="F94" s="55">
        <v>824</v>
      </c>
      <c r="G94" s="55">
        <v>5.63</v>
      </c>
      <c r="H94" s="55">
        <v>20.39</v>
      </c>
      <c r="I94" s="55">
        <v>0.26</v>
      </c>
      <c r="J94" s="55">
        <v>0.34</v>
      </c>
      <c r="K94" s="55">
        <v>0.2</v>
      </c>
      <c r="L94" s="55">
        <v>0.28999999999999998</v>
      </c>
    </row>
    <row r="95" spans="1:12">
      <c r="A95" s="55">
        <v>88</v>
      </c>
      <c r="B95" s="55" t="s">
        <v>605</v>
      </c>
      <c r="C95" s="55">
        <v>106</v>
      </c>
      <c r="D95" s="55">
        <v>140</v>
      </c>
      <c r="E95" s="55">
        <v>987</v>
      </c>
      <c r="F95" s="55">
        <v>662</v>
      </c>
      <c r="G95" s="55">
        <v>-24.29</v>
      </c>
      <c r="H95" s="55">
        <v>49.09</v>
      </c>
      <c r="I95" s="55">
        <v>0.36</v>
      </c>
      <c r="J95" s="55">
        <v>0.34</v>
      </c>
      <c r="K95" s="55">
        <v>0.39</v>
      </c>
      <c r="L95" s="55">
        <v>0.23</v>
      </c>
    </row>
    <row r="96" spans="1:12">
      <c r="A96" s="55">
        <v>89</v>
      </c>
      <c r="B96" s="55" t="s">
        <v>101</v>
      </c>
      <c r="C96" s="55">
        <v>92</v>
      </c>
      <c r="D96" s="55">
        <v>87</v>
      </c>
      <c r="E96" s="55">
        <v>958</v>
      </c>
      <c r="F96" s="55">
        <v>683</v>
      </c>
      <c r="G96" s="55">
        <v>5.75</v>
      </c>
      <c r="H96" s="55">
        <v>40.26</v>
      </c>
      <c r="I96" s="55">
        <v>0.31</v>
      </c>
      <c r="J96" s="55">
        <v>0.33</v>
      </c>
      <c r="K96" s="55">
        <v>0.25</v>
      </c>
      <c r="L96" s="55">
        <v>0.24</v>
      </c>
    </row>
    <row r="97" spans="1:12">
      <c r="A97" s="55">
        <v>90</v>
      </c>
      <c r="B97" s="55" t="s">
        <v>1008</v>
      </c>
      <c r="C97" s="55">
        <v>80</v>
      </c>
      <c r="D97" s="55">
        <v>8</v>
      </c>
      <c r="E97" s="55">
        <v>909</v>
      </c>
      <c r="F97" s="55">
        <v>107</v>
      </c>
      <c r="G97" s="55">
        <v>900</v>
      </c>
      <c r="H97" s="55">
        <v>749.53</v>
      </c>
      <c r="I97" s="55">
        <v>0.27</v>
      </c>
      <c r="J97" s="55">
        <v>0.31</v>
      </c>
      <c r="K97" s="55">
        <v>0.02</v>
      </c>
      <c r="L97" s="55">
        <v>0.04</v>
      </c>
    </row>
    <row r="98" spans="1:12">
      <c r="A98" s="55">
        <v>91</v>
      </c>
      <c r="B98" s="55" t="s">
        <v>119</v>
      </c>
      <c r="C98" s="55">
        <v>74</v>
      </c>
      <c r="D98" s="55">
        <v>31</v>
      </c>
      <c r="E98" s="55">
        <v>907</v>
      </c>
      <c r="F98" s="55">
        <v>782</v>
      </c>
      <c r="G98" s="55">
        <v>138.71</v>
      </c>
      <c r="H98" s="55">
        <v>15.98</v>
      </c>
      <c r="I98" s="55">
        <v>0.25</v>
      </c>
      <c r="J98" s="55">
        <v>0.31</v>
      </c>
      <c r="K98" s="55">
        <v>0.09</v>
      </c>
      <c r="L98" s="55">
        <v>0.27</v>
      </c>
    </row>
    <row r="99" spans="1:12">
      <c r="A99" s="55">
        <v>92</v>
      </c>
      <c r="B99" s="55" t="s">
        <v>81</v>
      </c>
      <c r="C99" s="55">
        <v>56</v>
      </c>
      <c r="D99" s="55">
        <v>64</v>
      </c>
      <c r="E99" s="55">
        <v>907</v>
      </c>
      <c r="F99" s="55">
        <v>773</v>
      </c>
      <c r="G99" s="55">
        <v>-12.5</v>
      </c>
      <c r="H99" s="55">
        <v>17.34</v>
      </c>
      <c r="I99" s="55">
        <v>0.19</v>
      </c>
      <c r="J99" s="55">
        <v>0.31</v>
      </c>
      <c r="K99" s="55">
        <v>0.18</v>
      </c>
      <c r="L99" s="55">
        <v>0.27</v>
      </c>
    </row>
    <row r="100" spans="1:12">
      <c r="A100" s="55">
        <v>93</v>
      </c>
      <c r="B100" s="55" t="s">
        <v>75</v>
      </c>
      <c r="C100" s="55">
        <v>93</v>
      </c>
      <c r="D100" s="55">
        <v>79</v>
      </c>
      <c r="E100" s="55">
        <v>889</v>
      </c>
      <c r="F100" s="55">
        <v>999</v>
      </c>
      <c r="G100" s="55">
        <v>17.72</v>
      </c>
      <c r="H100" s="55">
        <v>-11.01</v>
      </c>
      <c r="I100" s="55">
        <v>0.32</v>
      </c>
      <c r="J100" s="55">
        <v>0.31</v>
      </c>
      <c r="K100" s="55">
        <v>0.22</v>
      </c>
      <c r="L100" s="55">
        <v>0.35</v>
      </c>
    </row>
    <row r="101" spans="1:12">
      <c r="A101" s="55">
        <v>94</v>
      </c>
      <c r="B101" s="55" t="s">
        <v>88</v>
      </c>
      <c r="C101" s="55">
        <v>82</v>
      </c>
      <c r="D101" s="55">
        <v>65</v>
      </c>
      <c r="E101" s="55">
        <v>864</v>
      </c>
      <c r="F101" s="55">
        <v>1224</v>
      </c>
      <c r="G101" s="55">
        <v>26.15</v>
      </c>
      <c r="H101" s="55">
        <v>-29.41</v>
      </c>
      <c r="I101" s="55">
        <v>0.28000000000000003</v>
      </c>
      <c r="J101" s="55">
        <v>0.3</v>
      </c>
      <c r="K101" s="55">
        <v>0.18</v>
      </c>
      <c r="L101" s="55">
        <v>0.42</v>
      </c>
    </row>
    <row r="102" spans="1:12">
      <c r="A102" s="55">
        <v>95</v>
      </c>
      <c r="B102" s="55" t="s">
        <v>111</v>
      </c>
      <c r="C102" s="55">
        <v>44</v>
      </c>
      <c r="D102" s="55">
        <v>64</v>
      </c>
      <c r="E102" s="55">
        <v>825</v>
      </c>
      <c r="F102" s="55">
        <v>560</v>
      </c>
      <c r="G102" s="55">
        <v>-31.25</v>
      </c>
      <c r="H102" s="55">
        <v>47.32</v>
      </c>
      <c r="I102" s="55">
        <v>0.15</v>
      </c>
      <c r="J102" s="55">
        <v>0.28000000000000003</v>
      </c>
      <c r="K102" s="55">
        <v>0.18</v>
      </c>
      <c r="L102" s="55">
        <v>0.19</v>
      </c>
    </row>
    <row r="103" spans="1:12">
      <c r="A103" s="55">
        <v>96</v>
      </c>
      <c r="B103" s="55" t="s">
        <v>607</v>
      </c>
      <c r="C103" s="55">
        <v>103</v>
      </c>
      <c r="D103" s="55">
        <v>190</v>
      </c>
      <c r="E103" s="55">
        <v>792</v>
      </c>
      <c r="F103" s="55">
        <v>1207</v>
      </c>
      <c r="G103" s="55">
        <v>-45.79</v>
      </c>
      <c r="H103" s="55">
        <v>-34.380000000000003</v>
      </c>
      <c r="I103" s="55">
        <v>0.35</v>
      </c>
      <c r="J103" s="55">
        <v>0.27</v>
      </c>
      <c r="K103" s="55">
        <v>0.54</v>
      </c>
      <c r="L103" s="55">
        <v>0.42</v>
      </c>
    </row>
    <row r="104" spans="1:12">
      <c r="A104" s="55">
        <v>97</v>
      </c>
      <c r="B104" s="55" t="s">
        <v>140</v>
      </c>
      <c r="C104" s="55">
        <v>2</v>
      </c>
      <c r="D104" s="55">
        <v>113</v>
      </c>
      <c r="E104" s="55">
        <v>790</v>
      </c>
      <c r="F104" s="55">
        <v>648</v>
      </c>
      <c r="G104" s="55">
        <v>-98.23</v>
      </c>
      <c r="H104" s="55">
        <v>21.91</v>
      </c>
      <c r="I104" s="55">
        <v>0.01</v>
      </c>
      <c r="J104" s="55">
        <v>0.27</v>
      </c>
      <c r="K104" s="55">
        <v>0.32</v>
      </c>
      <c r="L104" s="55">
        <v>0.22</v>
      </c>
    </row>
    <row r="105" spans="1:12">
      <c r="A105" s="55">
        <v>98</v>
      </c>
      <c r="B105" s="55" t="s">
        <v>369</v>
      </c>
      <c r="C105" s="55">
        <v>45</v>
      </c>
      <c r="D105" s="55">
        <v>77</v>
      </c>
      <c r="E105" s="55">
        <v>754</v>
      </c>
      <c r="F105" s="55">
        <v>789</v>
      </c>
      <c r="G105" s="55">
        <v>-41.56</v>
      </c>
      <c r="H105" s="55">
        <v>-4.4400000000000004</v>
      </c>
      <c r="I105" s="55">
        <v>0.15</v>
      </c>
      <c r="J105" s="55">
        <v>0.26</v>
      </c>
      <c r="K105" s="55">
        <v>0.22</v>
      </c>
      <c r="L105" s="55">
        <v>0.27</v>
      </c>
    </row>
    <row r="106" spans="1:12">
      <c r="A106" s="55">
        <v>99</v>
      </c>
      <c r="B106" s="55" t="s">
        <v>65</v>
      </c>
      <c r="C106" s="55">
        <v>60</v>
      </c>
      <c r="D106" s="55">
        <v>38</v>
      </c>
      <c r="E106" s="55">
        <v>735</v>
      </c>
      <c r="F106" s="55">
        <v>553</v>
      </c>
      <c r="G106" s="55">
        <v>57.89</v>
      </c>
      <c r="H106" s="55">
        <v>32.909999999999997</v>
      </c>
      <c r="I106" s="55">
        <v>0.2</v>
      </c>
      <c r="J106" s="55">
        <v>0.25</v>
      </c>
      <c r="K106" s="55">
        <v>0.11</v>
      </c>
      <c r="L106" s="55">
        <v>0.19</v>
      </c>
    </row>
    <row r="107" spans="1:12">
      <c r="A107" s="55">
        <v>100</v>
      </c>
      <c r="B107" s="55" t="s">
        <v>141</v>
      </c>
      <c r="C107" s="55">
        <v>80</v>
      </c>
      <c r="D107" s="55">
        <v>64</v>
      </c>
      <c r="E107" s="55">
        <v>712</v>
      </c>
      <c r="F107" s="55">
        <v>1472</v>
      </c>
      <c r="G107" s="55">
        <v>25</v>
      </c>
      <c r="H107" s="55">
        <v>-51.63</v>
      </c>
      <c r="I107" s="55">
        <v>0.27</v>
      </c>
      <c r="J107" s="55">
        <v>0.25</v>
      </c>
      <c r="K107" s="55">
        <v>0.18</v>
      </c>
      <c r="L107" s="55">
        <v>0.51</v>
      </c>
    </row>
    <row r="108" spans="1:12">
      <c r="A108" s="55">
        <v>101</v>
      </c>
      <c r="B108" s="55" t="s">
        <v>1030</v>
      </c>
      <c r="C108" s="55">
        <v>170</v>
      </c>
      <c r="D108" s="55">
        <v>146</v>
      </c>
      <c r="E108" s="55">
        <v>701</v>
      </c>
      <c r="F108" s="55">
        <v>146</v>
      </c>
      <c r="G108" s="55">
        <v>16.440000000000001</v>
      </c>
      <c r="H108" s="55">
        <v>380.14</v>
      </c>
      <c r="I108" s="55">
        <v>0.57999999999999996</v>
      </c>
      <c r="J108" s="55">
        <v>0.24</v>
      </c>
      <c r="K108" s="55">
        <v>0.41</v>
      </c>
      <c r="L108" s="55">
        <v>0.05</v>
      </c>
    </row>
    <row r="109" spans="1:12">
      <c r="A109" s="55">
        <v>102</v>
      </c>
      <c r="B109" s="55" t="s">
        <v>363</v>
      </c>
      <c r="C109" s="55">
        <v>73</v>
      </c>
      <c r="D109" s="55">
        <v>142</v>
      </c>
      <c r="E109" s="55">
        <v>673</v>
      </c>
      <c r="F109" s="55">
        <v>823</v>
      </c>
      <c r="G109" s="55">
        <v>-48.59</v>
      </c>
      <c r="H109" s="55">
        <v>-18.23</v>
      </c>
      <c r="I109" s="55">
        <v>0.25</v>
      </c>
      <c r="J109" s="55">
        <v>0.23</v>
      </c>
      <c r="K109" s="55">
        <v>0.4</v>
      </c>
      <c r="L109" s="55">
        <v>0.28999999999999998</v>
      </c>
    </row>
    <row r="110" spans="1:12">
      <c r="A110" s="55">
        <v>103</v>
      </c>
      <c r="B110" s="55" t="s">
        <v>126</v>
      </c>
      <c r="C110" s="55">
        <v>47</v>
      </c>
      <c r="D110" s="55">
        <v>33</v>
      </c>
      <c r="E110" s="55">
        <v>664</v>
      </c>
      <c r="F110" s="55">
        <v>907</v>
      </c>
      <c r="G110" s="55">
        <v>42.42</v>
      </c>
      <c r="H110" s="55">
        <v>-26.79</v>
      </c>
      <c r="I110" s="55">
        <v>0.16</v>
      </c>
      <c r="J110" s="55">
        <v>0.23</v>
      </c>
      <c r="K110" s="55">
        <v>0.09</v>
      </c>
      <c r="L110" s="55">
        <v>0.31</v>
      </c>
    </row>
    <row r="111" spans="1:12">
      <c r="A111" s="55">
        <v>104</v>
      </c>
      <c r="B111" s="55" t="s">
        <v>700</v>
      </c>
      <c r="C111" s="55">
        <v>55</v>
      </c>
      <c r="D111" s="55">
        <v>112</v>
      </c>
      <c r="E111" s="55">
        <v>655</v>
      </c>
      <c r="F111" s="55">
        <v>898</v>
      </c>
      <c r="G111" s="55">
        <v>-50.89</v>
      </c>
      <c r="H111" s="55">
        <v>-27.06</v>
      </c>
      <c r="I111" s="55">
        <v>0.19</v>
      </c>
      <c r="J111" s="55">
        <v>0.23</v>
      </c>
      <c r="K111" s="55">
        <v>0.32</v>
      </c>
      <c r="L111" s="55">
        <v>0.31</v>
      </c>
    </row>
    <row r="112" spans="1:12">
      <c r="A112" s="55">
        <v>105</v>
      </c>
      <c r="B112" s="55" t="s">
        <v>1266</v>
      </c>
      <c r="C112" s="55">
        <v>313</v>
      </c>
      <c r="D112" s="55">
        <v>0</v>
      </c>
      <c r="E112" s="55">
        <v>651</v>
      </c>
      <c r="F112" s="55">
        <v>0</v>
      </c>
      <c r="G112" s="55">
        <v>0</v>
      </c>
      <c r="H112" s="55">
        <v>0</v>
      </c>
      <c r="I112" s="55">
        <v>1.07</v>
      </c>
      <c r="J112" s="55">
        <v>0.22</v>
      </c>
      <c r="K112" s="55">
        <v>0</v>
      </c>
      <c r="L112" s="55">
        <v>0</v>
      </c>
    </row>
    <row r="113" spans="1:12">
      <c r="A113" s="55">
        <v>106</v>
      </c>
      <c r="B113" s="55" t="s">
        <v>62</v>
      </c>
      <c r="C113" s="55">
        <v>17</v>
      </c>
      <c r="D113" s="55">
        <v>248</v>
      </c>
      <c r="E113" s="55">
        <v>635</v>
      </c>
      <c r="F113" s="55">
        <v>1557</v>
      </c>
      <c r="G113" s="55">
        <v>-93.15</v>
      </c>
      <c r="H113" s="55">
        <v>-59.22</v>
      </c>
      <c r="I113" s="55">
        <v>0.06</v>
      </c>
      <c r="J113" s="55">
        <v>0.22</v>
      </c>
      <c r="K113" s="55">
        <v>0.7</v>
      </c>
      <c r="L113" s="55">
        <v>0.54</v>
      </c>
    </row>
    <row r="114" spans="1:12">
      <c r="A114" s="55">
        <v>107</v>
      </c>
      <c r="B114" s="55" t="s">
        <v>172</v>
      </c>
      <c r="C114" s="55">
        <v>18</v>
      </c>
      <c r="D114" s="55">
        <v>67</v>
      </c>
      <c r="E114" s="55">
        <v>632</v>
      </c>
      <c r="F114" s="55">
        <v>845</v>
      </c>
      <c r="G114" s="55">
        <v>-73.13</v>
      </c>
      <c r="H114" s="55">
        <v>-25.21</v>
      </c>
      <c r="I114" s="55">
        <v>0.06</v>
      </c>
      <c r="J114" s="55">
        <v>0.22</v>
      </c>
      <c r="K114" s="55">
        <v>0.19</v>
      </c>
      <c r="L114" s="55">
        <v>0.28999999999999998</v>
      </c>
    </row>
    <row r="115" spans="1:12">
      <c r="A115" s="55">
        <v>108</v>
      </c>
      <c r="B115" s="55" t="s">
        <v>385</v>
      </c>
      <c r="C115" s="55">
        <v>61</v>
      </c>
      <c r="D115" s="55">
        <v>19</v>
      </c>
      <c r="E115" s="55">
        <v>628</v>
      </c>
      <c r="F115" s="55">
        <v>436</v>
      </c>
      <c r="G115" s="55">
        <v>221.05</v>
      </c>
      <c r="H115" s="55">
        <v>44.04</v>
      </c>
      <c r="I115" s="55">
        <v>0.21</v>
      </c>
      <c r="J115" s="55">
        <v>0.22</v>
      </c>
      <c r="K115" s="55">
        <v>0.05</v>
      </c>
      <c r="L115" s="55">
        <v>0.15</v>
      </c>
    </row>
    <row r="116" spans="1:12">
      <c r="A116" s="55">
        <v>109</v>
      </c>
      <c r="B116" s="55" t="s">
        <v>159</v>
      </c>
      <c r="C116" s="55">
        <v>45</v>
      </c>
      <c r="D116" s="55">
        <v>30</v>
      </c>
      <c r="E116" s="55">
        <v>628</v>
      </c>
      <c r="F116" s="55">
        <v>436</v>
      </c>
      <c r="G116" s="55">
        <v>50</v>
      </c>
      <c r="H116" s="55">
        <v>44.04</v>
      </c>
      <c r="I116" s="55">
        <v>0.15</v>
      </c>
      <c r="J116" s="55">
        <v>0.22</v>
      </c>
      <c r="K116" s="55">
        <v>0.08</v>
      </c>
      <c r="L116" s="55">
        <v>0.15</v>
      </c>
    </row>
    <row r="117" spans="1:12">
      <c r="A117" s="55">
        <v>110</v>
      </c>
      <c r="B117" s="55" t="s">
        <v>125</v>
      </c>
      <c r="C117" s="55">
        <v>78</v>
      </c>
      <c r="D117" s="55">
        <v>22</v>
      </c>
      <c r="E117" s="55">
        <v>592</v>
      </c>
      <c r="F117" s="55">
        <v>253</v>
      </c>
      <c r="G117" s="55">
        <v>254.55</v>
      </c>
      <c r="H117" s="55">
        <v>133.99</v>
      </c>
      <c r="I117" s="55">
        <v>0.27</v>
      </c>
      <c r="J117" s="55">
        <v>0.2</v>
      </c>
      <c r="K117" s="55">
        <v>0.06</v>
      </c>
      <c r="L117" s="55">
        <v>0.09</v>
      </c>
    </row>
    <row r="118" spans="1:12">
      <c r="A118" s="55">
        <v>111</v>
      </c>
      <c r="B118" s="55" t="s">
        <v>112</v>
      </c>
      <c r="C118" s="55">
        <v>61</v>
      </c>
      <c r="D118" s="55">
        <v>36</v>
      </c>
      <c r="E118" s="55">
        <v>591</v>
      </c>
      <c r="F118" s="55">
        <v>506</v>
      </c>
      <c r="G118" s="55">
        <v>69.44</v>
      </c>
      <c r="H118" s="55">
        <v>16.8</v>
      </c>
      <c r="I118" s="55">
        <v>0.21</v>
      </c>
      <c r="J118" s="55">
        <v>0.2</v>
      </c>
      <c r="K118" s="55">
        <v>0.1</v>
      </c>
      <c r="L118" s="55">
        <v>0.18</v>
      </c>
    </row>
    <row r="119" spans="1:12">
      <c r="A119" s="55">
        <v>112</v>
      </c>
      <c r="B119" s="55" t="s">
        <v>73</v>
      </c>
      <c r="C119" s="55">
        <v>32</v>
      </c>
      <c r="D119" s="55">
        <v>90</v>
      </c>
      <c r="E119" s="55">
        <v>586</v>
      </c>
      <c r="F119" s="55">
        <v>427</v>
      </c>
      <c r="G119" s="55">
        <v>-64.44</v>
      </c>
      <c r="H119" s="55">
        <v>37.24</v>
      </c>
      <c r="I119" s="55">
        <v>0.11</v>
      </c>
      <c r="J119" s="55">
        <v>0.2</v>
      </c>
      <c r="K119" s="55">
        <v>0.25</v>
      </c>
      <c r="L119" s="55">
        <v>0.15</v>
      </c>
    </row>
    <row r="120" spans="1:12">
      <c r="A120" s="55">
        <v>113</v>
      </c>
      <c r="B120" s="55" t="s">
        <v>148</v>
      </c>
      <c r="C120" s="55">
        <v>41</v>
      </c>
      <c r="D120" s="55">
        <v>68</v>
      </c>
      <c r="E120" s="55">
        <v>571</v>
      </c>
      <c r="F120" s="55">
        <v>468</v>
      </c>
      <c r="G120" s="55">
        <v>-39.71</v>
      </c>
      <c r="H120" s="55">
        <v>22.01</v>
      </c>
      <c r="I120" s="55">
        <v>0.14000000000000001</v>
      </c>
      <c r="J120" s="55">
        <v>0.2</v>
      </c>
      <c r="K120" s="55">
        <v>0.19</v>
      </c>
      <c r="L120" s="55">
        <v>0.16</v>
      </c>
    </row>
    <row r="121" spans="1:12">
      <c r="A121" s="55">
        <v>114</v>
      </c>
      <c r="B121" s="55" t="s">
        <v>1029</v>
      </c>
      <c r="C121" s="55">
        <v>31</v>
      </c>
      <c r="D121" s="55">
        <v>211</v>
      </c>
      <c r="E121" s="55">
        <v>542</v>
      </c>
      <c r="F121" s="55">
        <v>211</v>
      </c>
      <c r="G121" s="55">
        <v>-85.31</v>
      </c>
      <c r="H121" s="55">
        <v>156.87</v>
      </c>
      <c r="I121" s="55">
        <v>0.11</v>
      </c>
      <c r="J121" s="55">
        <v>0.19</v>
      </c>
      <c r="K121" s="55">
        <v>0.59</v>
      </c>
      <c r="L121" s="55">
        <v>7.0000000000000007E-2</v>
      </c>
    </row>
    <row r="122" spans="1:12">
      <c r="A122" s="55">
        <v>115</v>
      </c>
      <c r="B122" s="55" t="s">
        <v>131</v>
      </c>
      <c r="C122" s="55">
        <v>3</v>
      </c>
      <c r="D122" s="55">
        <v>15</v>
      </c>
      <c r="E122" s="55">
        <v>540</v>
      </c>
      <c r="F122" s="55">
        <v>682</v>
      </c>
      <c r="G122" s="55">
        <v>-80</v>
      </c>
      <c r="H122" s="55">
        <v>-20.82</v>
      </c>
      <c r="I122" s="55">
        <v>0.01</v>
      </c>
      <c r="J122" s="55">
        <v>0.19</v>
      </c>
      <c r="K122" s="55">
        <v>0.04</v>
      </c>
      <c r="L122" s="55">
        <v>0.24</v>
      </c>
    </row>
    <row r="123" spans="1:12">
      <c r="A123" s="55">
        <v>116</v>
      </c>
      <c r="B123" s="55" t="s">
        <v>162</v>
      </c>
      <c r="C123" s="55">
        <v>43</v>
      </c>
      <c r="D123" s="55">
        <v>62</v>
      </c>
      <c r="E123" s="55">
        <v>529</v>
      </c>
      <c r="F123" s="55">
        <v>589</v>
      </c>
      <c r="G123" s="55">
        <v>-30.65</v>
      </c>
      <c r="H123" s="55">
        <v>-10.19</v>
      </c>
      <c r="I123" s="55">
        <v>0.15</v>
      </c>
      <c r="J123" s="55">
        <v>0.18</v>
      </c>
      <c r="K123" s="55">
        <v>0.17</v>
      </c>
      <c r="L123" s="55">
        <v>0.2</v>
      </c>
    </row>
    <row r="124" spans="1:12">
      <c r="A124" s="55">
        <v>117</v>
      </c>
      <c r="B124" s="55" t="s">
        <v>66</v>
      </c>
      <c r="C124" s="55">
        <v>122</v>
      </c>
      <c r="D124" s="55">
        <v>40</v>
      </c>
      <c r="E124" s="55">
        <v>524</v>
      </c>
      <c r="F124" s="55">
        <v>756</v>
      </c>
      <c r="G124" s="55">
        <v>205</v>
      </c>
      <c r="H124" s="55">
        <v>-30.69</v>
      </c>
      <c r="I124" s="55">
        <v>0.42</v>
      </c>
      <c r="J124" s="55">
        <v>0.18</v>
      </c>
      <c r="K124" s="55">
        <v>0.11</v>
      </c>
      <c r="L124" s="55">
        <v>0.26</v>
      </c>
    </row>
    <row r="125" spans="1:12">
      <c r="A125" s="55">
        <v>118</v>
      </c>
      <c r="B125" s="55" t="s">
        <v>139</v>
      </c>
      <c r="C125" s="55">
        <v>71</v>
      </c>
      <c r="D125" s="55">
        <v>80</v>
      </c>
      <c r="E125" s="55">
        <v>516</v>
      </c>
      <c r="F125" s="55">
        <v>406</v>
      </c>
      <c r="G125" s="55">
        <v>-11.25</v>
      </c>
      <c r="H125" s="55">
        <v>27.09</v>
      </c>
      <c r="I125" s="55">
        <v>0.24</v>
      </c>
      <c r="J125" s="55">
        <v>0.18</v>
      </c>
      <c r="K125" s="55">
        <v>0.23</v>
      </c>
      <c r="L125" s="55">
        <v>0.14000000000000001</v>
      </c>
    </row>
    <row r="126" spans="1:12">
      <c r="A126" s="55">
        <v>119</v>
      </c>
      <c r="B126" s="55" t="s">
        <v>1170</v>
      </c>
      <c r="C126" s="55">
        <v>44</v>
      </c>
      <c r="D126" s="55">
        <v>24</v>
      </c>
      <c r="E126" s="55">
        <v>490</v>
      </c>
      <c r="F126" s="55">
        <v>147</v>
      </c>
      <c r="G126" s="55">
        <v>83.33</v>
      </c>
      <c r="H126" s="55">
        <v>233.33</v>
      </c>
      <c r="I126" s="55">
        <v>0.15</v>
      </c>
      <c r="J126" s="55">
        <v>0.17</v>
      </c>
      <c r="K126" s="55">
        <v>7.0000000000000007E-2</v>
      </c>
      <c r="L126" s="55">
        <v>0.05</v>
      </c>
    </row>
    <row r="127" spans="1:12">
      <c r="A127" s="55">
        <v>120</v>
      </c>
      <c r="B127" s="55" t="s">
        <v>135</v>
      </c>
      <c r="C127" s="55">
        <v>47</v>
      </c>
      <c r="D127" s="55">
        <v>52</v>
      </c>
      <c r="E127" s="55">
        <v>485</v>
      </c>
      <c r="F127" s="55">
        <v>389</v>
      </c>
      <c r="G127" s="55">
        <v>-9.6199999999999992</v>
      </c>
      <c r="H127" s="55">
        <v>24.68</v>
      </c>
      <c r="I127" s="55">
        <v>0.16</v>
      </c>
      <c r="J127" s="55">
        <v>0.17</v>
      </c>
      <c r="K127" s="55">
        <v>0.15</v>
      </c>
      <c r="L127" s="55">
        <v>0.14000000000000001</v>
      </c>
    </row>
    <row r="128" spans="1:12">
      <c r="A128" s="55">
        <v>121</v>
      </c>
      <c r="B128" s="55" t="s">
        <v>109</v>
      </c>
      <c r="C128" s="55">
        <v>17</v>
      </c>
      <c r="D128" s="55">
        <v>78</v>
      </c>
      <c r="E128" s="55">
        <v>474</v>
      </c>
      <c r="F128" s="55">
        <v>465</v>
      </c>
      <c r="G128" s="55">
        <v>-78.209999999999994</v>
      </c>
      <c r="H128" s="55">
        <v>1.94</v>
      </c>
      <c r="I128" s="55">
        <v>0.06</v>
      </c>
      <c r="J128" s="55">
        <v>0.16</v>
      </c>
      <c r="K128" s="55">
        <v>0.22</v>
      </c>
      <c r="L128" s="55">
        <v>0.16</v>
      </c>
    </row>
    <row r="129" spans="1:12">
      <c r="A129" s="55">
        <v>122</v>
      </c>
      <c r="B129" s="55" t="s">
        <v>124</v>
      </c>
      <c r="C129" s="55">
        <v>10</v>
      </c>
      <c r="D129" s="55">
        <v>33</v>
      </c>
      <c r="E129" s="55">
        <v>470</v>
      </c>
      <c r="F129" s="55">
        <v>563</v>
      </c>
      <c r="G129" s="55">
        <v>-69.7</v>
      </c>
      <c r="H129" s="55">
        <v>-16.52</v>
      </c>
      <c r="I129" s="55">
        <v>0.03</v>
      </c>
      <c r="J129" s="55">
        <v>0.16</v>
      </c>
      <c r="K129" s="55">
        <v>0.09</v>
      </c>
      <c r="L129" s="55">
        <v>0.2</v>
      </c>
    </row>
    <row r="130" spans="1:12">
      <c r="A130" s="55">
        <v>123</v>
      </c>
      <c r="B130" s="55" t="s">
        <v>69</v>
      </c>
      <c r="C130" s="55">
        <v>22</v>
      </c>
      <c r="D130" s="55">
        <v>36</v>
      </c>
      <c r="E130" s="55">
        <v>469</v>
      </c>
      <c r="F130" s="55">
        <v>789</v>
      </c>
      <c r="G130" s="55">
        <v>-38.89</v>
      </c>
      <c r="H130" s="55">
        <v>-40.56</v>
      </c>
      <c r="I130" s="55">
        <v>0.08</v>
      </c>
      <c r="J130" s="55">
        <v>0.16</v>
      </c>
      <c r="K130" s="55">
        <v>0.1</v>
      </c>
      <c r="L130" s="55">
        <v>0.27</v>
      </c>
    </row>
    <row r="131" spans="1:12">
      <c r="A131" s="55">
        <v>124</v>
      </c>
      <c r="B131" s="55" t="s">
        <v>95</v>
      </c>
      <c r="C131" s="55">
        <v>56</v>
      </c>
      <c r="D131" s="55">
        <v>61</v>
      </c>
      <c r="E131" s="55">
        <v>465</v>
      </c>
      <c r="F131" s="55">
        <v>396</v>
      </c>
      <c r="G131" s="55">
        <v>-8.1999999999999993</v>
      </c>
      <c r="H131" s="55">
        <v>17.420000000000002</v>
      </c>
      <c r="I131" s="55">
        <v>0.19</v>
      </c>
      <c r="J131" s="55">
        <v>0.16</v>
      </c>
      <c r="K131" s="55">
        <v>0.17</v>
      </c>
      <c r="L131" s="55">
        <v>0.14000000000000001</v>
      </c>
    </row>
    <row r="132" spans="1:12">
      <c r="A132" s="55">
        <v>125</v>
      </c>
      <c r="B132" s="55" t="s">
        <v>663</v>
      </c>
      <c r="C132" s="55">
        <v>68</v>
      </c>
      <c r="D132" s="55">
        <v>23</v>
      </c>
      <c r="E132" s="55">
        <v>463</v>
      </c>
      <c r="F132" s="55">
        <v>373</v>
      </c>
      <c r="G132" s="55">
        <v>195.65</v>
      </c>
      <c r="H132" s="55">
        <v>24.13</v>
      </c>
      <c r="I132" s="55">
        <v>0.23</v>
      </c>
      <c r="J132" s="55">
        <v>0.16</v>
      </c>
      <c r="K132" s="55">
        <v>0.06</v>
      </c>
      <c r="L132" s="55">
        <v>0.13</v>
      </c>
    </row>
    <row r="133" spans="1:12">
      <c r="A133" s="55">
        <v>126</v>
      </c>
      <c r="B133" s="55" t="s">
        <v>370</v>
      </c>
      <c r="C133" s="55">
        <v>18</v>
      </c>
      <c r="D133" s="55">
        <v>26</v>
      </c>
      <c r="E133" s="55">
        <v>461</v>
      </c>
      <c r="F133" s="55">
        <v>476</v>
      </c>
      <c r="G133" s="55">
        <v>-30.77</v>
      </c>
      <c r="H133" s="55">
        <v>-3.15</v>
      </c>
      <c r="I133" s="55">
        <v>0.06</v>
      </c>
      <c r="J133" s="55">
        <v>0.16</v>
      </c>
      <c r="K133" s="55">
        <v>7.0000000000000007E-2</v>
      </c>
      <c r="L133" s="55">
        <v>0.17</v>
      </c>
    </row>
    <row r="134" spans="1:12">
      <c r="A134" s="55">
        <v>127</v>
      </c>
      <c r="B134" s="55" t="s">
        <v>155</v>
      </c>
      <c r="C134" s="55">
        <v>23</v>
      </c>
      <c r="D134" s="55">
        <v>23</v>
      </c>
      <c r="E134" s="55">
        <v>461</v>
      </c>
      <c r="F134" s="55">
        <v>246</v>
      </c>
      <c r="G134" s="55">
        <v>0</v>
      </c>
      <c r="H134" s="55">
        <v>87.4</v>
      </c>
      <c r="I134" s="55">
        <v>0.08</v>
      </c>
      <c r="J134" s="55">
        <v>0.16</v>
      </c>
      <c r="K134" s="55">
        <v>0.06</v>
      </c>
      <c r="L134" s="55">
        <v>0.09</v>
      </c>
    </row>
    <row r="135" spans="1:12">
      <c r="A135" s="55">
        <v>128</v>
      </c>
      <c r="B135" s="55" t="s">
        <v>158</v>
      </c>
      <c r="C135" s="55">
        <v>40</v>
      </c>
      <c r="D135" s="55">
        <v>18</v>
      </c>
      <c r="E135" s="55">
        <v>448</v>
      </c>
      <c r="F135" s="55">
        <v>531</v>
      </c>
      <c r="G135" s="55">
        <v>122.22</v>
      </c>
      <c r="H135" s="55">
        <v>-15.63</v>
      </c>
      <c r="I135" s="55">
        <v>0.14000000000000001</v>
      </c>
      <c r="J135" s="55">
        <v>0.15</v>
      </c>
      <c r="K135" s="55">
        <v>0.05</v>
      </c>
      <c r="L135" s="55">
        <v>0.18</v>
      </c>
    </row>
    <row r="136" spans="1:12">
      <c r="A136" s="55">
        <v>129</v>
      </c>
      <c r="B136" s="55" t="s">
        <v>108</v>
      </c>
      <c r="C136" s="55">
        <v>15</v>
      </c>
      <c r="D136" s="55">
        <v>29</v>
      </c>
      <c r="E136" s="55">
        <v>444</v>
      </c>
      <c r="F136" s="55">
        <v>627</v>
      </c>
      <c r="G136" s="55">
        <v>-48.28</v>
      </c>
      <c r="H136" s="55">
        <v>-29.19</v>
      </c>
      <c r="I136" s="55">
        <v>0.05</v>
      </c>
      <c r="J136" s="55">
        <v>0.15</v>
      </c>
      <c r="K136" s="55">
        <v>0.08</v>
      </c>
      <c r="L136" s="55">
        <v>0.22</v>
      </c>
    </row>
    <row r="137" spans="1:12">
      <c r="A137" s="55">
        <v>130</v>
      </c>
      <c r="B137" s="55" t="s">
        <v>590</v>
      </c>
      <c r="C137" s="55">
        <v>12</v>
      </c>
      <c r="D137" s="55">
        <v>325</v>
      </c>
      <c r="E137" s="55">
        <v>443</v>
      </c>
      <c r="F137" s="55">
        <v>2239</v>
      </c>
      <c r="G137" s="55">
        <v>-96.31</v>
      </c>
      <c r="H137" s="55">
        <v>-80.209999999999994</v>
      </c>
      <c r="I137" s="55">
        <v>0.04</v>
      </c>
      <c r="J137" s="55">
        <v>0.15</v>
      </c>
      <c r="K137" s="55">
        <v>0.92</v>
      </c>
      <c r="L137" s="55">
        <v>0.78</v>
      </c>
    </row>
    <row r="138" spans="1:12">
      <c r="A138" s="55">
        <v>131</v>
      </c>
      <c r="B138" s="55" t="s">
        <v>602</v>
      </c>
      <c r="C138" s="55">
        <v>43</v>
      </c>
      <c r="D138" s="55">
        <v>52</v>
      </c>
      <c r="E138" s="55">
        <v>431</v>
      </c>
      <c r="F138" s="55">
        <v>350</v>
      </c>
      <c r="G138" s="55">
        <v>-17.309999999999999</v>
      </c>
      <c r="H138" s="55">
        <v>23.14</v>
      </c>
      <c r="I138" s="55">
        <v>0.15</v>
      </c>
      <c r="J138" s="55">
        <v>0.15</v>
      </c>
      <c r="K138" s="55">
        <v>0.15</v>
      </c>
      <c r="L138" s="55">
        <v>0.12</v>
      </c>
    </row>
    <row r="139" spans="1:12">
      <c r="A139" s="55">
        <v>132</v>
      </c>
      <c r="B139" s="55" t="s">
        <v>168</v>
      </c>
      <c r="C139" s="55">
        <v>54</v>
      </c>
      <c r="D139" s="55">
        <v>67</v>
      </c>
      <c r="E139" s="55">
        <v>430</v>
      </c>
      <c r="F139" s="55">
        <v>252</v>
      </c>
      <c r="G139" s="55">
        <v>-19.399999999999999</v>
      </c>
      <c r="H139" s="55">
        <v>70.63</v>
      </c>
      <c r="I139" s="55">
        <v>0.18</v>
      </c>
      <c r="J139" s="55">
        <v>0.15</v>
      </c>
      <c r="K139" s="55">
        <v>0.19</v>
      </c>
      <c r="L139" s="55">
        <v>0.09</v>
      </c>
    </row>
    <row r="140" spans="1:12">
      <c r="A140" s="55">
        <v>133</v>
      </c>
      <c r="B140" s="55" t="s">
        <v>143</v>
      </c>
      <c r="C140" s="55">
        <v>21</v>
      </c>
      <c r="D140" s="55">
        <v>32</v>
      </c>
      <c r="E140" s="55">
        <v>429</v>
      </c>
      <c r="F140" s="55">
        <v>436</v>
      </c>
      <c r="G140" s="55">
        <v>-34.380000000000003</v>
      </c>
      <c r="H140" s="55">
        <v>-1.61</v>
      </c>
      <c r="I140" s="55">
        <v>7.0000000000000007E-2</v>
      </c>
      <c r="J140" s="55">
        <v>0.15</v>
      </c>
      <c r="K140" s="55">
        <v>0.09</v>
      </c>
      <c r="L140" s="55">
        <v>0.15</v>
      </c>
    </row>
    <row r="141" spans="1:12">
      <c r="A141" s="55">
        <v>134</v>
      </c>
      <c r="B141" s="55" t="s">
        <v>167</v>
      </c>
      <c r="C141" s="55">
        <v>52</v>
      </c>
      <c r="D141" s="55">
        <v>24</v>
      </c>
      <c r="E141" s="55">
        <v>427</v>
      </c>
      <c r="F141" s="55">
        <v>99</v>
      </c>
      <c r="G141" s="55">
        <v>116.67</v>
      </c>
      <c r="H141" s="55">
        <v>331.31</v>
      </c>
      <c r="I141" s="55">
        <v>0.18</v>
      </c>
      <c r="J141" s="55">
        <v>0.15</v>
      </c>
      <c r="K141" s="55">
        <v>7.0000000000000007E-2</v>
      </c>
      <c r="L141" s="55">
        <v>0.03</v>
      </c>
    </row>
    <row r="142" spans="1:12">
      <c r="A142" s="55">
        <v>135</v>
      </c>
      <c r="B142" s="55" t="s">
        <v>149</v>
      </c>
      <c r="C142" s="55">
        <v>38</v>
      </c>
      <c r="D142" s="55">
        <v>42</v>
      </c>
      <c r="E142" s="55">
        <v>424</v>
      </c>
      <c r="F142" s="55">
        <v>478</v>
      </c>
      <c r="G142" s="55">
        <v>-9.52</v>
      </c>
      <c r="H142" s="55">
        <v>-11.3</v>
      </c>
      <c r="I142" s="55">
        <v>0.13</v>
      </c>
      <c r="J142" s="55">
        <v>0.15</v>
      </c>
      <c r="K142" s="55">
        <v>0.12</v>
      </c>
      <c r="L142" s="55">
        <v>0.17</v>
      </c>
    </row>
    <row r="143" spans="1:12">
      <c r="A143" s="55">
        <v>136</v>
      </c>
      <c r="B143" s="55" t="s">
        <v>362</v>
      </c>
      <c r="C143" s="55">
        <v>28</v>
      </c>
      <c r="D143" s="55">
        <v>59</v>
      </c>
      <c r="E143" s="55">
        <v>411</v>
      </c>
      <c r="F143" s="55">
        <v>596</v>
      </c>
      <c r="G143" s="55">
        <v>-52.54</v>
      </c>
      <c r="H143" s="55">
        <v>-31.04</v>
      </c>
      <c r="I143" s="55">
        <v>0.1</v>
      </c>
      <c r="J143" s="55">
        <v>0.14000000000000001</v>
      </c>
      <c r="K143" s="55">
        <v>0.17</v>
      </c>
      <c r="L143" s="55">
        <v>0.21</v>
      </c>
    </row>
    <row r="144" spans="1:12">
      <c r="A144" s="55">
        <v>137</v>
      </c>
      <c r="B144" s="55" t="s">
        <v>481</v>
      </c>
      <c r="C144" s="55">
        <v>51</v>
      </c>
      <c r="D144" s="55">
        <v>1</v>
      </c>
      <c r="E144" s="55">
        <v>410</v>
      </c>
      <c r="F144" s="55">
        <v>584</v>
      </c>
      <c r="G144" s="55">
        <v>5000</v>
      </c>
      <c r="H144" s="55">
        <v>-29.79</v>
      </c>
      <c r="I144" s="55">
        <v>0.17</v>
      </c>
      <c r="J144" s="55">
        <v>0.14000000000000001</v>
      </c>
      <c r="K144" s="55">
        <v>0</v>
      </c>
      <c r="L144" s="55">
        <v>0.2</v>
      </c>
    </row>
    <row r="145" spans="1:12">
      <c r="A145" s="55">
        <v>138</v>
      </c>
      <c r="B145" s="55" t="s">
        <v>92</v>
      </c>
      <c r="C145" s="55">
        <v>30</v>
      </c>
      <c r="D145" s="55">
        <v>22</v>
      </c>
      <c r="E145" s="55">
        <v>410</v>
      </c>
      <c r="F145" s="55">
        <v>353</v>
      </c>
      <c r="G145" s="55">
        <v>36.36</v>
      </c>
      <c r="H145" s="55">
        <v>16.149999999999999</v>
      </c>
      <c r="I145" s="55">
        <v>0.1</v>
      </c>
      <c r="J145" s="55">
        <v>0.14000000000000001</v>
      </c>
      <c r="K145" s="55">
        <v>0.06</v>
      </c>
      <c r="L145" s="55">
        <v>0.12</v>
      </c>
    </row>
    <row r="146" spans="1:12">
      <c r="A146" s="55">
        <v>139</v>
      </c>
      <c r="B146" s="55" t="s">
        <v>122</v>
      </c>
      <c r="C146" s="55">
        <v>31</v>
      </c>
      <c r="D146" s="55">
        <v>78</v>
      </c>
      <c r="E146" s="55">
        <v>405</v>
      </c>
      <c r="F146" s="55">
        <v>703</v>
      </c>
      <c r="G146" s="55">
        <v>-60.26</v>
      </c>
      <c r="H146" s="55">
        <v>-42.39</v>
      </c>
      <c r="I146" s="55">
        <v>0.11</v>
      </c>
      <c r="J146" s="55">
        <v>0.14000000000000001</v>
      </c>
      <c r="K146" s="55">
        <v>0.22</v>
      </c>
      <c r="L146" s="55">
        <v>0.24</v>
      </c>
    </row>
    <row r="147" spans="1:12">
      <c r="A147" s="55">
        <v>140</v>
      </c>
      <c r="B147" s="55" t="s">
        <v>154</v>
      </c>
      <c r="C147" s="55">
        <v>1</v>
      </c>
      <c r="D147" s="55">
        <v>4</v>
      </c>
      <c r="E147" s="55">
        <v>403</v>
      </c>
      <c r="F147" s="55">
        <v>99</v>
      </c>
      <c r="G147" s="55">
        <v>-75</v>
      </c>
      <c r="H147" s="55">
        <v>307.07</v>
      </c>
      <c r="I147" s="55">
        <v>0</v>
      </c>
      <c r="J147" s="55">
        <v>0.14000000000000001</v>
      </c>
      <c r="K147" s="55">
        <v>0.01</v>
      </c>
      <c r="L147" s="55">
        <v>0.03</v>
      </c>
    </row>
    <row r="148" spans="1:12">
      <c r="A148" s="55">
        <v>141</v>
      </c>
      <c r="B148" s="55" t="s">
        <v>1001</v>
      </c>
      <c r="C148" s="55">
        <v>56</v>
      </c>
      <c r="D148" s="55">
        <v>96</v>
      </c>
      <c r="E148" s="55">
        <v>396</v>
      </c>
      <c r="F148" s="55">
        <v>210</v>
      </c>
      <c r="G148" s="55">
        <v>-41.67</v>
      </c>
      <c r="H148" s="55">
        <v>88.57</v>
      </c>
      <c r="I148" s="55">
        <v>0.19</v>
      </c>
      <c r="J148" s="55">
        <v>0.14000000000000001</v>
      </c>
      <c r="K148" s="55">
        <v>0.27</v>
      </c>
      <c r="L148" s="55">
        <v>7.0000000000000007E-2</v>
      </c>
    </row>
    <row r="149" spans="1:12">
      <c r="A149" s="55">
        <v>142</v>
      </c>
      <c r="B149" s="55" t="s">
        <v>156</v>
      </c>
      <c r="C149" s="55">
        <v>57</v>
      </c>
      <c r="D149" s="55">
        <v>17</v>
      </c>
      <c r="E149" s="55">
        <v>392</v>
      </c>
      <c r="F149" s="55">
        <v>507</v>
      </c>
      <c r="G149" s="55">
        <v>235.29</v>
      </c>
      <c r="H149" s="55">
        <v>-22.68</v>
      </c>
      <c r="I149" s="55">
        <v>0.19</v>
      </c>
      <c r="J149" s="55">
        <v>0.14000000000000001</v>
      </c>
      <c r="K149" s="55">
        <v>0.05</v>
      </c>
      <c r="L149" s="55">
        <v>0.18</v>
      </c>
    </row>
    <row r="150" spans="1:12">
      <c r="A150" s="55">
        <v>143</v>
      </c>
      <c r="B150" s="55" t="s">
        <v>137</v>
      </c>
      <c r="C150" s="55">
        <v>30</v>
      </c>
      <c r="D150" s="55">
        <v>187</v>
      </c>
      <c r="E150" s="55">
        <v>366</v>
      </c>
      <c r="F150" s="55">
        <v>187</v>
      </c>
      <c r="G150" s="55">
        <v>-83.96</v>
      </c>
      <c r="H150" s="55">
        <v>95.72</v>
      </c>
      <c r="I150" s="55">
        <v>0.1</v>
      </c>
      <c r="J150" s="55">
        <v>0.13</v>
      </c>
      <c r="K150" s="55">
        <v>0.53</v>
      </c>
      <c r="L150" s="55">
        <v>0.06</v>
      </c>
    </row>
    <row r="151" spans="1:12">
      <c r="A151" s="55">
        <v>144</v>
      </c>
      <c r="B151" s="55" t="s">
        <v>117</v>
      </c>
      <c r="C151" s="55">
        <v>25</v>
      </c>
      <c r="D151" s="55">
        <v>12</v>
      </c>
      <c r="E151" s="55">
        <v>351</v>
      </c>
      <c r="F151" s="55">
        <v>204</v>
      </c>
      <c r="G151" s="55">
        <v>108.33</v>
      </c>
      <c r="H151" s="55">
        <v>72.06</v>
      </c>
      <c r="I151" s="55">
        <v>0.09</v>
      </c>
      <c r="J151" s="55">
        <v>0.12</v>
      </c>
      <c r="K151" s="55">
        <v>0.03</v>
      </c>
      <c r="L151" s="55">
        <v>7.0000000000000007E-2</v>
      </c>
    </row>
    <row r="152" spans="1:12">
      <c r="A152" s="55">
        <v>145</v>
      </c>
      <c r="B152" s="55" t="s">
        <v>150</v>
      </c>
      <c r="C152" s="55">
        <v>56</v>
      </c>
      <c r="D152" s="55">
        <v>55</v>
      </c>
      <c r="E152" s="55">
        <v>349</v>
      </c>
      <c r="F152" s="55">
        <v>291</v>
      </c>
      <c r="G152" s="55">
        <v>1.82</v>
      </c>
      <c r="H152" s="55">
        <v>19.93</v>
      </c>
      <c r="I152" s="55">
        <v>0.19</v>
      </c>
      <c r="J152" s="55">
        <v>0.12</v>
      </c>
      <c r="K152" s="55">
        <v>0.16</v>
      </c>
      <c r="L152" s="55">
        <v>0.1</v>
      </c>
    </row>
    <row r="153" spans="1:12">
      <c r="A153" s="55">
        <v>146</v>
      </c>
      <c r="B153" s="55" t="s">
        <v>598</v>
      </c>
      <c r="C153" s="55">
        <v>36</v>
      </c>
      <c r="D153" s="55">
        <v>22</v>
      </c>
      <c r="E153" s="55">
        <v>331</v>
      </c>
      <c r="F153" s="55">
        <v>848</v>
      </c>
      <c r="G153" s="55">
        <v>63.64</v>
      </c>
      <c r="H153" s="55">
        <v>-60.97</v>
      </c>
      <c r="I153" s="55">
        <v>0.12</v>
      </c>
      <c r="J153" s="55">
        <v>0.11</v>
      </c>
      <c r="K153" s="55">
        <v>0.06</v>
      </c>
      <c r="L153" s="55">
        <v>0.28999999999999998</v>
      </c>
    </row>
    <row r="154" spans="1:12">
      <c r="A154" s="55">
        <v>147</v>
      </c>
      <c r="B154" s="55" t="s">
        <v>1019</v>
      </c>
      <c r="C154" s="55">
        <v>29</v>
      </c>
      <c r="D154" s="55">
        <v>21</v>
      </c>
      <c r="E154" s="55">
        <v>323</v>
      </c>
      <c r="F154" s="55">
        <v>252</v>
      </c>
      <c r="G154" s="55">
        <v>38.1</v>
      </c>
      <c r="H154" s="55">
        <v>28.17</v>
      </c>
      <c r="I154" s="55">
        <v>0.1</v>
      </c>
      <c r="J154" s="55">
        <v>0.11</v>
      </c>
      <c r="K154" s="55">
        <v>0.06</v>
      </c>
      <c r="L154" s="55">
        <v>0.09</v>
      </c>
    </row>
    <row r="155" spans="1:12">
      <c r="A155" s="55">
        <v>148</v>
      </c>
      <c r="B155" s="55" t="s">
        <v>634</v>
      </c>
      <c r="C155" s="55">
        <v>21</v>
      </c>
      <c r="D155" s="55">
        <v>26</v>
      </c>
      <c r="E155" s="55">
        <v>321</v>
      </c>
      <c r="F155" s="55">
        <v>140</v>
      </c>
      <c r="G155" s="55">
        <v>-19.23</v>
      </c>
      <c r="H155" s="55">
        <v>129.29</v>
      </c>
      <c r="I155" s="55">
        <v>7.0000000000000007E-2</v>
      </c>
      <c r="J155" s="55">
        <v>0.11</v>
      </c>
      <c r="K155" s="55">
        <v>7.0000000000000007E-2</v>
      </c>
      <c r="L155" s="55">
        <v>0.05</v>
      </c>
    </row>
    <row r="156" spans="1:12">
      <c r="A156" s="55">
        <v>149</v>
      </c>
      <c r="B156" s="55" t="s">
        <v>97</v>
      </c>
      <c r="C156" s="55">
        <v>24</v>
      </c>
      <c r="D156" s="55">
        <v>36</v>
      </c>
      <c r="E156" s="55">
        <v>320</v>
      </c>
      <c r="F156" s="55">
        <v>582</v>
      </c>
      <c r="G156" s="55">
        <v>-33.33</v>
      </c>
      <c r="H156" s="55">
        <v>-45.02</v>
      </c>
      <c r="I156" s="55">
        <v>0.08</v>
      </c>
      <c r="J156" s="55">
        <v>0.11</v>
      </c>
      <c r="K156" s="55">
        <v>0.1</v>
      </c>
      <c r="L156" s="55">
        <v>0.2</v>
      </c>
    </row>
    <row r="157" spans="1:12">
      <c r="A157" s="55">
        <v>150</v>
      </c>
      <c r="B157" s="55" t="s">
        <v>479</v>
      </c>
      <c r="C157" s="55">
        <v>5</v>
      </c>
      <c r="D157" s="55">
        <v>17</v>
      </c>
      <c r="E157" s="55">
        <v>311</v>
      </c>
      <c r="F157" s="55">
        <v>269</v>
      </c>
      <c r="G157" s="55">
        <v>-70.59</v>
      </c>
      <c r="H157" s="55">
        <v>15.61</v>
      </c>
      <c r="I157" s="55">
        <v>0.02</v>
      </c>
      <c r="J157" s="55">
        <v>0.11</v>
      </c>
      <c r="K157" s="55">
        <v>0.05</v>
      </c>
      <c r="L157" s="55">
        <v>0.09</v>
      </c>
    </row>
    <row r="158" spans="1:12">
      <c r="A158" s="55">
        <v>151</v>
      </c>
      <c r="B158" s="55" t="s">
        <v>1032</v>
      </c>
      <c r="C158" s="55">
        <v>27</v>
      </c>
      <c r="D158" s="55">
        <v>1</v>
      </c>
      <c r="E158" s="55">
        <v>309</v>
      </c>
      <c r="F158" s="55">
        <v>1</v>
      </c>
      <c r="G158" s="55">
        <v>2600</v>
      </c>
      <c r="H158" s="55">
        <v>30800</v>
      </c>
      <c r="I158" s="55">
        <v>0.09</v>
      </c>
      <c r="J158" s="55">
        <v>0.11</v>
      </c>
      <c r="K158" s="55">
        <v>0</v>
      </c>
      <c r="L158" s="55">
        <v>0</v>
      </c>
    </row>
    <row r="159" spans="1:12">
      <c r="A159" s="55">
        <v>152</v>
      </c>
      <c r="B159" s="55" t="s">
        <v>145</v>
      </c>
      <c r="C159" s="55">
        <v>9</v>
      </c>
      <c r="D159" s="55">
        <v>28</v>
      </c>
      <c r="E159" s="55">
        <v>299</v>
      </c>
      <c r="F159" s="55">
        <v>297</v>
      </c>
      <c r="G159" s="55">
        <v>-67.86</v>
      </c>
      <c r="H159" s="55">
        <v>0.67</v>
      </c>
      <c r="I159" s="55">
        <v>0.03</v>
      </c>
      <c r="J159" s="55">
        <v>0.1</v>
      </c>
      <c r="K159" s="55">
        <v>0.08</v>
      </c>
      <c r="L159" s="55">
        <v>0.1</v>
      </c>
    </row>
    <row r="160" spans="1:12">
      <c r="A160" s="55">
        <v>153</v>
      </c>
      <c r="B160" s="55" t="s">
        <v>142</v>
      </c>
      <c r="C160" s="55">
        <v>13</v>
      </c>
      <c r="D160" s="55">
        <v>10</v>
      </c>
      <c r="E160" s="55">
        <v>295</v>
      </c>
      <c r="F160" s="55">
        <v>269</v>
      </c>
      <c r="G160" s="55">
        <v>30</v>
      </c>
      <c r="H160" s="55">
        <v>9.67</v>
      </c>
      <c r="I160" s="55">
        <v>0.04</v>
      </c>
      <c r="J160" s="55">
        <v>0.1</v>
      </c>
      <c r="K160" s="55">
        <v>0.03</v>
      </c>
      <c r="L160" s="55">
        <v>0.09</v>
      </c>
    </row>
    <row r="161" spans="1:12">
      <c r="A161" s="55">
        <v>154</v>
      </c>
      <c r="B161" s="55" t="s">
        <v>153</v>
      </c>
      <c r="C161" s="55">
        <v>38</v>
      </c>
      <c r="D161" s="55">
        <v>36</v>
      </c>
      <c r="E161" s="55">
        <v>294</v>
      </c>
      <c r="F161" s="55">
        <v>689</v>
      </c>
      <c r="G161" s="55">
        <v>5.56</v>
      </c>
      <c r="H161" s="55">
        <v>-57.33</v>
      </c>
      <c r="I161" s="55">
        <v>0.13</v>
      </c>
      <c r="J161" s="55">
        <v>0.1</v>
      </c>
      <c r="K161" s="55">
        <v>0.1</v>
      </c>
      <c r="L161" s="55">
        <v>0.24</v>
      </c>
    </row>
    <row r="162" spans="1:12">
      <c r="A162" s="55">
        <v>155</v>
      </c>
      <c r="B162" s="55" t="s">
        <v>165</v>
      </c>
      <c r="C162" s="55">
        <v>20</v>
      </c>
      <c r="D162" s="55">
        <v>21</v>
      </c>
      <c r="E162" s="55">
        <v>292</v>
      </c>
      <c r="F162" s="55">
        <v>386</v>
      </c>
      <c r="G162" s="55">
        <v>-4.76</v>
      </c>
      <c r="H162" s="55">
        <v>-24.35</v>
      </c>
      <c r="I162" s="55">
        <v>7.0000000000000007E-2</v>
      </c>
      <c r="J162" s="55">
        <v>0.1</v>
      </c>
      <c r="K162" s="55">
        <v>0.06</v>
      </c>
      <c r="L162" s="55">
        <v>0.13</v>
      </c>
    </row>
    <row r="163" spans="1:12">
      <c r="A163" s="55">
        <v>156</v>
      </c>
      <c r="B163" s="55" t="s">
        <v>128</v>
      </c>
      <c r="C163" s="55">
        <v>27</v>
      </c>
      <c r="D163" s="55">
        <v>24</v>
      </c>
      <c r="E163" s="55">
        <v>286</v>
      </c>
      <c r="F163" s="55">
        <v>280</v>
      </c>
      <c r="G163" s="55">
        <v>12.5</v>
      </c>
      <c r="H163" s="55">
        <v>2.14</v>
      </c>
      <c r="I163" s="55">
        <v>0.09</v>
      </c>
      <c r="J163" s="55">
        <v>0.1</v>
      </c>
      <c r="K163" s="55">
        <v>7.0000000000000007E-2</v>
      </c>
      <c r="L163" s="55">
        <v>0.1</v>
      </c>
    </row>
    <row r="164" spans="1:12">
      <c r="A164" s="55">
        <v>157</v>
      </c>
      <c r="B164" s="55" t="s">
        <v>113</v>
      </c>
      <c r="C164" s="55">
        <v>19</v>
      </c>
      <c r="D164" s="55">
        <v>34</v>
      </c>
      <c r="E164" s="55">
        <v>284</v>
      </c>
      <c r="F164" s="55">
        <v>436</v>
      </c>
      <c r="G164" s="55">
        <v>-44.12</v>
      </c>
      <c r="H164" s="55">
        <v>-34.86</v>
      </c>
      <c r="I164" s="55">
        <v>0.06</v>
      </c>
      <c r="J164" s="55">
        <v>0.1</v>
      </c>
      <c r="K164" s="55">
        <v>0.1</v>
      </c>
      <c r="L164" s="55">
        <v>0.15</v>
      </c>
    </row>
    <row r="165" spans="1:12">
      <c r="A165" s="55">
        <v>158</v>
      </c>
      <c r="B165" s="55" t="s">
        <v>103</v>
      </c>
      <c r="C165" s="55">
        <v>20</v>
      </c>
      <c r="D165" s="55">
        <v>17</v>
      </c>
      <c r="E165" s="55">
        <v>282</v>
      </c>
      <c r="F165" s="55">
        <v>229</v>
      </c>
      <c r="G165" s="55">
        <v>17.649999999999999</v>
      </c>
      <c r="H165" s="55">
        <v>23.14</v>
      </c>
      <c r="I165" s="55">
        <v>7.0000000000000007E-2</v>
      </c>
      <c r="J165" s="55">
        <v>0.1</v>
      </c>
      <c r="K165" s="55">
        <v>0.05</v>
      </c>
      <c r="L165" s="55">
        <v>0.08</v>
      </c>
    </row>
    <row r="166" spans="1:12">
      <c r="A166" s="55">
        <v>159</v>
      </c>
      <c r="B166" s="55" t="s">
        <v>178</v>
      </c>
      <c r="C166" s="55">
        <v>11</v>
      </c>
      <c r="D166" s="55">
        <v>20</v>
      </c>
      <c r="E166" s="55">
        <v>279</v>
      </c>
      <c r="F166" s="55">
        <v>239</v>
      </c>
      <c r="G166" s="55">
        <v>-45</v>
      </c>
      <c r="H166" s="55">
        <v>16.739999999999998</v>
      </c>
      <c r="I166" s="55">
        <v>0.04</v>
      </c>
      <c r="J166" s="55">
        <v>0.1</v>
      </c>
      <c r="K166" s="55">
        <v>0.06</v>
      </c>
      <c r="L166" s="55">
        <v>0.08</v>
      </c>
    </row>
    <row r="167" spans="1:12">
      <c r="A167" s="55">
        <v>160</v>
      </c>
      <c r="B167" s="55" t="s">
        <v>98</v>
      </c>
      <c r="C167" s="55">
        <v>17</v>
      </c>
      <c r="D167" s="55">
        <v>25</v>
      </c>
      <c r="E167" s="55">
        <v>269</v>
      </c>
      <c r="F167" s="55">
        <v>816</v>
      </c>
      <c r="G167" s="55">
        <v>-32</v>
      </c>
      <c r="H167" s="55">
        <v>-67.03</v>
      </c>
      <c r="I167" s="55">
        <v>0.06</v>
      </c>
      <c r="J167" s="55">
        <v>0.09</v>
      </c>
      <c r="K167" s="55">
        <v>7.0000000000000007E-2</v>
      </c>
      <c r="L167" s="55">
        <v>0.28000000000000003</v>
      </c>
    </row>
    <row r="168" spans="1:12">
      <c r="A168" s="55">
        <v>161</v>
      </c>
      <c r="B168" s="55" t="s">
        <v>169</v>
      </c>
      <c r="C168" s="55">
        <v>27</v>
      </c>
      <c r="D168" s="55">
        <v>31</v>
      </c>
      <c r="E168" s="55">
        <v>268</v>
      </c>
      <c r="F168" s="55">
        <v>177</v>
      </c>
      <c r="G168" s="55">
        <v>-12.9</v>
      </c>
      <c r="H168" s="55">
        <v>51.41</v>
      </c>
      <c r="I168" s="55">
        <v>0.09</v>
      </c>
      <c r="J168" s="55">
        <v>0.09</v>
      </c>
      <c r="K168" s="55">
        <v>0.09</v>
      </c>
      <c r="L168" s="55">
        <v>0.06</v>
      </c>
    </row>
    <row r="169" spans="1:12">
      <c r="A169" s="55">
        <v>162</v>
      </c>
      <c r="B169" s="55" t="s">
        <v>582</v>
      </c>
      <c r="C169" s="55">
        <v>4</v>
      </c>
      <c r="D169" s="55">
        <v>7</v>
      </c>
      <c r="E169" s="55">
        <v>259</v>
      </c>
      <c r="F169" s="55">
        <v>1361</v>
      </c>
      <c r="G169" s="55">
        <v>-42.86</v>
      </c>
      <c r="H169" s="55">
        <v>-80.97</v>
      </c>
      <c r="I169" s="55">
        <v>0.01</v>
      </c>
      <c r="J169" s="55">
        <v>0.09</v>
      </c>
      <c r="K169" s="55">
        <v>0.02</v>
      </c>
      <c r="L169" s="55">
        <v>0.47</v>
      </c>
    </row>
    <row r="170" spans="1:12">
      <c r="A170" s="55">
        <v>163</v>
      </c>
      <c r="B170" s="55" t="s">
        <v>1171</v>
      </c>
      <c r="C170" s="55">
        <v>67</v>
      </c>
      <c r="D170" s="55">
        <v>0</v>
      </c>
      <c r="E170" s="55">
        <v>254</v>
      </c>
      <c r="F170" s="55">
        <v>0</v>
      </c>
      <c r="G170" s="55">
        <v>0</v>
      </c>
      <c r="H170" s="55">
        <v>0</v>
      </c>
      <c r="I170" s="55">
        <v>0.23</v>
      </c>
      <c r="J170" s="55">
        <v>0.09</v>
      </c>
      <c r="K170" s="55">
        <v>0</v>
      </c>
      <c r="L170" s="55">
        <v>0</v>
      </c>
    </row>
    <row r="171" spans="1:12">
      <c r="A171" s="55">
        <v>164</v>
      </c>
      <c r="B171" s="55" t="s">
        <v>174</v>
      </c>
      <c r="C171" s="55">
        <v>50</v>
      </c>
      <c r="D171" s="55">
        <v>16</v>
      </c>
      <c r="E171" s="55">
        <v>239</v>
      </c>
      <c r="F171" s="55">
        <v>119</v>
      </c>
      <c r="G171" s="55">
        <v>212.5</v>
      </c>
      <c r="H171" s="55">
        <v>100.84</v>
      </c>
      <c r="I171" s="55">
        <v>0.17</v>
      </c>
      <c r="J171" s="55">
        <v>0.08</v>
      </c>
      <c r="K171" s="55">
        <v>0.05</v>
      </c>
      <c r="L171" s="55">
        <v>0.04</v>
      </c>
    </row>
    <row r="172" spans="1:12">
      <c r="A172" s="55">
        <v>165</v>
      </c>
      <c r="B172" s="55" t="s">
        <v>144</v>
      </c>
      <c r="C172" s="55">
        <v>14</v>
      </c>
      <c r="D172" s="55">
        <v>6</v>
      </c>
      <c r="E172" s="55">
        <v>228</v>
      </c>
      <c r="F172" s="55">
        <v>542</v>
      </c>
      <c r="G172" s="55">
        <v>133.33000000000001</v>
      </c>
      <c r="H172" s="55">
        <v>-57.93</v>
      </c>
      <c r="I172" s="55">
        <v>0.05</v>
      </c>
      <c r="J172" s="55">
        <v>0.08</v>
      </c>
      <c r="K172" s="55">
        <v>0.02</v>
      </c>
      <c r="L172" s="55">
        <v>0.19</v>
      </c>
    </row>
    <row r="173" spans="1:12">
      <c r="A173" s="55">
        <v>166</v>
      </c>
      <c r="B173" s="55" t="s">
        <v>175</v>
      </c>
      <c r="C173" s="55">
        <v>22</v>
      </c>
      <c r="D173" s="55">
        <v>21</v>
      </c>
      <c r="E173" s="55">
        <v>211</v>
      </c>
      <c r="F173" s="55">
        <v>360</v>
      </c>
      <c r="G173" s="55">
        <v>4.76</v>
      </c>
      <c r="H173" s="55">
        <v>-41.39</v>
      </c>
      <c r="I173" s="55">
        <v>0.08</v>
      </c>
      <c r="J173" s="55">
        <v>7.0000000000000007E-2</v>
      </c>
      <c r="K173" s="55">
        <v>0.06</v>
      </c>
      <c r="L173" s="55">
        <v>0.12</v>
      </c>
    </row>
    <row r="174" spans="1:12">
      <c r="A174" s="55">
        <v>167</v>
      </c>
      <c r="B174" s="55" t="s">
        <v>100</v>
      </c>
      <c r="C174" s="55">
        <v>1</v>
      </c>
      <c r="D174" s="55">
        <v>20</v>
      </c>
      <c r="E174" s="55">
        <v>211</v>
      </c>
      <c r="F174" s="55">
        <v>350</v>
      </c>
      <c r="G174" s="55">
        <v>-95</v>
      </c>
      <c r="H174" s="55">
        <v>-39.71</v>
      </c>
      <c r="I174" s="55">
        <v>0</v>
      </c>
      <c r="J174" s="55">
        <v>7.0000000000000007E-2</v>
      </c>
      <c r="K174" s="55">
        <v>0.06</v>
      </c>
      <c r="L174" s="55">
        <v>0.12</v>
      </c>
    </row>
    <row r="175" spans="1:12">
      <c r="A175" s="55">
        <v>168</v>
      </c>
      <c r="B175" s="55" t="s">
        <v>163</v>
      </c>
      <c r="C175" s="55">
        <v>23</v>
      </c>
      <c r="D175" s="55">
        <v>18</v>
      </c>
      <c r="E175" s="55">
        <v>210</v>
      </c>
      <c r="F175" s="55">
        <v>201</v>
      </c>
      <c r="G175" s="55">
        <v>27.78</v>
      </c>
      <c r="H175" s="55">
        <v>4.4800000000000004</v>
      </c>
      <c r="I175" s="55">
        <v>0.08</v>
      </c>
      <c r="J175" s="55">
        <v>7.0000000000000007E-2</v>
      </c>
      <c r="K175" s="55">
        <v>0.05</v>
      </c>
      <c r="L175" s="55">
        <v>7.0000000000000007E-2</v>
      </c>
    </row>
    <row r="176" spans="1:12">
      <c r="A176" s="55">
        <v>169</v>
      </c>
      <c r="B176" s="55" t="s">
        <v>208</v>
      </c>
      <c r="C176" s="55">
        <v>26</v>
      </c>
      <c r="D176" s="55">
        <v>18</v>
      </c>
      <c r="E176" s="55">
        <v>201</v>
      </c>
      <c r="F176" s="55">
        <v>212</v>
      </c>
      <c r="G176" s="55">
        <v>44.44</v>
      </c>
      <c r="H176" s="55">
        <v>-5.19</v>
      </c>
      <c r="I176" s="55">
        <v>0.09</v>
      </c>
      <c r="J176" s="55">
        <v>7.0000000000000007E-2</v>
      </c>
      <c r="K176" s="55">
        <v>0.05</v>
      </c>
      <c r="L176" s="55">
        <v>7.0000000000000007E-2</v>
      </c>
    </row>
    <row r="177" spans="1:12">
      <c r="A177" s="55">
        <v>170</v>
      </c>
      <c r="B177" s="55" t="s">
        <v>176</v>
      </c>
      <c r="C177" s="55">
        <v>3</v>
      </c>
      <c r="D177" s="55">
        <v>21</v>
      </c>
      <c r="E177" s="55">
        <v>200</v>
      </c>
      <c r="F177" s="55">
        <v>423</v>
      </c>
      <c r="G177" s="55">
        <v>-85.71</v>
      </c>
      <c r="H177" s="55">
        <v>-52.72</v>
      </c>
      <c r="I177" s="55">
        <v>0.01</v>
      </c>
      <c r="J177" s="55">
        <v>7.0000000000000007E-2</v>
      </c>
      <c r="K177" s="55">
        <v>0.06</v>
      </c>
      <c r="L177" s="55">
        <v>0.15</v>
      </c>
    </row>
    <row r="178" spans="1:12">
      <c r="A178" s="55">
        <v>171</v>
      </c>
      <c r="B178" s="55" t="s">
        <v>161</v>
      </c>
      <c r="C178" s="55">
        <v>10</v>
      </c>
      <c r="D178" s="55">
        <v>90</v>
      </c>
      <c r="E178" s="55">
        <v>198</v>
      </c>
      <c r="F178" s="55">
        <v>505</v>
      </c>
      <c r="G178" s="55">
        <v>-88.89</v>
      </c>
      <c r="H178" s="55">
        <v>-60.79</v>
      </c>
      <c r="I178" s="55">
        <v>0.03</v>
      </c>
      <c r="J178" s="55">
        <v>7.0000000000000007E-2</v>
      </c>
      <c r="K178" s="55">
        <v>0.25</v>
      </c>
      <c r="L178" s="55">
        <v>0.18</v>
      </c>
    </row>
    <row r="179" spans="1:12">
      <c r="A179" s="55">
        <v>172</v>
      </c>
      <c r="B179" s="55" t="s">
        <v>189</v>
      </c>
      <c r="C179" s="55">
        <v>4</v>
      </c>
      <c r="D179" s="55">
        <v>19</v>
      </c>
      <c r="E179" s="55">
        <v>193</v>
      </c>
      <c r="F179" s="55">
        <v>161</v>
      </c>
      <c r="G179" s="55">
        <v>-78.95</v>
      </c>
      <c r="H179" s="55">
        <v>19.88</v>
      </c>
      <c r="I179" s="55">
        <v>0.01</v>
      </c>
      <c r="J179" s="55">
        <v>7.0000000000000007E-2</v>
      </c>
      <c r="K179" s="55">
        <v>0.05</v>
      </c>
      <c r="L179" s="55">
        <v>0.06</v>
      </c>
    </row>
    <row r="180" spans="1:12">
      <c r="A180" s="55">
        <v>173</v>
      </c>
      <c r="B180" s="55" t="s">
        <v>1247</v>
      </c>
      <c r="C180" s="55">
        <v>43</v>
      </c>
      <c r="D180" s="55">
        <v>0</v>
      </c>
      <c r="E180" s="55">
        <v>191</v>
      </c>
      <c r="F180" s="55">
        <v>0</v>
      </c>
      <c r="G180" s="55">
        <v>0</v>
      </c>
      <c r="H180" s="55">
        <v>0</v>
      </c>
      <c r="I180" s="55">
        <v>0.15</v>
      </c>
      <c r="J180" s="55">
        <v>7.0000000000000007E-2</v>
      </c>
      <c r="K180" s="55">
        <v>0</v>
      </c>
      <c r="L180" s="55">
        <v>0</v>
      </c>
    </row>
    <row r="181" spans="1:12">
      <c r="A181" s="55">
        <v>174</v>
      </c>
      <c r="B181" s="55" t="s">
        <v>127</v>
      </c>
      <c r="C181" s="55">
        <v>36</v>
      </c>
      <c r="D181" s="55">
        <v>8</v>
      </c>
      <c r="E181" s="55">
        <v>190</v>
      </c>
      <c r="F181" s="55">
        <v>193</v>
      </c>
      <c r="G181" s="55">
        <v>350</v>
      </c>
      <c r="H181" s="55">
        <v>-1.55</v>
      </c>
      <c r="I181" s="55">
        <v>0.12</v>
      </c>
      <c r="J181" s="55">
        <v>7.0000000000000007E-2</v>
      </c>
      <c r="K181" s="55">
        <v>0.02</v>
      </c>
      <c r="L181" s="55">
        <v>7.0000000000000007E-2</v>
      </c>
    </row>
    <row r="182" spans="1:12">
      <c r="A182" s="55">
        <v>175</v>
      </c>
      <c r="B182" s="55" t="s">
        <v>1244</v>
      </c>
      <c r="C182" s="55">
        <v>69</v>
      </c>
      <c r="D182" s="55">
        <v>0</v>
      </c>
      <c r="E182" s="55">
        <v>190</v>
      </c>
      <c r="F182" s="55">
        <v>0</v>
      </c>
      <c r="G182" s="55">
        <v>0</v>
      </c>
      <c r="H182" s="55">
        <v>0</v>
      </c>
      <c r="I182" s="55">
        <v>0.24</v>
      </c>
      <c r="J182" s="55">
        <v>7.0000000000000007E-2</v>
      </c>
      <c r="K182" s="55">
        <v>0</v>
      </c>
      <c r="L182" s="55">
        <v>0</v>
      </c>
    </row>
    <row r="183" spans="1:12">
      <c r="A183" s="55">
        <v>176</v>
      </c>
      <c r="B183" s="55" t="s">
        <v>204</v>
      </c>
      <c r="C183" s="55">
        <v>13</v>
      </c>
      <c r="D183" s="55">
        <v>7</v>
      </c>
      <c r="E183" s="55">
        <v>189</v>
      </c>
      <c r="F183" s="55">
        <v>248</v>
      </c>
      <c r="G183" s="55">
        <v>85.71</v>
      </c>
      <c r="H183" s="55">
        <v>-23.79</v>
      </c>
      <c r="I183" s="55">
        <v>0.04</v>
      </c>
      <c r="J183" s="55">
        <v>7.0000000000000007E-2</v>
      </c>
      <c r="K183" s="55">
        <v>0.02</v>
      </c>
      <c r="L183" s="55">
        <v>0.09</v>
      </c>
    </row>
    <row r="184" spans="1:12">
      <c r="A184" s="55">
        <v>177</v>
      </c>
      <c r="B184" s="55" t="s">
        <v>198</v>
      </c>
      <c r="C184" s="55">
        <v>31</v>
      </c>
      <c r="D184" s="55">
        <v>27</v>
      </c>
      <c r="E184" s="55">
        <v>183</v>
      </c>
      <c r="F184" s="55">
        <v>140</v>
      </c>
      <c r="G184" s="55">
        <v>14.81</v>
      </c>
      <c r="H184" s="55">
        <v>30.71</v>
      </c>
      <c r="I184" s="55">
        <v>0.11</v>
      </c>
      <c r="J184" s="55">
        <v>0.06</v>
      </c>
      <c r="K184" s="55">
        <v>0.08</v>
      </c>
      <c r="L184" s="55">
        <v>0.05</v>
      </c>
    </row>
    <row r="185" spans="1:12">
      <c r="A185" s="55">
        <v>178</v>
      </c>
      <c r="B185" s="55" t="s">
        <v>191</v>
      </c>
      <c r="C185" s="55">
        <v>4</v>
      </c>
      <c r="D185" s="55">
        <v>14</v>
      </c>
      <c r="E185" s="55">
        <v>182</v>
      </c>
      <c r="F185" s="55">
        <v>124</v>
      </c>
      <c r="G185" s="55">
        <v>-71.430000000000007</v>
      </c>
      <c r="H185" s="55">
        <v>46.77</v>
      </c>
      <c r="I185" s="55">
        <v>0.01</v>
      </c>
      <c r="J185" s="55">
        <v>0.06</v>
      </c>
      <c r="K185" s="55">
        <v>0.04</v>
      </c>
      <c r="L185" s="55">
        <v>0.04</v>
      </c>
    </row>
    <row r="186" spans="1:12">
      <c r="A186" s="55">
        <v>179</v>
      </c>
      <c r="B186" s="55" t="s">
        <v>1031</v>
      </c>
      <c r="C186" s="55">
        <v>18</v>
      </c>
      <c r="D186" s="55">
        <v>8</v>
      </c>
      <c r="E186" s="55">
        <v>182</v>
      </c>
      <c r="F186" s="55">
        <v>8</v>
      </c>
      <c r="G186" s="55">
        <v>125</v>
      </c>
      <c r="H186" s="55">
        <v>2175</v>
      </c>
      <c r="I186" s="55">
        <v>0.06</v>
      </c>
      <c r="J186" s="55">
        <v>0.06</v>
      </c>
      <c r="K186" s="55">
        <v>0.02</v>
      </c>
      <c r="L186" s="55">
        <v>0</v>
      </c>
    </row>
    <row r="187" spans="1:12">
      <c r="A187" s="55">
        <v>180</v>
      </c>
      <c r="B187" s="55" t="s">
        <v>606</v>
      </c>
      <c r="C187" s="55">
        <v>10</v>
      </c>
      <c r="D187" s="55">
        <v>12</v>
      </c>
      <c r="E187" s="55">
        <v>180</v>
      </c>
      <c r="F187" s="55">
        <v>268</v>
      </c>
      <c r="G187" s="55">
        <v>-16.670000000000002</v>
      </c>
      <c r="H187" s="55">
        <v>-32.840000000000003</v>
      </c>
      <c r="I187" s="55">
        <v>0.03</v>
      </c>
      <c r="J187" s="55">
        <v>0.06</v>
      </c>
      <c r="K187" s="55">
        <v>0.03</v>
      </c>
      <c r="L187" s="55">
        <v>0.09</v>
      </c>
    </row>
    <row r="188" spans="1:12">
      <c r="A188" s="55">
        <v>181</v>
      </c>
      <c r="B188" s="55" t="s">
        <v>222</v>
      </c>
      <c r="C188" s="55">
        <v>11</v>
      </c>
      <c r="D188" s="55">
        <v>7</v>
      </c>
      <c r="E188" s="55">
        <v>180</v>
      </c>
      <c r="F188" s="55">
        <v>76</v>
      </c>
      <c r="G188" s="55">
        <v>57.14</v>
      </c>
      <c r="H188" s="55">
        <v>136.84</v>
      </c>
      <c r="I188" s="55">
        <v>0.04</v>
      </c>
      <c r="J188" s="55">
        <v>0.06</v>
      </c>
      <c r="K188" s="55">
        <v>0.02</v>
      </c>
      <c r="L188" s="55">
        <v>0.03</v>
      </c>
    </row>
    <row r="189" spans="1:12">
      <c r="A189" s="55">
        <v>182</v>
      </c>
      <c r="B189" s="55" t="s">
        <v>146</v>
      </c>
      <c r="C189" s="55">
        <v>5</v>
      </c>
      <c r="D189" s="55">
        <v>11</v>
      </c>
      <c r="E189" s="55">
        <v>163</v>
      </c>
      <c r="F189" s="55">
        <v>132</v>
      </c>
      <c r="G189" s="55">
        <v>-54.55</v>
      </c>
      <c r="H189" s="55">
        <v>23.48</v>
      </c>
      <c r="I189" s="55">
        <v>0.02</v>
      </c>
      <c r="J189" s="55">
        <v>0.06</v>
      </c>
      <c r="K189" s="55">
        <v>0.03</v>
      </c>
      <c r="L189" s="55">
        <v>0.05</v>
      </c>
    </row>
    <row r="190" spans="1:12">
      <c r="A190" s="55">
        <v>183</v>
      </c>
      <c r="B190" s="55" t="s">
        <v>186</v>
      </c>
      <c r="C190" s="55">
        <v>16</v>
      </c>
      <c r="D190" s="55">
        <v>13</v>
      </c>
      <c r="E190" s="55">
        <v>160</v>
      </c>
      <c r="F190" s="55">
        <v>172</v>
      </c>
      <c r="G190" s="55">
        <v>23.08</v>
      </c>
      <c r="H190" s="55">
        <v>-6.98</v>
      </c>
      <c r="I190" s="55">
        <v>0.05</v>
      </c>
      <c r="J190" s="55">
        <v>0.06</v>
      </c>
      <c r="K190" s="55">
        <v>0.04</v>
      </c>
      <c r="L190" s="55">
        <v>0.06</v>
      </c>
    </row>
    <row r="191" spans="1:12">
      <c r="A191" s="55">
        <v>184</v>
      </c>
      <c r="B191" s="55" t="s">
        <v>199</v>
      </c>
      <c r="C191" s="55">
        <v>33</v>
      </c>
      <c r="D191" s="55">
        <v>6</v>
      </c>
      <c r="E191" s="55">
        <v>160</v>
      </c>
      <c r="F191" s="55">
        <v>145</v>
      </c>
      <c r="G191" s="55">
        <v>450</v>
      </c>
      <c r="H191" s="55">
        <v>10.34</v>
      </c>
      <c r="I191" s="55">
        <v>0.11</v>
      </c>
      <c r="J191" s="55">
        <v>0.06</v>
      </c>
      <c r="K191" s="55">
        <v>0.02</v>
      </c>
      <c r="L191" s="55">
        <v>0.05</v>
      </c>
    </row>
    <row r="192" spans="1:12">
      <c r="A192" s="55">
        <v>185</v>
      </c>
      <c r="B192" s="55" t="s">
        <v>694</v>
      </c>
      <c r="C192" s="55">
        <v>14</v>
      </c>
      <c r="D192" s="55">
        <v>15</v>
      </c>
      <c r="E192" s="55">
        <v>157</v>
      </c>
      <c r="F192" s="55">
        <v>39</v>
      </c>
      <c r="G192" s="55">
        <v>-6.67</v>
      </c>
      <c r="H192" s="55">
        <v>302.56</v>
      </c>
      <c r="I192" s="55">
        <v>0.05</v>
      </c>
      <c r="J192" s="55">
        <v>0.05</v>
      </c>
      <c r="K192" s="55">
        <v>0.04</v>
      </c>
      <c r="L192" s="55">
        <v>0.01</v>
      </c>
    </row>
    <row r="193" spans="1:12">
      <c r="A193" s="55">
        <v>186</v>
      </c>
      <c r="B193" s="55" t="s">
        <v>1055</v>
      </c>
      <c r="C193" s="55">
        <v>22</v>
      </c>
      <c r="D193" s="55">
        <v>0</v>
      </c>
      <c r="E193" s="55">
        <v>157</v>
      </c>
      <c r="F193" s="55">
        <v>0</v>
      </c>
      <c r="G193" s="55">
        <v>0</v>
      </c>
      <c r="H193" s="55">
        <v>0</v>
      </c>
      <c r="I193" s="55">
        <v>0.08</v>
      </c>
      <c r="J193" s="55">
        <v>0.05</v>
      </c>
      <c r="K193" s="55">
        <v>0</v>
      </c>
      <c r="L193" s="55">
        <v>0</v>
      </c>
    </row>
    <row r="194" spans="1:12">
      <c r="A194" s="55">
        <v>187</v>
      </c>
      <c r="B194" s="55" t="s">
        <v>625</v>
      </c>
      <c r="C194" s="55">
        <v>18</v>
      </c>
      <c r="D194" s="55">
        <v>21</v>
      </c>
      <c r="E194" s="55">
        <v>155</v>
      </c>
      <c r="F194" s="55">
        <v>241</v>
      </c>
      <c r="G194" s="55">
        <v>-14.29</v>
      </c>
      <c r="H194" s="55">
        <v>-35.68</v>
      </c>
      <c r="I194" s="55">
        <v>0.06</v>
      </c>
      <c r="J194" s="55">
        <v>0.05</v>
      </c>
      <c r="K194" s="55">
        <v>0.06</v>
      </c>
      <c r="L194" s="55">
        <v>0.08</v>
      </c>
    </row>
    <row r="195" spans="1:12">
      <c r="A195" s="55">
        <v>188</v>
      </c>
      <c r="B195" s="55" t="s">
        <v>556</v>
      </c>
      <c r="C195" s="55">
        <v>8</v>
      </c>
      <c r="D195" s="55">
        <v>11</v>
      </c>
      <c r="E195" s="55">
        <v>153</v>
      </c>
      <c r="F195" s="55">
        <v>226</v>
      </c>
      <c r="G195" s="55">
        <v>-27.27</v>
      </c>
      <c r="H195" s="55">
        <v>-32.299999999999997</v>
      </c>
      <c r="I195" s="55">
        <v>0.03</v>
      </c>
      <c r="J195" s="55">
        <v>0.05</v>
      </c>
      <c r="K195" s="55">
        <v>0.03</v>
      </c>
      <c r="L195" s="55">
        <v>0.08</v>
      </c>
    </row>
    <row r="196" spans="1:12">
      <c r="A196" s="55">
        <v>189</v>
      </c>
      <c r="B196" s="55" t="s">
        <v>120</v>
      </c>
      <c r="C196" s="55">
        <v>11</v>
      </c>
      <c r="D196" s="55">
        <v>9</v>
      </c>
      <c r="E196" s="55">
        <v>153</v>
      </c>
      <c r="F196" s="55">
        <v>170</v>
      </c>
      <c r="G196" s="55">
        <v>22.22</v>
      </c>
      <c r="H196" s="55">
        <v>-10</v>
      </c>
      <c r="I196" s="55">
        <v>0.04</v>
      </c>
      <c r="J196" s="55">
        <v>0.05</v>
      </c>
      <c r="K196" s="55">
        <v>0.03</v>
      </c>
      <c r="L196" s="55">
        <v>0.06</v>
      </c>
    </row>
    <row r="197" spans="1:12">
      <c r="A197" s="55">
        <v>190</v>
      </c>
      <c r="B197" s="55" t="s">
        <v>89</v>
      </c>
      <c r="C197" s="55">
        <v>1</v>
      </c>
      <c r="D197" s="55">
        <v>7</v>
      </c>
      <c r="E197" s="55">
        <v>153</v>
      </c>
      <c r="F197" s="55">
        <v>168</v>
      </c>
      <c r="G197" s="55">
        <v>-85.71</v>
      </c>
      <c r="H197" s="55">
        <v>-8.93</v>
      </c>
      <c r="I197" s="55">
        <v>0</v>
      </c>
      <c r="J197" s="55">
        <v>0.05</v>
      </c>
      <c r="K197" s="55">
        <v>0.02</v>
      </c>
      <c r="L197" s="55">
        <v>0.06</v>
      </c>
    </row>
    <row r="198" spans="1:12">
      <c r="A198" s="55">
        <v>191</v>
      </c>
      <c r="B198" s="55" t="s">
        <v>1074</v>
      </c>
      <c r="C198" s="55">
        <v>3</v>
      </c>
      <c r="D198" s="55">
        <v>2</v>
      </c>
      <c r="E198" s="55">
        <v>153</v>
      </c>
      <c r="F198" s="55">
        <v>20</v>
      </c>
      <c r="G198" s="55">
        <v>50</v>
      </c>
      <c r="H198" s="55">
        <v>665</v>
      </c>
      <c r="I198" s="55">
        <v>0.01</v>
      </c>
      <c r="J198" s="55">
        <v>0.05</v>
      </c>
      <c r="K198" s="55">
        <v>0.01</v>
      </c>
      <c r="L198" s="55">
        <v>0.01</v>
      </c>
    </row>
    <row r="199" spans="1:12">
      <c r="A199" s="55">
        <v>192</v>
      </c>
      <c r="B199" s="55" t="s">
        <v>79</v>
      </c>
      <c r="C199" s="55">
        <v>4</v>
      </c>
      <c r="D199" s="55">
        <v>80</v>
      </c>
      <c r="E199" s="55">
        <v>150</v>
      </c>
      <c r="F199" s="55">
        <v>636</v>
      </c>
      <c r="G199" s="55">
        <v>-95</v>
      </c>
      <c r="H199" s="55">
        <v>-76.42</v>
      </c>
      <c r="I199" s="55">
        <v>0.01</v>
      </c>
      <c r="J199" s="55">
        <v>0.05</v>
      </c>
      <c r="K199" s="55">
        <v>0.23</v>
      </c>
      <c r="L199" s="55">
        <v>0.22</v>
      </c>
    </row>
    <row r="200" spans="1:12">
      <c r="A200" s="55">
        <v>193</v>
      </c>
      <c r="B200" s="55" t="s">
        <v>706</v>
      </c>
      <c r="C200" s="55">
        <v>3</v>
      </c>
      <c r="D200" s="55">
        <v>14</v>
      </c>
      <c r="E200" s="55">
        <v>150</v>
      </c>
      <c r="F200" s="55">
        <v>98</v>
      </c>
      <c r="G200" s="55">
        <v>-78.569999999999993</v>
      </c>
      <c r="H200" s="55">
        <v>53.06</v>
      </c>
      <c r="I200" s="55">
        <v>0.01</v>
      </c>
      <c r="J200" s="55">
        <v>0.05</v>
      </c>
      <c r="K200" s="55">
        <v>0.04</v>
      </c>
      <c r="L200" s="55">
        <v>0.03</v>
      </c>
    </row>
    <row r="201" spans="1:12">
      <c r="A201" s="55">
        <v>194</v>
      </c>
      <c r="B201" s="55" t="s">
        <v>192</v>
      </c>
      <c r="C201" s="55">
        <v>16</v>
      </c>
      <c r="D201" s="55">
        <v>3</v>
      </c>
      <c r="E201" s="55">
        <v>149</v>
      </c>
      <c r="F201" s="55">
        <v>193</v>
      </c>
      <c r="G201" s="55">
        <v>433.33</v>
      </c>
      <c r="H201" s="55">
        <v>-22.8</v>
      </c>
      <c r="I201" s="55">
        <v>0.05</v>
      </c>
      <c r="J201" s="55">
        <v>0.05</v>
      </c>
      <c r="K201" s="55">
        <v>0.01</v>
      </c>
      <c r="L201" s="55">
        <v>7.0000000000000007E-2</v>
      </c>
    </row>
    <row r="202" spans="1:12">
      <c r="A202" s="55">
        <v>195</v>
      </c>
      <c r="B202" s="55" t="s">
        <v>1224</v>
      </c>
      <c r="C202" s="55">
        <v>12</v>
      </c>
      <c r="D202" s="55">
        <v>0</v>
      </c>
      <c r="E202" s="55">
        <v>146</v>
      </c>
      <c r="F202" s="55">
        <v>0</v>
      </c>
      <c r="G202" s="55">
        <v>0</v>
      </c>
      <c r="H202" s="55">
        <v>0</v>
      </c>
      <c r="I202" s="55">
        <v>0.04</v>
      </c>
      <c r="J202" s="55">
        <v>0.05</v>
      </c>
      <c r="K202" s="55">
        <v>0</v>
      </c>
      <c r="L202" s="55">
        <v>0</v>
      </c>
    </row>
    <row r="203" spans="1:12">
      <c r="A203" s="55">
        <v>196</v>
      </c>
      <c r="B203" s="55" t="s">
        <v>695</v>
      </c>
      <c r="C203" s="55">
        <v>2</v>
      </c>
      <c r="D203" s="55">
        <v>9</v>
      </c>
      <c r="E203" s="55">
        <v>144</v>
      </c>
      <c r="F203" s="55">
        <v>29</v>
      </c>
      <c r="G203" s="55">
        <v>-77.78</v>
      </c>
      <c r="H203" s="55">
        <v>396.55</v>
      </c>
      <c r="I203" s="55">
        <v>0.01</v>
      </c>
      <c r="J203" s="55">
        <v>0.05</v>
      </c>
      <c r="K203" s="55">
        <v>0.03</v>
      </c>
      <c r="L203" s="55">
        <v>0.01</v>
      </c>
    </row>
    <row r="204" spans="1:12">
      <c r="A204" s="55">
        <v>197</v>
      </c>
      <c r="B204" s="55" t="s">
        <v>387</v>
      </c>
      <c r="C204" s="55">
        <v>6</v>
      </c>
      <c r="D204" s="55">
        <v>18</v>
      </c>
      <c r="E204" s="55">
        <v>133</v>
      </c>
      <c r="F204" s="55">
        <v>148</v>
      </c>
      <c r="G204" s="55">
        <v>-66.67</v>
      </c>
      <c r="H204" s="55">
        <v>-10.14</v>
      </c>
      <c r="I204" s="55">
        <v>0.02</v>
      </c>
      <c r="J204" s="55">
        <v>0.05</v>
      </c>
      <c r="K204" s="55">
        <v>0.05</v>
      </c>
      <c r="L204" s="55">
        <v>0.05</v>
      </c>
    </row>
    <row r="205" spans="1:12">
      <c r="A205" s="55">
        <v>198</v>
      </c>
      <c r="B205" s="55" t="s">
        <v>181</v>
      </c>
      <c r="C205" s="55">
        <v>18</v>
      </c>
      <c r="D205" s="55">
        <v>5</v>
      </c>
      <c r="E205" s="55">
        <v>133</v>
      </c>
      <c r="F205" s="55">
        <v>54</v>
      </c>
      <c r="G205" s="55">
        <v>260</v>
      </c>
      <c r="H205" s="55">
        <v>146.30000000000001</v>
      </c>
      <c r="I205" s="55">
        <v>0.06</v>
      </c>
      <c r="J205" s="55">
        <v>0.05</v>
      </c>
      <c r="K205" s="55">
        <v>0.01</v>
      </c>
      <c r="L205" s="55">
        <v>0.02</v>
      </c>
    </row>
    <row r="206" spans="1:12">
      <c r="A206" s="55">
        <v>199</v>
      </c>
      <c r="B206" s="55" t="s">
        <v>110</v>
      </c>
      <c r="C206" s="55">
        <v>12</v>
      </c>
      <c r="D206" s="55">
        <v>0</v>
      </c>
      <c r="E206" s="55">
        <v>131</v>
      </c>
      <c r="F206" s="55">
        <v>82</v>
      </c>
      <c r="G206" s="55">
        <v>0</v>
      </c>
      <c r="H206" s="55">
        <v>59.76</v>
      </c>
      <c r="I206" s="55">
        <v>0.04</v>
      </c>
      <c r="J206" s="55">
        <v>0.05</v>
      </c>
      <c r="K206" s="55">
        <v>0</v>
      </c>
      <c r="L206" s="55">
        <v>0.03</v>
      </c>
    </row>
    <row r="207" spans="1:12">
      <c r="A207" s="55">
        <v>200</v>
      </c>
      <c r="B207" s="55" t="s">
        <v>185</v>
      </c>
      <c r="C207" s="55">
        <v>7</v>
      </c>
      <c r="D207" s="55">
        <v>6</v>
      </c>
      <c r="E207" s="55">
        <v>120</v>
      </c>
      <c r="F207" s="55">
        <v>82</v>
      </c>
      <c r="G207" s="55">
        <v>16.670000000000002</v>
      </c>
      <c r="H207" s="55">
        <v>46.34</v>
      </c>
      <c r="I207" s="55">
        <v>0.02</v>
      </c>
      <c r="J207" s="55">
        <v>0.04</v>
      </c>
      <c r="K207" s="55">
        <v>0.02</v>
      </c>
      <c r="L207" s="55">
        <v>0.03</v>
      </c>
    </row>
    <row r="208" spans="1:12">
      <c r="A208" s="55">
        <v>201</v>
      </c>
      <c r="B208" s="55" t="s">
        <v>391</v>
      </c>
      <c r="C208" s="55">
        <v>4</v>
      </c>
      <c r="D208" s="55">
        <v>8</v>
      </c>
      <c r="E208" s="55">
        <v>118</v>
      </c>
      <c r="F208" s="55">
        <v>238</v>
      </c>
      <c r="G208" s="55">
        <v>-50</v>
      </c>
      <c r="H208" s="55">
        <v>-50.42</v>
      </c>
      <c r="I208" s="55">
        <v>0.01</v>
      </c>
      <c r="J208" s="55">
        <v>0.04</v>
      </c>
      <c r="K208" s="55">
        <v>0.02</v>
      </c>
      <c r="L208" s="55">
        <v>0.08</v>
      </c>
    </row>
    <row r="209" spans="1:12">
      <c r="A209" s="55">
        <v>202</v>
      </c>
      <c r="B209" s="55" t="s">
        <v>425</v>
      </c>
      <c r="C209" s="55">
        <v>6</v>
      </c>
      <c r="D209" s="55">
        <v>67</v>
      </c>
      <c r="E209" s="55">
        <v>116</v>
      </c>
      <c r="F209" s="55">
        <v>218</v>
      </c>
      <c r="G209" s="55">
        <v>-91.04</v>
      </c>
      <c r="H209" s="55">
        <v>-46.79</v>
      </c>
      <c r="I209" s="55">
        <v>0.02</v>
      </c>
      <c r="J209" s="55">
        <v>0.04</v>
      </c>
      <c r="K209" s="55">
        <v>0.19</v>
      </c>
      <c r="L209" s="55">
        <v>0.08</v>
      </c>
    </row>
    <row r="210" spans="1:12">
      <c r="A210" s="55">
        <v>203</v>
      </c>
      <c r="B210" s="55" t="s">
        <v>1300</v>
      </c>
      <c r="C210" s="55">
        <v>44</v>
      </c>
      <c r="D210" s="55">
        <v>0</v>
      </c>
      <c r="E210" s="55">
        <v>116</v>
      </c>
      <c r="F210" s="55">
        <v>0</v>
      </c>
      <c r="G210" s="55">
        <v>0</v>
      </c>
      <c r="H210" s="55">
        <v>0</v>
      </c>
      <c r="I210" s="55">
        <v>0.15</v>
      </c>
      <c r="J210" s="55">
        <v>0.04</v>
      </c>
      <c r="K210" s="55">
        <v>0</v>
      </c>
      <c r="L210" s="55">
        <v>0</v>
      </c>
    </row>
    <row r="211" spans="1:12">
      <c r="A211" s="55">
        <v>204</v>
      </c>
      <c r="B211" s="55" t="s">
        <v>201</v>
      </c>
      <c r="C211" s="55">
        <v>2</v>
      </c>
      <c r="D211" s="55">
        <v>3</v>
      </c>
      <c r="E211" s="55">
        <v>113</v>
      </c>
      <c r="F211" s="55">
        <v>122</v>
      </c>
      <c r="G211" s="55">
        <v>-33.33</v>
      </c>
      <c r="H211" s="55">
        <v>-7.38</v>
      </c>
      <c r="I211" s="55">
        <v>0.01</v>
      </c>
      <c r="J211" s="55">
        <v>0.04</v>
      </c>
      <c r="K211" s="55">
        <v>0.01</v>
      </c>
      <c r="L211" s="55">
        <v>0.04</v>
      </c>
    </row>
    <row r="212" spans="1:12">
      <c r="A212" s="55">
        <v>205</v>
      </c>
      <c r="B212" s="55" t="s">
        <v>664</v>
      </c>
      <c r="C212" s="55">
        <v>5</v>
      </c>
      <c r="D212" s="55">
        <v>17</v>
      </c>
      <c r="E212" s="55">
        <v>112</v>
      </c>
      <c r="F212" s="55">
        <v>74</v>
      </c>
      <c r="G212" s="55">
        <v>-70.59</v>
      </c>
      <c r="H212" s="55">
        <v>51.35</v>
      </c>
      <c r="I212" s="55">
        <v>0.02</v>
      </c>
      <c r="J212" s="55">
        <v>0.04</v>
      </c>
      <c r="K212" s="55">
        <v>0.05</v>
      </c>
      <c r="L212" s="55">
        <v>0.03</v>
      </c>
    </row>
    <row r="213" spans="1:12">
      <c r="A213" s="55">
        <v>206</v>
      </c>
      <c r="B213" s="55" t="s">
        <v>1053</v>
      </c>
      <c r="C213" s="55">
        <v>2</v>
      </c>
      <c r="D213" s="55">
        <v>0</v>
      </c>
      <c r="E213" s="55">
        <v>112</v>
      </c>
      <c r="F213" s="55">
        <v>0</v>
      </c>
      <c r="G213" s="55">
        <v>0</v>
      </c>
      <c r="H213" s="55">
        <v>0</v>
      </c>
      <c r="I213" s="55">
        <v>0.01</v>
      </c>
      <c r="J213" s="55">
        <v>0.04</v>
      </c>
      <c r="K213" s="55">
        <v>0</v>
      </c>
      <c r="L213" s="55">
        <v>0</v>
      </c>
    </row>
    <row r="214" spans="1:12">
      <c r="A214" s="55">
        <v>207</v>
      </c>
      <c r="B214" s="55" t="s">
        <v>1145</v>
      </c>
      <c r="C214" s="55">
        <v>5</v>
      </c>
      <c r="D214" s="55">
        <v>0</v>
      </c>
      <c r="E214" s="55">
        <v>111</v>
      </c>
      <c r="F214" s="55">
        <v>0</v>
      </c>
      <c r="G214" s="55">
        <v>0</v>
      </c>
      <c r="H214" s="55">
        <v>0</v>
      </c>
      <c r="I214" s="55">
        <v>0.02</v>
      </c>
      <c r="J214" s="55">
        <v>0.04</v>
      </c>
      <c r="K214" s="55">
        <v>0</v>
      </c>
      <c r="L214" s="55">
        <v>0</v>
      </c>
    </row>
    <row r="215" spans="1:12">
      <c r="A215" s="55">
        <v>208</v>
      </c>
      <c r="B215" s="55" t="s">
        <v>371</v>
      </c>
      <c r="C215" s="55">
        <v>0</v>
      </c>
      <c r="D215" s="55">
        <v>21</v>
      </c>
      <c r="E215" s="55">
        <v>110</v>
      </c>
      <c r="F215" s="55">
        <v>204</v>
      </c>
      <c r="G215" s="55">
        <v>-100</v>
      </c>
      <c r="H215" s="55">
        <v>-46.08</v>
      </c>
      <c r="I215" s="55">
        <v>0</v>
      </c>
      <c r="J215" s="55">
        <v>0.04</v>
      </c>
      <c r="K215" s="55">
        <v>0.06</v>
      </c>
      <c r="L215" s="55">
        <v>7.0000000000000007E-2</v>
      </c>
    </row>
    <row r="216" spans="1:12">
      <c r="A216" s="55">
        <v>209</v>
      </c>
      <c r="B216" s="55" t="s">
        <v>114</v>
      </c>
      <c r="C216" s="55">
        <v>4</v>
      </c>
      <c r="D216" s="55">
        <v>4</v>
      </c>
      <c r="E216" s="55">
        <v>108</v>
      </c>
      <c r="F216" s="55">
        <v>96</v>
      </c>
      <c r="G216" s="55">
        <v>0</v>
      </c>
      <c r="H216" s="55">
        <v>12.5</v>
      </c>
      <c r="I216" s="55">
        <v>0.01</v>
      </c>
      <c r="J216" s="55">
        <v>0.04</v>
      </c>
      <c r="K216" s="55">
        <v>0.01</v>
      </c>
      <c r="L216" s="55">
        <v>0.03</v>
      </c>
    </row>
    <row r="217" spans="1:12">
      <c r="A217" s="55">
        <v>210</v>
      </c>
      <c r="B217" s="55" t="s">
        <v>187</v>
      </c>
      <c r="C217" s="55">
        <v>0</v>
      </c>
      <c r="D217" s="55">
        <v>0</v>
      </c>
      <c r="E217" s="55">
        <v>105</v>
      </c>
      <c r="F217" s="55">
        <v>49</v>
      </c>
      <c r="G217" s="55">
        <v>0</v>
      </c>
      <c r="H217" s="55">
        <v>114.29</v>
      </c>
      <c r="I217" s="55">
        <v>0</v>
      </c>
      <c r="J217" s="55">
        <v>0.04</v>
      </c>
      <c r="K217" s="55">
        <v>0</v>
      </c>
      <c r="L217" s="55">
        <v>0.02</v>
      </c>
    </row>
    <row r="218" spans="1:12">
      <c r="A218" s="55">
        <v>211</v>
      </c>
      <c r="B218" s="55" t="s">
        <v>209</v>
      </c>
      <c r="C218" s="55">
        <v>7</v>
      </c>
      <c r="D218" s="55">
        <v>5</v>
      </c>
      <c r="E218" s="55">
        <v>104</v>
      </c>
      <c r="F218" s="55">
        <v>94</v>
      </c>
      <c r="G218" s="55">
        <v>40</v>
      </c>
      <c r="H218" s="55">
        <v>10.64</v>
      </c>
      <c r="I218" s="55">
        <v>0.02</v>
      </c>
      <c r="J218" s="55">
        <v>0.04</v>
      </c>
      <c r="K218" s="55">
        <v>0.01</v>
      </c>
      <c r="L218" s="55">
        <v>0.03</v>
      </c>
    </row>
    <row r="219" spans="1:12">
      <c r="A219" s="55">
        <v>212</v>
      </c>
      <c r="B219" s="55" t="s">
        <v>107</v>
      </c>
      <c r="C219" s="55">
        <v>21</v>
      </c>
      <c r="D219" s="55">
        <v>9</v>
      </c>
      <c r="E219" s="55">
        <v>103</v>
      </c>
      <c r="F219" s="55">
        <v>195</v>
      </c>
      <c r="G219" s="55">
        <v>133.33000000000001</v>
      </c>
      <c r="H219" s="55">
        <v>-47.18</v>
      </c>
      <c r="I219" s="55">
        <v>7.0000000000000007E-2</v>
      </c>
      <c r="J219" s="55">
        <v>0.04</v>
      </c>
      <c r="K219" s="55">
        <v>0.03</v>
      </c>
      <c r="L219" s="55">
        <v>7.0000000000000007E-2</v>
      </c>
    </row>
    <row r="220" spans="1:12">
      <c r="A220" s="55">
        <v>213</v>
      </c>
      <c r="B220" s="55" t="s">
        <v>182</v>
      </c>
      <c r="C220" s="55">
        <v>10</v>
      </c>
      <c r="D220" s="55">
        <v>10</v>
      </c>
      <c r="E220" s="55">
        <v>100</v>
      </c>
      <c r="F220" s="55">
        <v>104</v>
      </c>
      <c r="G220" s="55">
        <v>0</v>
      </c>
      <c r="H220" s="55">
        <v>-3.85</v>
      </c>
      <c r="I220" s="55">
        <v>0.03</v>
      </c>
      <c r="J220" s="55">
        <v>0.03</v>
      </c>
      <c r="K220" s="55">
        <v>0.03</v>
      </c>
      <c r="L220" s="55">
        <v>0.04</v>
      </c>
    </row>
    <row r="221" spans="1:12">
      <c r="A221" s="55">
        <v>214</v>
      </c>
      <c r="B221" s="55" t="s">
        <v>115</v>
      </c>
      <c r="C221" s="55">
        <v>4</v>
      </c>
      <c r="D221" s="55">
        <v>38</v>
      </c>
      <c r="E221" s="55">
        <v>99</v>
      </c>
      <c r="F221" s="55">
        <v>196</v>
      </c>
      <c r="G221" s="55">
        <v>-89.47</v>
      </c>
      <c r="H221" s="55">
        <v>-49.49</v>
      </c>
      <c r="I221" s="55">
        <v>0.01</v>
      </c>
      <c r="J221" s="55">
        <v>0.03</v>
      </c>
      <c r="K221" s="55">
        <v>0.11</v>
      </c>
      <c r="L221" s="55">
        <v>7.0000000000000007E-2</v>
      </c>
    </row>
    <row r="222" spans="1:12">
      <c r="A222" s="55">
        <v>215</v>
      </c>
      <c r="B222" s="55" t="s">
        <v>214</v>
      </c>
      <c r="C222" s="55">
        <v>8</v>
      </c>
      <c r="D222" s="55">
        <v>15</v>
      </c>
      <c r="E222" s="55">
        <v>98</v>
      </c>
      <c r="F222" s="55">
        <v>64</v>
      </c>
      <c r="G222" s="55">
        <v>-46.67</v>
      </c>
      <c r="H222" s="55">
        <v>53.13</v>
      </c>
      <c r="I222" s="55">
        <v>0.03</v>
      </c>
      <c r="J222" s="55">
        <v>0.03</v>
      </c>
      <c r="K222" s="55">
        <v>0.04</v>
      </c>
      <c r="L222" s="55">
        <v>0.02</v>
      </c>
    </row>
    <row r="223" spans="1:12">
      <c r="A223" s="55">
        <v>216</v>
      </c>
      <c r="B223" s="55" t="s">
        <v>1056</v>
      </c>
      <c r="C223" s="55">
        <v>2</v>
      </c>
      <c r="D223" s="55">
        <v>0</v>
      </c>
      <c r="E223" s="55">
        <v>98</v>
      </c>
      <c r="F223" s="55">
        <v>0</v>
      </c>
      <c r="G223" s="55">
        <v>0</v>
      </c>
      <c r="H223" s="55">
        <v>0</v>
      </c>
      <c r="I223" s="55">
        <v>0.01</v>
      </c>
      <c r="J223" s="55">
        <v>0.03</v>
      </c>
      <c r="K223" s="55">
        <v>0</v>
      </c>
      <c r="L223" s="55">
        <v>0</v>
      </c>
    </row>
    <row r="224" spans="1:12">
      <c r="A224" s="55">
        <v>217</v>
      </c>
      <c r="B224" s="55" t="s">
        <v>1126</v>
      </c>
      <c r="C224" s="55">
        <v>2</v>
      </c>
      <c r="D224" s="55">
        <v>0</v>
      </c>
      <c r="E224" s="55">
        <v>96</v>
      </c>
      <c r="F224" s="55">
        <v>0</v>
      </c>
      <c r="G224" s="55">
        <v>0</v>
      </c>
      <c r="H224" s="55">
        <v>0</v>
      </c>
      <c r="I224" s="55">
        <v>0.01</v>
      </c>
      <c r="J224" s="55">
        <v>0.03</v>
      </c>
      <c r="K224" s="55">
        <v>0</v>
      </c>
      <c r="L224" s="55">
        <v>0</v>
      </c>
    </row>
    <row r="225" spans="1:12">
      <c r="A225" s="55">
        <v>218</v>
      </c>
      <c r="B225" s="55" t="s">
        <v>196</v>
      </c>
      <c r="C225" s="55">
        <v>6</v>
      </c>
      <c r="D225" s="55">
        <v>9</v>
      </c>
      <c r="E225" s="55">
        <v>95</v>
      </c>
      <c r="F225" s="55">
        <v>97</v>
      </c>
      <c r="G225" s="55">
        <v>-33.33</v>
      </c>
      <c r="H225" s="55">
        <v>-2.06</v>
      </c>
      <c r="I225" s="55">
        <v>0.02</v>
      </c>
      <c r="J225" s="55">
        <v>0.03</v>
      </c>
      <c r="K225" s="55">
        <v>0.03</v>
      </c>
      <c r="L225" s="55">
        <v>0.03</v>
      </c>
    </row>
    <row r="226" spans="1:12">
      <c r="A226" s="55">
        <v>219</v>
      </c>
      <c r="B226" s="55" t="s">
        <v>151</v>
      </c>
      <c r="C226" s="55">
        <v>2</v>
      </c>
      <c r="D226" s="55">
        <v>1</v>
      </c>
      <c r="E226" s="55">
        <v>88</v>
      </c>
      <c r="F226" s="55">
        <v>220</v>
      </c>
      <c r="G226" s="55">
        <v>100</v>
      </c>
      <c r="H226" s="55">
        <v>-60</v>
      </c>
      <c r="I226" s="55">
        <v>0.01</v>
      </c>
      <c r="J226" s="55">
        <v>0.03</v>
      </c>
      <c r="K226" s="55">
        <v>0</v>
      </c>
      <c r="L226" s="55">
        <v>0.08</v>
      </c>
    </row>
    <row r="227" spans="1:12">
      <c r="A227" s="55">
        <v>220</v>
      </c>
      <c r="B227" s="55" t="s">
        <v>633</v>
      </c>
      <c r="C227" s="55">
        <v>0</v>
      </c>
      <c r="D227" s="55">
        <v>707</v>
      </c>
      <c r="E227" s="55">
        <v>87</v>
      </c>
      <c r="F227" s="55">
        <v>2330</v>
      </c>
      <c r="G227" s="55">
        <v>-100</v>
      </c>
      <c r="H227" s="55">
        <v>-96.27</v>
      </c>
      <c r="I227" s="55">
        <v>0</v>
      </c>
      <c r="J227" s="55">
        <v>0.03</v>
      </c>
      <c r="K227" s="55">
        <v>1.99</v>
      </c>
      <c r="L227" s="55">
        <v>0.81</v>
      </c>
    </row>
    <row r="228" spans="1:12">
      <c r="A228" s="55">
        <v>221</v>
      </c>
      <c r="B228" s="55" t="s">
        <v>138</v>
      </c>
      <c r="C228" s="55">
        <v>17</v>
      </c>
      <c r="D228" s="55">
        <v>4</v>
      </c>
      <c r="E228" s="55">
        <v>86</v>
      </c>
      <c r="F228" s="55">
        <v>165</v>
      </c>
      <c r="G228" s="55">
        <v>325</v>
      </c>
      <c r="H228" s="55">
        <v>-47.88</v>
      </c>
      <c r="I228" s="55">
        <v>0.06</v>
      </c>
      <c r="J228" s="55">
        <v>0.03</v>
      </c>
      <c r="K228" s="55">
        <v>0.01</v>
      </c>
      <c r="L228" s="55">
        <v>0.06</v>
      </c>
    </row>
    <row r="229" spans="1:12">
      <c r="A229" s="55">
        <v>222</v>
      </c>
      <c r="B229" s="55" t="s">
        <v>1075</v>
      </c>
      <c r="C229" s="55">
        <v>11</v>
      </c>
      <c r="D229" s="55">
        <v>0</v>
      </c>
      <c r="E229" s="55">
        <v>86</v>
      </c>
      <c r="F229" s="55">
        <v>0</v>
      </c>
      <c r="G229" s="55">
        <v>0</v>
      </c>
      <c r="H229" s="55">
        <v>0</v>
      </c>
      <c r="I229" s="55">
        <v>0.04</v>
      </c>
      <c r="J229" s="55">
        <v>0.03</v>
      </c>
      <c r="K229" s="55">
        <v>0</v>
      </c>
      <c r="L229" s="55">
        <v>0</v>
      </c>
    </row>
    <row r="230" spans="1:12">
      <c r="A230" s="55">
        <v>223</v>
      </c>
      <c r="B230" s="55" t="s">
        <v>1313</v>
      </c>
      <c r="C230" s="55">
        <v>81</v>
      </c>
      <c r="D230" s="55">
        <v>0</v>
      </c>
      <c r="E230" s="55">
        <v>81</v>
      </c>
      <c r="F230" s="55">
        <v>0</v>
      </c>
      <c r="G230" s="55">
        <v>0</v>
      </c>
      <c r="H230" s="55">
        <v>0</v>
      </c>
      <c r="I230" s="55">
        <v>0.28000000000000003</v>
      </c>
      <c r="J230" s="55">
        <v>0.03</v>
      </c>
      <c r="K230" s="55">
        <v>0</v>
      </c>
      <c r="L230" s="55">
        <v>0</v>
      </c>
    </row>
    <row r="231" spans="1:12">
      <c r="A231" s="55">
        <v>224</v>
      </c>
      <c r="B231" s="55" t="s">
        <v>206</v>
      </c>
      <c r="C231" s="55">
        <v>1</v>
      </c>
      <c r="D231" s="55">
        <v>6</v>
      </c>
      <c r="E231" s="55">
        <v>80</v>
      </c>
      <c r="F231" s="55">
        <v>116</v>
      </c>
      <c r="G231" s="55">
        <v>-83.33</v>
      </c>
      <c r="H231" s="55">
        <v>-31.03</v>
      </c>
      <c r="I231" s="55">
        <v>0</v>
      </c>
      <c r="J231" s="55">
        <v>0.03</v>
      </c>
      <c r="K231" s="55">
        <v>0.02</v>
      </c>
      <c r="L231" s="55">
        <v>0.04</v>
      </c>
    </row>
    <row r="232" spans="1:12">
      <c r="A232" s="55">
        <v>225</v>
      </c>
      <c r="B232" s="55" t="s">
        <v>205</v>
      </c>
      <c r="C232" s="55">
        <v>9</v>
      </c>
      <c r="D232" s="55">
        <v>8</v>
      </c>
      <c r="E232" s="55">
        <v>76</v>
      </c>
      <c r="F232" s="55">
        <v>85</v>
      </c>
      <c r="G232" s="55">
        <v>12.5</v>
      </c>
      <c r="H232" s="55">
        <v>-10.59</v>
      </c>
      <c r="I232" s="55">
        <v>0.03</v>
      </c>
      <c r="J232" s="55">
        <v>0.03</v>
      </c>
      <c r="K232" s="55">
        <v>0.02</v>
      </c>
      <c r="L232" s="55">
        <v>0.03</v>
      </c>
    </row>
    <row r="233" spans="1:12">
      <c r="A233" s="55">
        <v>226</v>
      </c>
      <c r="B233" s="55" t="s">
        <v>1209</v>
      </c>
      <c r="C233" s="55">
        <v>9</v>
      </c>
      <c r="D233" s="55">
        <v>0</v>
      </c>
      <c r="E233" s="55">
        <v>76</v>
      </c>
      <c r="F233" s="55">
        <v>0</v>
      </c>
      <c r="G233" s="55">
        <v>0</v>
      </c>
      <c r="H233" s="55">
        <v>0</v>
      </c>
      <c r="I233" s="55">
        <v>0.03</v>
      </c>
      <c r="J233" s="55">
        <v>0.03</v>
      </c>
      <c r="K233" s="55">
        <v>0</v>
      </c>
      <c r="L233" s="55">
        <v>0</v>
      </c>
    </row>
    <row r="234" spans="1:12">
      <c r="A234" s="55">
        <v>227</v>
      </c>
      <c r="B234" s="55" t="s">
        <v>1172</v>
      </c>
      <c r="C234" s="55">
        <v>4</v>
      </c>
      <c r="D234" s="55">
        <v>0</v>
      </c>
      <c r="E234" s="55">
        <v>76</v>
      </c>
      <c r="F234" s="55">
        <v>0</v>
      </c>
      <c r="G234" s="55">
        <v>0</v>
      </c>
      <c r="H234" s="55">
        <v>0</v>
      </c>
      <c r="I234" s="55">
        <v>0.01</v>
      </c>
      <c r="J234" s="55">
        <v>0.03</v>
      </c>
      <c r="K234" s="55">
        <v>0</v>
      </c>
      <c r="L234" s="55">
        <v>0</v>
      </c>
    </row>
    <row r="235" spans="1:12">
      <c r="A235" s="55">
        <v>228</v>
      </c>
      <c r="B235" s="55" t="s">
        <v>166</v>
      </c>
      <c r="C235" s="55">
        <v>6</v>
      </c>
      <c r="D235" s="55">
        <v>12</v>
      </c>
      <c r="E235" s="55">
        <v>73</v>
      </c>
      <c r="F235" s="55">
        <v>95</v>
      </c>
      <c r="G235" s="55">
        <v>-50</v>
      </c>
      <c r="H235" s="55">
        <v>-23.16</v>
      </c>
      <c r="I235" s="55">
        <v>0.02</v>
      </c>
      <c r="J235" s="55">
        <v>0.03</v>
      </c>
      <c r="K235" s="55">
        <v>0.03</v>
      </c>
      <c r="L235" s="55">
        <v>0.03</v>
      </c>
    </row>
    <row r="236" spans="1:12">
      <c r="A236" s="55">
        <v>229</v>
      </c>
      <c r="B236" s="55" t="s">
        <v>420</v>
      </c>
      <c r="C236" s="55">
        <v>0</v>
      </c>
      <c r="D236" s="55">
        <v>68</v>
      </c>
      <c r="E236" s="55">
        <v>71</v>
      </c>
      <c r="F236" s="55">
        <v>1184</v>
      </c>
      <c r="G236" s="55">
        <v>-100</v>
      </c>
      <c r="H236" s="55">
        <v>-94</v>
      </c>
      <c r="I236" s="55">
        <v>0</v>
      </c>
      <c r="J236" s="55">
        <v>0.02</v>
      </c>
      <c r="K236" s="55">
        <v>0.19</v>
      </c>
      <c r="L236" s="55">
        <v>0.41</v>
      </c>
    </row>
    <row r="237" spans="1:12">
      <c r="A237" s="55">
        <v>230</v>
      </c>
      <c r="B237" s="55" t="s">
        <v>555</v>
      </c>
      <c r="C237" s="55">
        <v>13</v>
      </c>
      <c r="D237" s="55">
        <v>26</v>
      </c>
      <c r="E237" s="55">
        <v>69</v>
      </c>
      <c r="F237" s="55">
        <v>156</v>
      </c>
      <c r="G237" s="55">
        <v>-50</v>
      </c>
      <c r="H237" s="55">
        <v>-55.77</v>
      </c>
      <c r="I237" s="55">
        <v>0.04</v>
      </c>
      <c r="J237" s="55">
        <v>0.02</v>
      </c>
      <c r="K237" s="55">
        <v>7.0000000000000007E-2</v>
      </c>
      <c r="L237" s="55">
        <v>0.05</v>
      </c>
    </row>
    <row r="238" spans="1:12">
      <c r="A238" s="55">
        <v>231</v>
      </c>
      <c r="B238" s="55" t="s">
        <v>195</v>
      </c>
      <c r="C238" s="55">
        <v>5</v>
      </c>
      <c r="D238" s="55">
        <v>5</v>
      </c>
      <c r="E238" s="55">
        <v>69</v>
      </c>
      <c r="F238" s="55">
        <v>46</v>
      </c>
      <c r="G238" s="55">
        <v>0</v>
      </c>
      <c r="H238" s="55">
        <v>50</v>
      </c>
      <c r="I238" s="55">
        <v>0.02</v>
      </c>
      <c r="J238" s="55">
        <v>0.02</v>
      </c>
      <c r="K238" s="55">
        <v>0.01</v>
      </c>
      <c r="L238" s="55">
        <v>0.02</v>
      </c>
    </row>
    <row r="239" spans="1:12">
      <c r="A239" s="55">
        <v>232</v>
      </c>
      <c r="B239" s="55" t="s">
        <v>1009</v>
      </c>
      <c r="C239" s="55">
        <v>2</v>
      </c>
      <c r="D239" s="55">
        <v>3</v>
      </c>
      <c r="E239" s="55">
        <v>69</v>
      </c>
      <c r="F239" s="55">
        <v>25</v>
      </c>
      <c r="G239" s="55">
        <v>-33.33</v>
      </c>
      <c r="H239" s="55">
        <v>176</v>
      </c>
      <c r="I239" s="55">
        <v>0.01</v>
      </c>
      <c r="J239" s="55">
        <v>0.02</v>
      </c>
      <c r="K239" s="55">
        <v>0.01</v>
      </c>
      <c r="L239" s="55">
        <v>0.01</v>
      </c>
    </row>
    <row r="240" spans="1:12">
      <c r="A240" s="55">
        <v>233</v>
      </c>
      <c r="B240" s="55" t="s">
        <v>1076</v>
      </c>
      <c r="C240" s="55">
        <v>0</v>
      </c>
      <c r="D240" s="55">
        <v>0</v>
      </c>
      <c r="E240" s="55">
        <v>66</v>
      </c>
      <c r="F240" s="55">
        <v>0</v>
      </c>
      <c r="G240" s="55">
        <v>0</v>
      </c>
      <c r="H240" s="55">
        <v>0</v>
      </c>
      <c r="I240" s="55">
        <v>0</v>
      </c>
      <c r="J240" s="55">
        <v>0.02</v>
      </c>
      <c r="K240" s="55">
        <v>0</v>
      </c>
      <c r="L240" s="55">
        <v>0</v>
      </c>
    </row>
    <row r="241" spans="1:12">
      <c r="A241" s="55">
        <v>234</v>
      </c>
      <c r="B241" s="55" t="s">
        <v>160</v>
      </c>
      <c r="C241" s="55">
        <v>4</v>
      </c>
      <c r="D241" s="55">
        <v>3</v>
      </c>
      <c r="E241" s="55">
        <v>65</v>
      </c>
      <c r="F241" s="55">
        <v>141</v>
      </c>
      <c r="G241" s="55">
        <v>33.33</v>
      </c>
      <c r="H241" s="55">
        <v>-53.9</v>
      </c>
      <c r="I241" s="55">
        <v>0.01</v>
      </c>
      <c r="J241" s="55">
        <v>0.02</v>
      </c>
      <c r="K241" s="55">
        <v>0.01</v>
      </c>
      <c r="L241" s="55">
        <v>0.05</v>
      </c>
    </row>
    <row r="242" spans="1:12">
      <c r="A242" s="55">
        <v>235</v>
      </c>
      <c r="B242" s="55" t="s">
        <v>164</v>
      </c>
      <c r="C242" s="55">
        <v>0</v>
      </c>
      <c r="D242" s="55">
        <v>2</v>
      </c>
      <c r="E242" s="55">
        <v>65</v>
      </c>
      <c r="F242" s="55">
        <v>43</v>
      </c>
      <c r="G242" s="55">
        <v>-100</v>
      </c>
      <c r="H242" s="55">
        <v>51.16</v>
      </c>
      <c r="I242" s="55">
        <v>0</v>
      </c>
      <c r="J242" s="55">
        <v>0.02</v>
      </c>
      <c r="K242" s="55">
        <v>0.01</v>
      </c>
      <c r="L242" s="55">
        <v>0.01</v>
      </c>
    </row>
    <row r="243" spans="1:12">
      <c r="A243" s="55">
        <v>236</v>
      </c>
      <c r="B243" s="55" t="s">
        <v>1020</v>
      </c>
      <c r="C243" s="55">
        <v>4</v>
      </c>
      <c r="D243" s="55">
        <v>8</v>
      </c>
      <c r="E243" s="55">
        <v>65</v>
      </c>
      <c r="F243" s="55">
        <v>11</v>
      </c>
      <c r="G243" s="55">
        <v>-50</v>
      </c>
      <c r="H243" s="55">
        <v>490.91</v>
      </c>
      <c r="I243" s="55">
        <v>0.01</v>
      </c>
      <c r="J243" s="55">
        <v>0.02</v>
      </c>
      <c r="K243" s="55">
        <v>0.02</v>
      </c>
      <c r="L243" s="55">
        <v>0</v>
      </c>
    </row>
    <row r="244" spans="1:12">
      <c r="A244" s="55">
        <v>237</v>
      </c>
      <c r="B244" s="55" t="s">
        <v>1227</v>
      </c>
      <c r="C244" s="55">
        <v>18</v>
      </c>
      <c r="D244" s="55">
        <v>0</v>
      </c>
      <c r="E244" s="55">
        <v>60</v>
      </c>
      <c r="F244" s="55">
        <v>0</v>
      </c>
      <c r="G244" s="55">
        <v>0</v>
      </c>
      <c r="H244" s="55">
        <v>0</v>
      </c>
      <c r="I244" s="55">
        <v>0.06</v>
      </c>
      <c r="J244" s="55">
        <v>0.02</v>
      </c>
      <c r="K244" s="55">
        <v>0</v>
      </c>
      <c r="L244" s="55">
        <v>0</v>
      </c>
    </row>
    <row r="245" spans="1:12">
      <c r="A245" s="55">
        <v>238</v>
      </c>
      <c r="B245" s="55" t="s">
        <v>190</v>
      </c>
      <c r="C245" s="55">
        <v>0</v>
      </c>
      <c r="D245" s="55">
        <v>49</v>
      </c>
      <c r="E245" s="55">
        <v>58</v>
      </c>
      <c r="F245" s="55">
        <v>329</v>
      </c>
      <c r="G245" s="55">
        <v>-100</v>
      </c>
      <c r="H245" s="55">
        <v>-82.37</v>
      </c>
      <c r="I245" s="55">
        <v>0</v>
      </c>
      <c r="J245" s="55">
        <v>0.02</v>
      </c>
      <c r="K245" s="55">
        <v>0.14000000000000001</v>
      </c>
      <c r="L245" s="55">
        <v>0.11</v>
      </c>
    </row>
    <row r="246" spans="1:12">
      <c r="A246" s="55">
        <v>239</v>
      </c>
      <c r="B246" s="55" t="s">
        <v>219</v>
      </c>
      <c r="C246" s="55">
        <v>5</v>
      </c>
      <c r="D246" s="55">
        <v>2</v>
      </c>
      <c r="E246" s="55">
        <v>58</v>
      </c>
      <c r="F246" s="55">
        <v>54</v>
      </c>
      <c r="G246" s="55">
        <v>150</v>
      </c>
      <c r="H246" s="55">
        <v>7.41</v>
      </c>
      <c r="I246" s="55">
        <v>0.02</v>
      </c>
      <c r="J246" s="55">
        <v>0.02</v>
      </c>
      <c r="K246" s="55">
        <v>0.01</v>
      </c>
      <c r="L246" s="55">
        <v>0.02</v>
      </c>
    </row>
    <row r="247" spans="1:12">
      <c r="A247" s="55">
        <v>240</v>
      </c>
      <c r="B247" s="55" t="s">
        <v>702</v>
      </c>
      <c r="C247" s="55">
        <v>5</v>
      </c>
      <c r="D247" s="55">
        <v>2</v>
      </c>
      <c r="E247" s="55">
        <v>58</v>
      </c>
      <c r="F247" s="55">
        <v>15</v>
      </c>
      <c r="G247" s="55">
        <v>150</v>
      </c>
      <c r="H247" s="55">
        <v>286.67</v>
      </c>
      <c r="I247" s="55">
        <v>0.02</v>
      </c>
      <c r="J247" s="55">
        <v>0.02</v>
      </c>
      <c r="K247" s="55">
        <v>0.01</v>
      </c>
      <c r="L247" s="55">
        <v>0.01</v>
      </c>
    </row>
    <row r="248" spans="1:12">
      <c r="A248" s="55">
        <v>241</v>
      </c>
      <c r="B248" s="55" t="s">
        <v>1226</v>
      </c>
      <c r="C248" s="55">
        <v>6</v>
      </c>
      <c r="D248" s="55">
        <v>0</v>
      </c>
      <c r="E248" s="55">
        <v>58</v>
      </c>
      <c r="F248" s="55">
        <v>0</v>
      </c>
      <c r="G248" s="55">
        <v>0</v>
      </c>
      <c r="H248" s="55">
        <v>0</v>
      </c>
      <c r="I248" s="55">
        <v>0.02</v>
      </c>
      <c r="J248" s="55">
        <v>0.02</v>
      </c>
      <c r="K248" s="55">
        <v>0</v>
      </c>
      <c r="L248" s="55">
        <v>0</v>
      </c>
    </row>
    <row r="249" spans="1:12">
      <c r="A249" s="55">
        <v>242</v>
      </c>
      <c r="B249" s="55" t="s">
        <v>215</v>
      </c>
      <c r="C249" s="55">
        <v>3</v>
      </c>
      <c r="D249" s="55">
        <v>0</v>
      </c>
      <c r="E249" s="55">
        <v>53</v>
      </c>
      <c r="F249" s="55">
        <v>125</v>
      </c>
      <c r="G249" s="55">
        <v>0</v>
      </c>
      <c r="H249" s="55">
        <v>-57.6</v>
      </c>
      <c r="I249" s="55">
        <v>0.01</v>
      </c>
      <c r="J249" s="55">
        <v>0.02</v>
      </c>
      <c r="K249" s="55">
        <v>0</v>
      </c>
      <c r="L249" s="55">
        <v>0.04</v>
      </c>
    </row>
    <row r="250" spans="1:12">
      <c r="A250" s="55">
        <v>243</v>
      </c>
      <c r="B250" s="55" t="s">
        <v>1124</v>
      </c>
      <c r="C250" s="55">
        <v>5</v>
      </c>
      <c r="D250" s="55">
        <v>0</v>
      </c>
      <c r="E250" s="55">
        <v>53</v>
      </c>
      <c r="F250" s="55">
        <v>0</v>
      </c>
      <c r="G250" s="55">
        <v>0</v>
      </c>
      <c r="H250" s="55">
        <v>0</v>
      </c>
      <c r="I250" s="55">
        <v>0.02</v>
      </c>
      <c r="J250" s="55">
        <v>0.02</v>
      </c>
      <c r="K250" s="55">
        <v>0</v>
      </c>
      <c r="L250" s="55">
        <v>0</v>
      </c>
    </row>
    <row r="251" spans="1:12">
      <c r="A251" s="55">
        <v>244</v>
      </c>
      <c r="B251" s="55" t="s">
        <v>183</v>
      </c>
      <c r="C251" s="55">
        <v>0</v>
      </c>
      <c r="D251" s="55">
        <v>12</v>
      </c>
      <c r="E251" s="55">
        <v>51</v>
      </c>
      <c r="F251" s="55">
        <v>79</v>
      </c>
      <c r="G251" s="55">
        <v>-100</v>
      </c>
      <c r="H251" s="55">
        <v>-35.44</v>
      </c>
      <c r="I251" s="55">
        <v>0</v>
      </c>
      <c r="J251" s="55">
        <v>0.02</v>
      </c>
      <c r="K251" s="55">
        <v>0.03</v>
      </c>
      <c r="L251" s="55">
        <v>0.03</v>
      </c>
    </row>
    <row r="252" spans="1:12">
      <c r="A252" s="55">
        <v>245</v>
      </c>
      <c r="B252" s="55" t="s">
        <v>662</v>
      </c>
      <c r="C252" s="55">
        <v>2</v>
      </c>
      <c r="D252" s="55">
        <v>3</v>
      </c>
      <c r="E252" s="55">
        <v>51</v>
      </c>
      <c r="F252" s="55">
        <v>51</v>
      </c>
      <c r="G252" s="55">
        <v>-33.33</v>
      </c>
      <c r="H252" s="55">
        <v>0</v>
      </c>
      <c r="I252" s="55">
        <v>0.01</v>
      </c>
      <c r="J252" s="55">
        <v>0.02</v>
      </c>
      <c r="K252" s="55">
        <v>0.01</v>
      </c>
      <c r="L252" s="55">
        <v>0.02</v>
      </c>
    </row>
    <row r="253" spans="1:12">
      <c r="A253" s="55">
        <v>246</v>
      </c>
      <c r="B253" s="55" t="s">
        <v>203</v>
      </c>
      <c r="C253" s="55">
        <v>2</v>
      </c>
      <c r="D253" s="55">
        <v>4</v>
      </c>
      <c r="E253" s="55">
        <v>51</v>
      </c>
      <c r="F253" s="55">
        <v>51</v>
      </c>
      <c r="G253" s="55">
        <v>-50</v>
      </c>
      <c r="H253" s="55">
        <v>0</v>
      </c>
      <c r="I253" s="55">
        <v>0.01</v>
      </c>
      <c r="J253" s="55">
        <v>0.02</v>
      </c>
      <c r="K253" s="55">
        <v>0.01</v>
      </c>
      <c r="L253" s="55">
        <v>0.02</v>
      </c>
    </row>
    <row r="254" spans="1:12">
      <c r="A254" s="55">
        <v>247</v>
      </c>
      <c r="B254" s="55" t="s">
        <v>197</v>
      </c>
      <c r="C254" s="55">
        <v>0</v>
      </c>
      <c r="D254" s="55">
        <v>3</v>
      </c>
      <c r="E254" s="55">
        <v>49</v>
      </c>
      <c r="F254" s="55">
        <v>134</v>
      </c>
      <c r="G254" s="55">
        <v>-100</v>
      </c>
      <c r="H254" s="55">
        <v>-63.43</v>
      </c>
      <c r="I254" s="55">
        <v>0</v>
      </c>
      <c r="J254" s="55">
        <v>0.02</v>
      </c>
      <c r="K254" s="55">
        <v>0.01</v>
      </c>
      <c r="L254" s="55">
        <v>0.05</v>
      </c>
    </row>
    <row r="255" spans="1:12">
      <c r="A255" s="55">
        <v>248</v>
      </c>
      <c r="B255" s="55" t="s">
        <v>434</v>
      </c>
      <c r="C255" s="55">
        <v>18</v>
      </c>
      <c r="D255" s="55">
        <v>14</v>
      </c>
      <c r="E255" s="55">
        <v>46</v>
      </c>
      <c r="F255" s="55">
        <v>112</v>
      </c>
      <c r="G255" s="55">
        <v>28.57</v>
      </c>
      <c r="H255" s="55">
        <v>-58.93</v>
      </c>
      <c r="I255" s="55">
        <v>0.06</v>
      </c>
      <c r="J255" s="55">
        <v>0.02</v>
      </c>
      <c r="K255" s="55">
        <v>0.04</v>
      </c>
      <c r="L255" s="55">
        <v>0.04</v>
      </c>
    </row>
    <row r="256" spans="1:12">
      <c r="A256" s="55">
        <v>249</v>
      </c>
      <c r="B256" s="55" t="s">
        <v>216</v>
      </c>
      <c r="C256" s="55">
        <v>0</v>
      </c>
      <c r="D256" s="55">
        <v>5</v>
      </c>
      <c r="E256" s="55">
        <v>45</v>
      </c>
      <c r="F256" s="55">
        <v>52</v>
      </c>
      <c r="G256" s="55">
        <v>-100</v>
      </c>
      <c r="H256" s="55">
        <v>-13.46</v>
      </c>
      <c r="I256" s="55">
        <v>0</v>
      </c>
      <c r="J256" s="55">
        <v>0.02</v>
      </c>
      <c r="K256" s="55">
        <v>0.01</v>
      </c>
      <c r="L256" s="55">
        <v>0.02</v>
      </c>
    </row>
    <row r="257" spans="1:12">
      <c r="A257" s="55">
        <v>250</v>
      </c>
      <c r="B257" s="55" t="s">
        <v>211</v>
      </c>
      <c r="C257" s="55">
        <v>0</v>
      </c>
      <c r="D257" s="55">
        <v>3</v>
      </c>
      <c r="E257" s="55">
        <v>45</v>
      </c>
      <c r="F257" s="55">
        <v>40</v>
      </c>
      <c r="G257" s="55">
        <v>-100</v>
      </c>
      <c r="H257" s="55">
        <v>12.5</v>
      </c>
      <c r="I257" s="55">
        <v>0</v>
      </c>
      <c r="J257" s="55">
        <v>0.02</v>
      </c>
      <c r="K257" s="55">
        <v>0.01</v>
      </c>
      <c r="L257" s="55">
        <v>0.01</v>
      </c>
    </row>
    <row r="258" spans="1:12">
      <c r="A258" s="55">
        <v>251</v>
      </c>
      <c r="B258" s="55" t="s">
        <v>1149</v>
      </c>
      <c r="C258" s="55">
        <v>4</v>
      </c>
      <c r="D258" s="55">
        <v>0</v>
      </c>
      <c r="E258" s="55">
        <v>45</v>
      </c>
      <c r="F258" s="55">
        <v>3</v>
      </c>
      <c r="G258" s="55">
        <v>0</v>
      </c>
      <c r="H258" s="55">
        <v>1400</v>
      </c>
      <c r="I258" s="55">
        <v>0.01</v>
      </c>
      <c r="J258" s="55">
        <v>0.02</v>
      </c>
      <c r="K258" s="55">
        <v>0</v>
      </c>
      <c r="L258" s="55">
        <v>0</v>
      </c>
    </row>
    <row r="259" spans="1:12">
      <c r="A259" s="55">
        <v>252</v>
      </c>
      <c r="B259" s="55" t="s">
        <v>1072</v>
      </c>
      <c r="C259" s="55">
        <v>0</v>
      </c>
      <c r="D259" s="55">
        <v>0</v>
      </c>
      <c r="E259" s="55">
        <v>44</v>
      </c>
      <c r="F259" s="55">
        <v>0</v>
      </c>
      <c r="G259" s="55">
        <v>0</v>
      </c>
      <c r="H259" s="55">
        <v>0</v>
      </c>
      <c r="I259" s="55">
        <v>0</v>
      </c>
      <c r="J259" s="55">
        <v>0.02</v>
      </c>
      <c r="K259" s="55">
        <v>0</v>
      </c>
      <c r="L259" s="55">
        <v>0</v>
      </c>
    </row>
    <row r="260" spans="1:12">
      <c r="A260" s="55">
        <v>253</v>
      </c>
      <c r="B260" s="55" t="s">
        <v>1208</v>
      </c>
      <c r="C260" s="55">
        <v>8</v>
      </c>
      <c r="D260" s="55">
        <v>0</v>
      </c>
      <c r="E260" s="55">
        <v>43</v>
      </c>
      <c r="F260" s="55">
        <v>0</v>
      </c>
      <c r="G260" s="55">
        <v>0</v>
      </c>
      <c r="H260" s="55">
        <v>0</v>
      </c>
      <c r="I260" s="55">
        <v>0.03</v>
      </c>
      <c r="J260" s="55">
        <v>0.01</v>
      </c>
      <c r="K260" s="55">
        <v>0</v>
      </c>
      <c r="L260" s="55">
        <v>0</v>
      </c>
    </row>
    <row r="261" spans="1:12">
      <c r="A261" s="55">
        <v>254</v>
      </c>
      <c r="B261" s="55" t="s">
        <v>129</v>
      </c>
      <c r="C261" s="55">
        <v>6</v>
      </c>
      <c r="D261" s="55">
        <v>16</v>
      </c>
      <c r="E261" s="55">
        <v>41</v>
      </c>
      <c r="F261" s="55">
        <v>158</v>
      </c>
      <c r="G261" s="55">
        <v>-62.5</v>
      </c>
      <c r="H261" s="55">
        <v>-74.05</v>
      </c>
      <c r="I261" s="55">
        <v>0.02</v>
      </c>
      <c r="J261" s="55">
        <v>0.01</v>
      </c>
      <c r="K261" s="55">
        <v>0.05</v>
      </c>
      <c r="L261" s="55">
        <v>0.05</v>
      </c>
    </row>
    <row r="262" spans="1:12">
      <c r="A262" s="55">
        <v>255</v>
      </c>
      <c r="B262" s="55" t="s">
        <v>173</v>
      </c>
      <c r="C262" s="55">
        <v>1</v>
      </c>
      <c r="D262" s="55">
        <v>9</v>
      </c>
      <c r="E262" s="55">
        <v>41</v>
      </c>
      <c r="F262" s="55">
        <v>33</v>
      </c>
      <c r="G262" s="55">
        <v>-88.89</v>
      </c>
      <c r="H262" s="55">
        <v>24.24</v>
      </c>
      <c r="I262" s="55">
        <v>0</v>
      </c>
      <c r="J262" s="55">
        <v>0.01</v>
      </c>
      <c r="K262" s="55">
        <v>0.03</v>
      </c>
      <c r="L262" s="55">
        <v>0.01</v>
      </c>
    </row>
    <row r="263" spans="1:12">
      <c r="A263" s="55">
        <v>256</v>
      </c>
      <c r="B263" s="55" t="s">
        <v>701</v>
      </c>
      <c r="C263" s="55">
        <v>0</v>
      </c>
      <c r="D263" s="55">
        <v>12</v>
      </c>
      <c r="E263" s="55">
        <v>40</v>
      </c>
      <c r="F263" s="55">
        <v>157</v>
      </c>
      <c r="G263" s="55">
        <v>-100</v>
      </c>
      <c r="H263" s="55">
        <v>-74.52</v>
      </c>
      <c r="I263" s="55">
        <v>0</v>
      </c>
      <c r="J263" s="55">
        <v>0.01</v>
      </c>
      <c r="K263" s="55">
        <v>0.03</v>
      </c>
      <c r="L263" s="55">
        <v>0.05</v>
      </c>
    </row>
    <row r="264" spans="1:12">
      <c r="A264" s="55">
        <v>257</v>
      </c>
      <c r="B264" s="55" t="s">
        <v>1073</v>
      </c>
      <c r="C264" s="55">
        <v>2</v>
      </c>
      <c r="D264" s="55">
        <v>7</v>
      </c>
      <c r="E264" s="55">
        <v>39</v>
      </c>
      <c r="F264" s="55">
        <v>35</v>
      </c>
      <c r="G264" s="55">
        <v>-71.430000000000007</v>
      </c>
      <c r="H264" s="55">
        <v>11.43</v>
      </c>
      <c r="I264" s="55">
        <v>0.01</v>
      </c>
      <c r="J264" s="55">
        <v>0.01</v>
      </c>
      <c r="K264" s="55">
        <v>0.02</v>
      </c>
      <c r="L264" s="55">
        <v>0.01</v>
      </c>
    </row>
    <row r="265" spans="1:12">
      <c r="A265" s="55">
        <v>258</v>
      </c>
      <c r="B265" s="55" t="s">
        <v>367</v>
      </c>
      <c r="C265" s="55">
        <v>4</v>
      </c>
      <c r="D265" s="55">
        <v>3</v>
      </c>
      <c r="E265" s="55">
        <v>39</v>
      </c>
      <c r="F265" s="55">
        <v>25</v>
      </c>
      <c r="G265" s="55">
        <v>33.33</v>
      </c>
      <c r="H265" s="55">
        <v>56</v>
      </c>
      <c r="I265" s="55">
        <v>0.01</v>
      </c>
      <c r="J265" s="55">
        <v>0.01</v>
      </c>
      <c r="K265" s="55">
        <v>0.01</v>
      </c>
      <c r="L265" s="55">
        <v>0.01</v>
      </c>
    </row>
    <row r="266" spans="1:12">
      <c r="A266" s="55">
        <v>259</v>
      </c>
      <c r="B266" s="55" t="s">
        <v>364</v>
      </c>
      <c r="C266" s="55">
        <v>1</v>
      </c>
      <c r="D266" s="55">
        <v>1</v>
      </c>
      <c r="E266" s="55">
        <v>37</v>
      </c>
      <c r="F266" s="55">
        <v>44</v>
      </c>
      <c r="G266" s="55">
        <v>0</v>
      </c>
      <c r="H266" s="55">
        <v>-15.91</v>
      </c>
      <c r="I266" s="55">
        <v>0</v>
      </c>
      <c r="J266" s="55">
        <v>0.01</v>
      </c>
      <c r="K266" s="55">
        <v>0</v>
      </c>
      <c r="L266" s="55">
        <v>0.02</v>
      </c>
    </row>
    <row r="267" spans="1:12">
      <c r="A267" s="55">
        <v>260</v>
      </c>
      <c r="B267" s="55" t="s">
        <v>1006</v>
      </c>
      <c r="C267" s="55">
        <v>1</v>
      </c>
      <c r="D267" s="55">
        <v>2</v>
      </c>
      <c r="E267" s="55">
        <v>36</v>
      </c>
      <c r="F267" s="55">
        <v>63</v>
      </c>
      <c r="G267" s="62">
        <v>-50</v>
      </c>
      <c r="H267" s="62">
        <v>-42.86</v>
      </c>
      <c r="I267" s="55">
        <v>0</v>
      </c>
      <c r="J267" s="55">
        <v>0.01</v>
      </c>
      <c r="K267" s="55">
        <v>0.01</v>
      </c>
      <c r="L267" s="55">
        <v>0.02</v>
      </c>
    </row>
    <row r="268" spans="1:12">
      <c r="A268" s="55">
        <v>261</v>
      </c>
      <c r="B268" s="55" t="s">
        <v>379</v>
      </c>
      <c r="C268" s="55">
        <v>0</v>
      </c>
      <c r="D268" s="55">
        <v>16</v>
      </c>
      <c r="E268" s="55">
        <v>36</v>
      </c>
      <c r="F268" s="55">
        <v>54</v>
      </c>
      <c r="G268" s="55">
        <v>-100</v>
      </c>
      <c r="H268" s="55">
        <v>-33.33</v>
      </c>
      <c r="I268" s="55">
        <v>0</v>
      </c>
      <c r="J268" s="55">
        <v>0.01</v>
      </c>
      <c r="K268" s="55">
        <v>0.05</v>
      </c>
      <c r="L268" s="55">
        <v>0.02</v>
      </c>
    </row>
    <row r="269" spans="1:12">
      <c r="A269" s="55">
        <v>262</v>
      </c>
      <c r="B269" s="55" t="s">
        <v>179</v>
      </c>
      <c r="C269" s="55">
        <v>0</v>
      </c>
      <c r="D269" s="55">
        <v>10</v>
      </c>
      <c r="E269" s="55">
        <v>35</v>
      </c>
      <c r="F269" s="55">
        <v>142</v>
      </c>
      <c r="G269" s="55">
        <v>-100</v>
      </c>
      <c r="H269" s="55">
        <v>-75.349999999999994</v>
      </c>
      <c r="I269" s="55">
        <v>0</v>
      </c>
      <c r="J269" s="55">
        <v>0.01</v>
      </c>
      <c r="K269" s="55">
        <v>0.03</v>
      </c>
      <c r="L269" s="55">
        <v>0.05</v>
      </c>
    </row>
    <row r="270" spans="1:12">
      <c r="A270" s="55">
        <v>263</v>
      </c>
      <c r="B270" s="55" t="s">
        <v>106</v>
      </c>
      <c r="C270" s="55">
        <v>0</v>
      </c>
      <c r="D270" s="55">
        <v>24</v>
      </c>
      <c r="E270" s="55">
        <v>34</v>
      </c>
      <c r="F270" s="55">
        <v>368</v>
      </c>
      <c r="G270" s="55">
        <v>-100</v>
      </c>
      <c r="H270" s="55">
        <v>-90.76</v>
      </c>
      <c r="I270" s="55">
        <v>0</v>
      </c>
      <c r="J270" s="55">
        <v>0.01</v>
      </c>
      <c r="K270" s="55">
        <v>7.0000000000000007E-2</v>
      </c>
      <c r="L270" s="55">
        <v>0.13</v>
      </c>
    </row>
    <row r="271" spans="1:12">
      <c r="A271" s="55">
        <v>264</v>
      </c>
      <c r="B271" s="55" t="s">
        <v>210</v>
      </c>
      <c r="C271" s="55">
        <v>0</v>
      </c>
      <c r="D271" s="55">
        <v>1</v>
      </c>
      <c r="E271" s="55">
        <v>34</v>
      </c>
      <c r="F271" s="55">
        <v>37</v>
      </c>
      <c r="G271" s="55">
        <v>-100</v>
      </c>
      <c r="H271" s="55">
        <v>-8.11</v>
      </c>
      <c r="I271" s="55">
        <v>0</v>
      </c>
      <c r="J271" s="55">
        <v>0.01</v>
      </c>
      <c r="K271" s="55">
        <v>0</v>
      </c>
      <c r="L271" s="55">
        <v>0.01</v>
      </c>
    </row>
    <row r="272" spans="1:12">
      <c r="A272" s="55">
        <v>265</v>
      </c>
      <c r="B272" s="55" t="s">
        <v>684</v>
      </c>
      <c r="C272" s="55">
        <v>0</v>
      </c>
      <c r="D272" s="55">
        <v>2</v>
      </c>
      <c r="E272" s="55">
        <v>34</v>
      </c>
      <c r="F272" s="55">
        <v>36</v>
      </c>
      <c r="G272" s="55">
        <v>-100</v>
      </c>
      <c r="H272" s="55">
        <v>-5.56</v>
      </c>
      <c r="I272" s="55">
        <v>0</v>
      </c>
      <c r="J272" s="55">
        <v>0.01</v>
      </c>
      <c r="K272" s="55">
        <v>0.01</v>
      </c>
      <c r="L272" s="55">
        <v>0.01</v>
      </c>
    </row>
    <row r="273" spans="1:12">
      <c r="A273" s="55">
        <v>266</v>
      </c>
      <c r="B273" s="55" t="s">
        <v>1270</v>
      </c>
      <c r="C273" s="55">
        <v>7</v>
      </c>
      <c r="D273" s="55">
        <v>0</v>
      </c>
      <c r="E273" s="55">
        <v>34</v>
      </c>
      <c r="F273" s="55">
        <v>0</v>
      </c>
      <c r="G273" s="55">
        <v>0</v>
      </c>
      <c r="H273" s="55">
        <v>0</v>
      </c>
      <c r="I273" s="55">
        <v>0.02</v>
      </c>
      <c r="J273" s="55">
        <v>0.01</v>
      </c>
      <c r="K273" s="55">
        <v>0</v>
      </c>
      <c r="L273" s="55">
        <v>0</v>
      </c>
    </row>
    <row r="274" spans="1:12">
      <c r="A274" s="55">
        <v>267</v>
      </c>
      <c r="B274" s="55" t="s">
        <v>200</v>
      </c>
      <c r="C274" s="55">
        <v>2</v>
      </c>
      <c r="D274" s="55">
        <v>1</v>
      </c>
      <c r="E274" s="55">
        <v>33</v>
      </c>
      <c r="F274" s="55">
        <v>46</v>
      </c>
      <c r="G274" s="62">
        <v>100</v>
      </c>
      <c r="H274" s="55">
        <v>-28.26</v>
      </c>
      <c r="I274" s="55">
        <v>0.01</v>
      </c>
      <c r="J274" s="55">
        <v>0.01</v>
      </c>
      <c r="K274" s="55">
        <v>0</v>
      </c>
      <c r="L274" s="55">
        <v>0.02</v>
      </c>
    </row>
    <row r="275" spans="1:12">
      <c r="A275" s="55">
        <v>268</v>
      </c>
      <c r="B275" s="55" t="s">
        <v>171</v>
      </c>
      <c r="C275" s="22">
        <v>0</v>
      </c>
      <c r="D275" s="22">
        <v>2</v>
      </c>
      <c r="E275" s="22">
        <v>31</v>
      </c>
      <c r="F275" s="22">
        <v>65</v>
      </c>
      <c r="G275" s="62">
        <v>-100</v>
      </c>
      <c r="H275" s="62">
        <v>-52.31</v>
      </c>
      <c r="I275" s="55">
        <v>0</v>
      </c>
      <c r="J275" s="55">
        <v>0.01</v>
      </c>
      <c r="K275" s="55">
        <v>0.01</v>
      </c>
      <c r="L275" s="55">
        <v>0.02</v>
      </c>
    </row>
    <row r="276" spans="1:12">
      <c r="A276" s="55">
        <v>269</v>
      </c>
      <c r="B276" s="55" t="s">
        <v>177</v>
      </c>
      <c r="C276" s="22">
        <v>3</v>
      </c>
      <c r="D276" s="55">
        <v>8</v>
      </c>
      <c r="E276" s="22">
        <v>31</v>
      </c>
      <c r="F276" s="55">
        <v>55</v>
      </c>
      <c r="G276" s="55">
        <v>-62.5</v>
      </c>
      <c r="H276" s="55">
        <v>-43.64</v>
      </c>
      <c r="I276" s="55">
        <v>0.01</v>
      </c>
      <c r="J276" s="55">
        <v>0.01</v>
      </c>
      <c r="K276" s="55">
        <v>0.02</v>
      </c>
      <c r="L276" s="55">
        <v>0.02</v>
      </c>
    </row>
    <row r="277" spans="1:12">
      <c r="A277" s="55">
        <v>270</v>
      </c>
      <c r="B277" s="55" t="s">
        <v>366</v>
      </c>
      <c r="C277" s="55">
        <v>3</v>
      </c>
      <c r="D277" s="55">
        <v>4</v>
      </c>
      <c r="E277" s="55">
        <v>29</v>
      </c>
      <c r="F277" s="55">
        <v>34</v>
      </c>
      <c r="G277" s="55">
        <v>-25</v>
      </c>
      <c r="H277" s="55">
        <v>-14.71</v>
      </c>
      <c r="I277" s="55">
        <v>0.01</v>
      </c>
      <c r="J277" s="55">
        <v>0.01</v>
      </c>
      <c r="K277" s="55">
        <v>0.01</v>
      </c>
      <c r="L277" s="55">
        <v>0.01</v>
      </c>
    </row>
    <row r="278" spans="1:12">
      <c r="A278" s="55">
        <v>271</v>
      </c>
      <c r="B278" s="55" t="s">
        <v>1268</v>
      </c>
      <c r="C278" s="55">
        <v>11</v>
      </c>
      <c r="D278" s="55">
        <v>0</v>
      </c>
      <c r="E278" s="55">
        <v>29</v>
      </c>
      <c r="F278" s="55">
        <v>0</v>
      </c>
      <c r="G278" s="55">
        <v>0</v>
      </c>
      <c r="H278" s="55">
        <v>0</v>
      </c>
      <c r="I278" s="55">
        <v>0.04</v>
      </c>
      <c r="J278" s="55">
        <v>0.01</v>
      </c>
      <c r="K278" s="55">
        <v>0</v>
      </c>
      <c r="L278" s="55">
        <v>0</v>
      </c>
    </row>
    <row r="279" spans="1:12">
      <c r="A279" s="55">
        <v>272</v>
      </c>
      <c r="B279" s="55" t="s">
        <v>180</v>
      </c>
      <c r="C279" s="55">
        <v>4</v>
      </c>
      <c r="D279" s="55">
        <v>2</v>
      </c>
      <c r="E279" s="55">
        <v>27</v>
      </c>
      <c r="F279" s="55">
        <v>68</v>
      </c>
      <c r="G279" s="55">
        <v>100</v>
      </c>
      <c r="H279" s="55">
        <v>-60.29</v>
      </c>
      <c r="I279" s="55">
        <v>0.01</v>
      </c>
      <c r="J279" s="55">
        <v>0.01</v>
      </c>
      <c r="K279" s="55">
        <v>0.01</v>
      </c>
      <c r="L279" s="55">
        <v>0.02</v>
      </c>
    </row>
    <row r="280" spans="1:12">
      <c r="A280" s="55">
        <v>273</v>
      </c>
      <c r="B280" s="55" t="s">
        <v>668</v>
      </c>
      <c r="C280" s="55">
        <v>0</v>
      </c>
      <c r="D280" s="55">
        <v>0</v>
      </c>
      <c r="E280" s="55">
        <v>25</v>
      </c>
      <c r="F280" s="55">
        <v>6</v>
      </c>
      <c r="G280" s="55">
        <v>0</v>
      </c>
      <c r="H280" s="55">
        <v>316.67</v>
      </c>
      <c r="I280" s="55">
        <v>0</v>
      </c>
      <c r="J280" s="55">
        <v>0.01</v>
      </c>
      <c r="K280" s="55">
        <v>0</v>
      </c>
      <c r="L280" s="55">
        <v>0</v>
      </c>
    </row>
    <row r="281" spans="1:12">
      <c r="A281" s="55">
        <v>274</v>
      </c>
      <c r="B281" s="55" t="s">
        <v>548</v>
      </c>
      <c r="C281" s="55">
        <v>2</v>
      </c>
      <c r="D281" s="55">
        <v>1</v>
      </c>
      <c r="E281" s="55">
        <v>24</v>
      </c>
      <c r="F281" s="55">
        <v>10</v>
      </c>
      <c r="G281" s="55">
        <v>100</v>
      </c>
      <c r="H281" s="55">
        <v>140</v>
      </c>
      <c r="I281" s="55">
        <v>0.01</v>
      </c>
      <c r="J281" s="55">
        <v>0.01</v>
      </c>
      <c r="K281" s="55">
        <v>0</v>
      </c>
      <c r="L281" s="55">
        <v>0</v>
      </c>
    </row>
    <row r="282" spans="1:12">
      <c r="A282" s="55">
        <v>275</v>
      </c>
      <c r="B282" s="55" t="s">
        <v>604</v>
      </c>
      <c r="C282" s="55">
        <v>0</v>
      </c>
      <c r="D282" s="55">
        <v>26</v>
      </c>
      <c r="E282" s="55">
        <v>23</v>
      </c>
      <c r="F282" s="55">
        <v>264</v>
      </c>
      <c r="G282" s="55">
        <v>-100</v>
      </c>
      <c r="H282" s="55">
        <v>-91.29</v>
      </c>
      <c r="I282" s="55">
        <v>0</v>
      </c>
      <c r="J282" s="55">
        <v>0.01</v>
      </c>
      <c r="K282" s="55">
        <v>7.0000000000000007E-2</v>
      </c>
      <c r="L282" s="55">
        <v>0.09</v>
      </c>
    </row>
    <row r="283" spans="1:12">
      <c r="A283" s="55">
        <v>276</v>
      </c>
      <c r="B283" s="55" t="s">
        <v>184</v>
      </c>
      <c r="C283" s="55">
        <v>0</v>
      </c>
      <c r="D283" s="55">
        <v>3</v>
      </c>
      <c r="E283" s="55">
        <v>22</v>
      </c>
      <c r="F283" s="55">
        <v>72</v>
      </c>
      <c r="G283" s="55">
        <v>-100</v>
      </c>
      <c r="H283" s="55">
        <v>-69.44</v>
      </c>
      <c r="I283" s="55">
        <v>0</v>
      </c>
      <c r="J283" s="55">
        <v>0.01</v>
      </c>
      <c r="K283" s="55">
        <v>0.01</v>
      </c>
      <c r="L283" s="55">
        <v>0.02</v>
      </c>
    </row>
    <row r="284" spans="1:12">
      <c r="A284" s="55">
        <v>277</v>
      </c>
      <c r="B284" s="55" t="s">
        <v>1314</v>
      </c>
      <c r="C284" s="55">
        <v>12</v>
      </c>
      <c r="D284" s="55">
        <v>0</v>
      </c>
      <c r="E284" s="55">
        <v>22</v>
      </c>
      <c r="F284" s="55">
        <v>0</v>
      </c>
      <c r="G284" s="55">
        <v>0</v>
      </c>
      <c r="H284" s="55">
        <v>0</v>
      </c>
      <c r="I284" s="55">
        <v>0.04</v>
      </c>
      <c r="J284" s="55">
        <v>0.01</v>
      </c>
      <c r="K284" s="55">
        <v>0</v>
      </c>
      <c r="L284" s="55">
        <v>0</v>
      </c>
    </row>
    <row r="285" spans="1:12">
      <c r="A285" s="55">
        <v>278</v>
      </c>
      <c r="B285" s="55" t="s">
        <v>1245</v>
      </c>
      <c r="C285" s="55">
        <v>1</v>
      </c>
      <c r="D285" s="55">
        <v>0</v>
      </c>
      <c r="E285" s="55">
        <v>21</v>
      </c>
      <c r="F285" s="55">
        <v>0</v>
      </c>
      <c r="G285" s="62">
        <v>0</v>
      </c>
      <c r="H285" s="62">
        <v>0</v>
      </c>
      <c r="I285" s="55">
        <v>0</v>
      </c>
      <c r="J285" s="55">
        <v>0.01</v>
      </c>
      <c r="K285" s="55">
        <v>0</v>
      </c>
      <c r="L285" s="55">
        <v>0</v>
      </c>
    </row>
    <row r="286" spans="1:12">
      <c r="A286" s="55">
        <v>279</v>
      </c>
      <c r="B286" s="55" t="s">
        <v>91</v>
      </c>
      <c r="C286" s="55">
        <v>0</v>
      </c>
      <c r="D286" s="55">
        <v>30</v>
      </c>
      <c r="E286" s="55">
        <v>20</v>
      </c>
      <c r="F286" s="55">
        <v>661</v>
      </c>
      <c r="G286" s="55">
        <v>-100</v>
      </c>
      <c r="H286" s="55">
        <v>-96.97</v>
      </c>
      <c r="I286" s="55">
        <v>0</v>
      </c>
      <c r="J286" s="55">
        <v>0.01</v>
      </c>
      <c r="K286" s="55">
        <v>0.08</v>
      </c>
      <c r="L286" s="55">
        <v>0.23</v>
      </c>
    </row>
    <row r="287" spans="1:12">
      <c r="A287" s="55">
        <v>280</v>
      </c>
      <c r="B287" s="55" t="s">
        <v>386</v>
      </c>
      <c r="C287" s="55">
        <v>2</v>
      </c>
      <c r="D287" s="55">
        <v>22</v>
      </c>
      <c r="E287" s="55">
        <v>20</v>
      </c>
      <c r="F287" s="55">
        <v>118</v>
      </c>
      <c r="G287" s="55">
        <v>-90.91</v>
      </c>
      <c r="H287" s="55">
        <v>-83.05</v>
      </c>
      <c r="I287" s="55">
        <v>0.01</v>
      </c>
      <c r="J287" s="55">
        <v>0.01</v>
      </c>
      <c r="K287" s="55">
        <v>0.06</v>
      </c>
      <c r="L287" s="55">
        <v>0.04</v>
      </c>
    </row>
    <row r="288" spans="1:12">
      <c r="A288" s="55">
        <v>281</v>
      </c>
      <c r="B288" s="55" t="s">
        <v>1225</v>
      </c>
      <c r="C288" s="55">
        <v>0</v>
      </c>
      <c r="D288" s="55">
        <v>0</v>
      </c>
      <c r="E288" s="55">
        <v>20</v>
      </c>
      <c r="F288" s="55">
        <v>0</v>
      </c>
      <c r="G288" s="55">
        <v>0</v>
      </c>
      <c r="H288" s="55">
        <v>0</v>
      </c>
      <c r="I288" s="55">
        <v>0</v>
      </c>
      <c r="J288" s="55">
        <v>0.01</v>
      </c>
      <c r="K288" s="55">
        <v>0</v>
      </c>
      <c r="L288" s="55">
        <v>0</v>
      </c>
    </row>
    <row r="289" spans="1:12">
      <c r="A289" s="55">
        <v>282</v>
      </c>
      <c r="B289" s="55" t="s">
        <v>202</v>
      </c>
      <c r="C289" s="55">
        <v>2</v>
      </c>
      <c r="D289" s="55">
        <v>2</v>
      </c>
      <c r="E289" s="55">
        <v>19</v>
      </c>
      <c r="F289" s="55">
        <v>55</v>
      </c>
      <c r="G289" s="55">
        <v>0</v>
      </c>
      <c r="H289" s="55">
        <v>-65.45</v>
      </c>
      <c r="I289" s="55">
        <v>0.01</v>
      </c>
      <c r="J289" s="55">
        <v>0.01</v>
      </c>
      <c r="K289" s="55">
        <v>0.01</v>
      </c>
      <c r="L289" s="55">
        <v>0.02</v>
      </c>
    </row>
    <row r="290" spans="1:12">
      <c r="A290" s="55">
        <v>283</v>
      </c>
      <c r="B290" s="55" t="s">
        <v>213</v>
      </c>
      <c r="C290" s="55">
        <v>0</v>
      </c>
      <c r="D290" s="55">
        <v>2</v>
      </c>
      <c r="E290" s="55">
        <v>19</v>
      </c>
      <c r="F290" s="55">
        <v>22</v>
      </c>
      <c r="G290" s="55">
        <v>-100</v>
      </c>
      <c r="H290" s="55">
        <v>-13.64</v>
      </c>
      <c r="I290" s="55">
        <v>0</v>
      </c>
      <c r="J290" s="55">
        <v>0.01</v>
      </c>
      <c r="K290" s="55">
        <v>0.01</v>
      </c>
      <c r="L290" s="55">
        <v>0.01</v>
      </c>
    </row>
    <row r="291" spans="1:12">
      <c r="A291" s="55">
        <v>284</v>
      </c>
      <c r="B291" s="55" t="s">
        <v>1085</v>
      </c>
      <c r="C291" s="55">
        <v>3</v>
      </c>
      <c r="D291" s="55">
        <v>0</v>
      </c>
      <c r="E291" s="55">
        <v>19</v>
      </c>
      <c r="F291" s="55">
        <v>10</v>
      </c>
      <c r="G291" s="55">
        <v>0</v>
      </c>
      <c r="H291" s="55">
        <v>90</v>
      </c>
      <c r="I291" s="55">
        <v>0.01</v>
      </c>
      <c r="J291" s="55">
        <v>0.01</v>
      </c>
      <c r="K291" s="55">
        <v>0</v>
      </c>
      <c r="L291" s="55">
        <v>0</v>
      </c>
    </row>
    <row r="292" spans="1:12">
      <c r="A292" s="55">
        <v>285</v>
      </c>
      <c r="B292" s="55" t="s">
        <v>1080</v>
      </c>
      <c r="C292" s="55">
        <v>0</v>
      </c>
      <c r="D292" s="55">
        <v>0</v>
      </c>
      <c r="E292" s="55">
        <v>19</v>
      </c>
      <c r="F292" s="55">
        <v>0</v>
      </c>
      <c r="G292" s="55">
        <v>0</v>
      </c>
      <c r="H292" s="55">
        <v>0</v>
      </c>
      <c r="I292" s="55">
        <v>0</v>
      </c>
      <c r="J292" s="55">
        <v>0.01</v>
      </c>
      <c r="K292" s="55">
        <v>0</v>
      </c>
      <c r="L292" s="55">
        <v>0</v>
      </c>
    </row>
    <row r="293" spans="1:12">
      <c r="A293" s="55">
        <v>286</v>
      </c>
      <c r="B293" s="55" t="s">
        <v>980</v>
      </c>
      <c r="C293" s="55">
        <v>1</v>
      </c>
      <c r="D293" s="55">
        <v>2</v>
      </c>
      <c r="E293" s="55">
        <v>18</v>
      </c>
      <c r="F293" s="55">
        <v>11</v>
      </c>
      <c r="G293" s="55">
        <v>-50</v>
      </c>
      <c r="H293" s="55">
        <v>63.64</v>
      </c>
      <c r="I293" s="55">
        <v>0</v>
      </c>
      <c r="J293" s="55">
        <v>0.01</v>
      </c>
      <c r="K293" s="55">
        <v>0.01</v>
      </c>
      <c r="L293" s="55">
        <v>0</v>
      </c>
    </row>
    <row r="294" spans="1:12">
      <c r="A294" s="55">
        <v>287</v>
      </c>
      <c r="B294" s="55" t="s">
        <v>1267</v>
      </c>
      <c r="C294" s="55">
        <v>1</v>
      </c>
      <c r="D294" s="55">
        <v>0</v>
      </c>
      <c r="E294" s="55">
        <v>18</v>
      </c>
      <c r="F294" s="55">
        <v>0</v>
      </c>
      <c r="G294" s="55">
        <v>0</v>
      </c>
      <c r="H294" s="55">
        <v>0</v>
      </c>
      <c r="I294" s="55">
        <v>0</v>
      </c>
      <c r="J294" s="55">
        <v>0.01</v>
      </c>
      <c r="K294" s="55">
        <v>0</v>
      </c>
      <c r="L294" s="55">
        <v>0</v>
      </c>
    </row>
    <row r="295" spans="1:12">
      <c r="A295" s="55">
        <v>288</v>
      </c>
      <c r="B295" s="55" t="s">
        <v>485</v>
      </c>
      <c r="C295" s="55">
        <v>1</v>
      </c>
      <c r="D295" s="55">
        <v>2</v>
      </c>
      <c r="E295" s="55">
        <v>17</v>
      </c>
      <c r="F295" s="55">
        <v>18</v>
      </c>
      <c r="G295" s="55">
        <v>-50</v>
      </c>
      <c r="H295" s="55">
        <v>-5.56</v>
      </c>
      <c r="I295" s="55">
        <v>0</v>
      </c>
      <c r="J295" s="55">
        <v>0.01</v>
      </c>
      <c r="K295" s="55">
        <v>0.01</v>
      </c>
      <c r="L295" s="55">
        <v>0.01</v>
      </c>
    </row>
    <row r="296" spans="1:12">
      <c r="A296" s="55">
        <v>289</v>
      </c>
      <c r="B296" s="55" t="s">
        <v>685</v>
      </c>
      <c r="C296" s="55">
        <v>1</v>
      </c>
      <c r="D296" s="55">
        <v>1</v>
      </c>
      <c r="E296" s="55">
        <v>17</v>
      </c>
      <c r="F296" s="55">
        <v>12</v>
      </c>
      <c r="G296" s="55">
        <v>0</v>
      </c>
      <c r="H296" s="55">
        <v>41.67</v>
      </c>
      <c r="I296" s="55">
        <v>0</v>
      </c>
      <c r="J296" s="55">
        <v>0.01</v>
      </c>
      <c r="K296" s="55">
        <v>0</v>
      </c>
      <c r="L296" s="55">
        <v>0</v>
      </c>
    </row>
    <row r="297" spans="1:12">
      <c r="A297" s="55">
        <v>290</v>
      </c>
      <c r="B297" s="55" t="s">
        <v>1077</v>
      </c>
      <c r="C297" s="55">
        <v>0</v>
      </c>
      <c r="D297" s="55">
        <v>1</v>
      </c>
      <c r="E297" s="55">
        <v>15</v>
      </c>
      <c r="F297" s="55">
        <v>19</v>
      </c>
      <c r="G297" s="55">
        <v>-100</v>
      </c>
      <c r="H297" s="55">
        <v>-21.05</v>
      </c>
      <c r="I297" s="55">
        <v>0</v>
      </c>
      <c r="J297" s="55">
        <v>0.01</v>
      </c>
      <c r="K297" s="55">
        <v>0</v>
      </c>
      <c r="L297" s="55">
        <v>0.01</v>
      </c>
    </row>
    <row r="298" spans="1:12">
      <c r="A298" s="55">
        <v>291</v>
      </c>
      <c r="B298" s="55" t="s">
        <v>483</v>
      </c>
      <c r="C298" s="55">
        <v>1</v>
      </c>
      <c r="D298" s="55">
        <v>1</v>
      </c>
      <c r="E298" s="55">
        <v>15</v>
      </c>
      <c r="F298" s="55">
        <v>17</v>
      </c>
      <c r="G298" s="55">
        <v>0</v>
      </c>
      <c r="H298" s="55">
        <v>-11.76</v>
      </c>
      <c r="I298" s="55">
        <v>0</v>
      </c>
      <c r="J298" s="55">
        <v>0.01</v>
      </c>
      <c r="K298" s="55">
        <v>0</v>
      </c>
      <c r="L298" s="55">
        <v>0.01</v>
      </c>
    </row>
    <row r="299" spans="1:12">
      <c r="A299" s="55">
        <v>292</v>
      </c>
      <c r="B299" s="55" t="s">
        <v>667</v>
      </c>
      <c r="C299" s="55">
        <v>1</v>
      </c>
      <c r="D299" s="55">
        <v>1</v>
      </c>
      <c r="E299" s="55">
        <v>15</v>
      </c>
      <c r="F299" s="55">
        <v>14</v>
      </c>
      <c r="G299" s="55">
        <v>0</v>
      </c>
      <c r="H299" s="55">
        <v>7.14</v>
      </c>
      <c r="I299" s="55">
        <v>0</v>
      </c>
      <c r="J299" s="55">
        <v>0.01</v>
      </c>
      <c r="K299" s="55">
        <v>0</v>
      </c>
      <c r="L299" s="55">
        <v>0</v>
      </c>
    </row>
    <row r="300" spans="1:12">
      <c r="A300" s="135">
        <v>293</v>
      </c>
      <c r="B300" s="135" t="s">
        <v>121</v>
      </c>
      <c r="C300" s="135">
        <v>0</v>
      </c>
      <c r="D300" s="135">
        <v>3</v>
      </c>
      <c r="E300" s="135">
        <v>14</v>
      </c>
      <c r="F300" s="135">
        <v>116</v>
      </c>
      <c r="G300" s="135">
        <v>-100</v>
      </c>
      <c r="H300" s="135">
        <v>-87.93</v>
      </c>
      <c r="I300" s="135">
        <v>0</v>
      </c>
      <c r="J300" s="135">
        <v>0</v>
      </c>
      <c r="K300" s="135">
        <v>0.01</v>
      </c>
      <c r="L300" s="135">
        <v>0.04</v>
      </c>
    </row>
    <row r="301" spans="1:12">
      <c r="A301" s="135">
        <v>294</v>
      </c>
      <c r="B301" s="135" t="s">
        <v>220</v>
      </c>
      <c r="C301" s="135">
        <v>0</v>
      </c>
      <c r="D301" s="135">
        <v>0</v>
      </c>
      <c r="E301" s="135">
        <v>14</v>
      </c>
      <c r="F301" s="135">
        <v>13</v>
      </c>
      <c r="G301" s="135">
        <v>0</v>
      </c>
      <c r="H301" s="135">
        <v>7.69</v>
      </c>
      <c r="I301" s="135">
        <v>0</v>
      </c>
      <c r="J301" s="135">
        <v>0</v>
      </c>
      <c r="K301" s="135">
        <v>0</v>
      </c>
      <c r="L301" s="135">
        <v>0</v>
      </c>
    </row>
    <row r="302" spans="1:12">
      <c r="A302" s="135">
        <v>295</v>
      </c>
      <c r="B302" s="135" t="s">
        <v>666</v>
      </c>
      <c r="C302" s="135">
        <v>0</v>
      </c>
      <c r="D302" s="135">
        <v>0</v>
      </c>
      <c r="E302" s="135">
        <v>14</v>
      </c>
      <c r="F302" s="135">
        <v>10</v>
      </c>
      <c r="G302" s="137">
        <v>0</v>
      </c>
      <c r="H302" s="137">
        <v>40</v>
      </c>
      <c r="I302" s="135">
        <v>0</v>
      </c>
      <c r="J302" s="135">
        <v>0</v>
      </c>
      <c r="K302" s="135">
        <v>0</v>
      </c>
      <c r="L302" s="135">
        <v>0</v>
      </c>
    </row>
    <row r="303" spans="1:12">
      <c r="A303" s="135">
        <v>296</v>
      </c>
      <c r="B303" s="135" t="s">
        <v>1078</v>
      </c>
      <c r="C303" s="135">
        <v>0</v>
      </c>
      <c r="D303" s="135">
        <v>0</v>
      </c>
      <c r="E303" s="135">
        <v>10</v>
      </c>
      <c r="F303" s="135">
        <v>14</v>
      </c>
      <c r="G303" s="135">
        <v>0</v>
      </c>
      <c r="H303" s="135">
        <v>-28.57</v>
      </c>
      <c r="I303" s="135">
        <v>0</v>
      </c>
      <c r="J303" s="135">
        <v>0</v>
      </c>
      <c r="K303" s="135">
        <v>0</v>
      </c>
      <c r="L303" s="135">
        <v>0</v>
      </c>
    </row>
    <row r="304" spans="1:12">
      <c r="A304" s="135">
        <v>297</v>
      </c>
      <c r="B304" s="135" t="s">
        <v>1301</v>
      </c>
      <c r="C304" s="135">
        <v>0</v>
      </c>
      <c r="D304" s="135">
        <v>0</v>
      </c>
      <c r="E304" s="135">
        <v>10</v>
      </c>
      <c r="F304" s="135">
        <v>0</v>
      </c>
      <c r="G304" s="135">
        <v>0</v>
      </c>
      <c r="H304" s="135">
        <v>0</v>
      </c>
      <c r="I304" s="135">
        <v>0</v>
      </c>
      <c r="J304" s="135">
        <v>0</v>
      </c>
      <c r="K304" s="135">
        <v>0</v>
      </c>
      <c r="L304" s="135">
        <v>0</v>
      </c>
    </row>
    <row r="305" spans="1:12">
      <c r="A305" s="135">
        <v>298</v>
      </c>
      <c r="B305" s="135" t="s">
        <v>569</v>
      </c>
      <c r="C305" s="135">
        <v>0</v>
      </c>
      <c r="D305" s="135">
        <v>1</v>
      </c>
      <c r="E305" s="135">
        <v>9</v>
      </c>
      <c r="F305" s="135">
        <v>21</v>
      </c>
      <c r="G305" s="135">
        <v>-100</v>
      </c>
      <c r="H305" s="135">
        <v>-57.14</v>
      </c>
      <c r="I305" s="135">
        <v>0</v>
      </c>
      <c r="J305" s="135">
        <v>0</v>
      </c>
      <c r="K305" s="135">
        <v>0</v>
      </c>
      <c r="L305" s="135">
        <v>0.01</v>
      </c>
    </row>
    <row r="306" spans="1:12">
      <c r="A306" s="135">
        <v>299</v>
      </c>
      <c r="B306" s="135" t="s">
        <v>477</v>
      </c>
      <c r="C306" s="135">
        <v>2</v>
      </c>
      <c r="D306" s="135">
        <v>3</v>
      </c>
      <c r="E306" s="135">
        <v>7</v>
      </c>
      <c r="F306" s="135">
        <v>16</v>
      </c>
      <c r="G306" s="135">
        <v>-33.33</v>
      </c>
      <c r="H306" s="135">
        <v>-56.25</v>
      </c>
      <c r="I306" s="135">
        <v>0.01</v>
      </c>
      <c r="J306" s="135">
        <v>0</v>
      </c>
      <c r="K306" s="135">
        <v>0.01</v>
      </c>
      <c r="L306" s="135">
        <v>0.01</v>
      </c>
    </row>
    <row r="307" spans="1:12">
      <c r="A307" s="135">
        <v>300</v>
      </c>
      <c r="B307" s="135" t="s">
        <v>1147</v>
      </c>
      <c r="C307" s="135">
        <v>1</v>
      </c>
      <c r="D307" s="135">
        <v>2</v>
      </c>
      <c r="E307" s="135">
        <v>7</v>
      </c>
      <c r="F307" s="135">
        <v>3</v>
      </c>
      <c r="G307" s="135">
        <v>-50</v>
      </c>
      <c r="H307" s="135">
        <v>133.33000000000001</v>
      </c>
      <c r="I307" s="135">
        <v>0</v>
      </c>
      <c r="J307" s="135">
        <v>0</v>
      </c>
      <c r="K307" s="135">
        <v>0.01</v>
      </c>
      <c r="L307" s="135">
        <v>0</v>
      </c>
    </row>
    <row r="308" spans="1:12">
      <c r="A308" s="135">
        <v>301</v>
      </c>
      <c r="B308" s="135" t="s">
        <v>1173</v>
      </c>
      <c r="C308" s="135">
        <v>0</v>
      </c>
      <c r="D308" s="135">
        <v>0</v>
      </c>
      <c r="E308" s="135">
        <v>7</v>
      </c>
      <c r="F308" s="135">
        <v>2</v>
      </c>
      <c r="G308" s="135">
        <v>0</v>
      </c>
      <c r="H308" s="135">
        <v>250</v>
      </c>
      <c r="I308" s="135">
        <v>0</v>
      </c>
      <c r="J308" s="135">
        <v>0</v>
      </c>
      <c r="K308" s="135">
        <v>0</v>
      </c>
      <c r="L308" s="135">
        <v>0</v>
      </c>
    </row>
    <row r="309" spans="1:12">
      <c r="A309" s="135">
        <v>302</v>
      </c>
      <c r="B309" s="135" t="s">
        <v>218</v>
      </c>
      <c r="C309" s="135">
        <v>0</v>
      </c>
      <c r="D309" s="135">
        <v>3</v>
      </c>
      <c r="E309" s="135">
        <v>6</v>
      </c>
      <c r="F309" s="135">
        <v>9</v>
      </c>
      <c r="G309" s="135">
        <v>-100</v>
      </c>
      <c r="H309" s="135">
        <v>-33.33</v>
      </c>
      <c r="I309" s="135">
        <v>0</v>
      </c>
      <c r="J309" s="135">
        <v>0</v>
      </c>
      <c r="K309" s="135">
        <v>0.01</v>
      </c>
      <c r="L309" s="135">
        <v>0</v>
      </c>
    </row>
    <row r="310" spans="1:12">
      <c r="A310" s="135">
        <v>303</v>
      </c>
      <c r="B310" s="135" t="s">
        <v>665</v>
      </c>
      <c r="C310" s="135">
        <v>0</v>
      </c>
      <c r="D310" s="135">
        <v>0</v>
      </c>
      <c r="E310" s="135">
        <v>6</v>
      </c>
      <c r="F310" s="135">
        <v>9</v>
      </c>
      <c r="G310" s="135">
        <v>0</v>
      </c>
      <c r="H310" s="135">
        <v>-33.33</v>
      </c>
      <c r="I310" s="135">
        <v>0</v>
      </c>
      <c r="J310" s="135">
        <v>0</v>
      </c>
      <c r="K310" s="135">
        <v>0</v>
      </c>
      <c r="L310" s="135">
        <v>0</v>
      </c>
    </row>
    <row r="311" spans="1:12">
      <c r="A311" s="135">
        <v>304</v>
      </c>
      <c r="B311" s="135" t="s">
        <v>1269</v>
      </c>
      <c r="C311" s="135">
        <v>1</v>
      </c>
      <c r="D311" s="135">
        <v>0</v>
      </c>
      <c r="E311" s="135">
        <v>6</v>
      </c>
      <c r="F311" s="135">
        <v>0</v>
      </c>
      <c r="G311" s="135">
        <v>0</v>
      </c>
      <c r="H311" s="135">
        <v>0</v>
      </c>
      <c r="I311" s="135">
        <v>0</v>
      </c>
      <c r="J311" s="135">
        <v>0</v>
      </c>
      <c r="K311" s="135">
        <v>0</v>
      </c>
      <c r="L311" s="135">
        <v>0</v>
      </c>
    </row>
    <row r="312" spans="1:12">
      <c r="A312" s="135">
        <v>305</v>
      </c>
      <c r="B312" s="135" t="s">
        <v>482</v>
      </c>
      <c r="C312" s="135">
        <v>0</v>
      </c>
      <c r="D312" s="135">
        <v>1</v>
      </c>
      <c r="E312" s="135">
        <v>5</v>
      </c>
      <c r="F312" s="135">
        <v>13</v>
      </c>
      <c r="G312" s="135">
        <v>-100</v>
      </c>
      <c r="H312" s="135">
        <v>-61.54</v>
      </c>
      <c r="I312" s="135">
        <v>0</v>
      </c>
      <c r="J312" s="135">
        <v>0</v>
      </c>
      <c r="K312" s="135">
        <v>0</v>
      </c>
      <c r="L312" s="135">
        <v>0</v>
      </c>
    </row>
    <row r="313" spans="1:12">
      <c r="A313" s="135">
        <v>306</v>
      </c>
      <c r="B313" s="135" t="s">
        <v>549</v>
      </c>
      <c r="C313" s="135">
        <v>0</v>
      </c>
      <c r="D313" s="135">
        <v>2</v>
      </c>
      <c r="E313" s="135">
        <v>5</v>
      </c>
      <c r="F313" s="135">
        <v>13</v>
      </c>
      <c r="G313" s="135">
        <v>-100</v>
      </c>
      <c r="H313" s="135">
        <v>-61.54</v>
      </c>
      <c r="I313" s="135">
        <v>0</v>
      </c>
      <c r="J313" s="135">
        <v>0</v>
      </c>
      <c r="K313" s="135">
        <v>0.01</v>
      </c>
      <c r="L313" s="135">
        <v>0</v>
      </c>
    </row>
    <row r="314" spans="1:12">
      <c r="A314" s="135">
        <v>307</v>
      </c>
      <c r="B314" s="135" t="s">
        <v>1079</v>
      </c>
      <c r="C314" s="135">
        <v>0</v>
      </c>
      <c r="D314" s="135">
        <v>0</v>
      </c>
      <c r="E314" s="135">
        <v>5</v>
      </c>
      <c r="F314" s="135">
        <v>0</v>
      </c>
      <c r="G314" s="135">
        <v>0</v>
      </c>
      <c r="H314" s="135">
        <v>0</v>
      </c>
      <c r="I314" s="135">
        <v>0</v>
      </c>
      <c r="J314" s="135">
        <v>0</v>
      </c>
      <c r="K314" s="135">
        <v>0</v>
      </c>
      <c r="L314" s="135">
        <v>0</v>
      </c>
    </row>
    <row r="315" spans="1:12" s="10" customFormat="1" ht="16">
      <c r="A315" s="135">
        <v>308</v>
      </c>
      <c r="B315" s="135" t="s">
        <v>1248</v>
      </c>
      <c r="C315" s="135">
        <v>0</v>
      </c>
      <c r="D315" s="135">
        <v>0</v>
      </c>
      <c r="E315" s="135">
        <v>5</v>
      </c>
      <c r="F315" s="135">
        <v>0</v>
      </c>
      <c r="G315" s="135">
        <v>0</v>
      </c>
      <c r="H315" s="135">
        <v>0</v>
      </c>
      <c r="I315" s="135">
        <v>0</v>
      </c>
      <c r="J315" s="135">
        <v>0</v>
      </c>
      <c r="K315" s="135">
        <v>0</v>
      </c>
      <c r="L315" s="135">
        <v>0</v>
      </c>
    </row>
    <row r="316" spans="1:12">
      <c r="A316" s="135">
        <v>309</v>
      </c>
      <c r="B316" s="135" t="s">
        <v>212</v>
      </c>
      <c r="C316" s="135">
        <v>0</v>
      </c>
      <c r="D316" s="135">
        <v>2</v>
      </c>
      <c r="E316" s="135">
        <v>4</v>
      </c>
      <c r="F316" s="135">
        <v>28</v>
      </c>
      <c r="G316" s="135">
        <v>-100</v>
      </c>
      <c r="H316" s="135">
        <v>-85.71</v>
      </c>
      <c r="I316" s="135">
        <v>0</v>
      </c>
      <c r="J316" s="135">
        <v>0</v>
      </c>
      <c r="K316" s="135">
        <v>0.01</v>
      </c>
      <c r="L316" s="135">
        <v>0.01</v>
      </c>
    </row>
    <row r="317" spans="1:12">
      <c r="A317" s="135">
        <v>310</v>
      </c>
      <c r="B317" s="135" t="s">
        <v>388</v>
      </c>
      <c r="C317" s="135">
        <v>1</v>
      </c>
      <c r="D317" s="135">
        <v>0</v>
      </c>
      <c r="E317" s="135">
        <v>4</v>
      </c>
      <c r="F317" s="135">
        <v>11</v>
      </c>
      <c r="G317" s="135">
        <v>0</v>
      </c>
      <c r="H317" s="135">
        <v>-63.64</v>
      </c>
      <c r="I317" s="135">
        <v>0</v>
      </c>
      <c r="J317" s="135">
        <v>0</v>
      </c>
      <c r="K317" s="135">
        <v>0</v>
      </c>
      <c r="L317" s="135">
        <v>0</v>
      </c>
    </row>
    <row r="318" spans="1:12">
      <c r="A318" s="135">
        <v>311</v>
      </c>
      <c r="B318" s="135" t="s">
        <v>1146</v>
      </c>
      <c r="C318" s="135">
        <v>1</v>
      </c>
      <c r="D318" s="135">
        <v>0</v>
      </c>
      <c r="E318" s="135">
        <v>4</v>
      </c>
      <c r="F318" s="135">
        <v>0</v>
      </c>
      <c r="G318" s="135">
        <v>0</v>
      </c>
      <c r="H318" s="135">
        <v>0</v>
      </c>
      <c r="I318" s="135">
        <v>0</v>
      </c>
      <c r="J318" s="135">
        <v>0</v>
      </c>
      <c r="K318" s="135">
        <v>0</v>
      </c>
      <c r="L318" s="135">
        <v>0</v>
      </c>
    </row>
    <row r="319" spans="1:12">
      <c r="A319" s="135">
        <v>312</v>
      </c>
      <c r="B319" s="135" t="s">
        <v>1249</v>
      </c>
      <c r="C319" s="135">
        <v>1</v>
      </c>
      <c r="D319" s="135">
        <v>0</v>
      </c>
      <c r="E319" s="135">
        <v>4</v>
      </c>
      <c r="F319" s="135">
        <v>0</v>
      </c>
      <c r="G319" s="135">
        <v>0</v>
      </c>
      <c r="H319" s="135">
        <v>0</v>
      </c>
      <c r="I319" s="135">
        <v>0</v>
      </c>
      <c r="J319" s="135">
        <v>0</v>
      </c>
      <c r="K319" s="135">
        <v>0</v>
      </c>
      <c r="L319" s="135">
        <v>0</v>
      </c>
    </row>
    <row r="320" spans="1:12">
      <c r="A320" s="135">
        <v>313</v>
      </c>
      <c r="B320" s="135" t="s">
        <v>130</v>
      </c>
      <c r="C320" s="135">
        <v>0</v>
      </c>
      <c r="D320" s="135">
        <v>2</v>
      </c>
      <c r="E320" s="135">
        <v>3</v>
      </c>
      <c r="F320" s="135">
        <v>21</v>
      </c>
      <c r="G320" s="135">
        <v>-100</v>
      </c>
      <c r="H320" s="135">
        <v>-85.71</v>
      </c>
      <c r="I320" s="135">
        <v>0</v>
      </c>
      <c r="J320" s="135">
        <v>0</v>
      </c>
      <c r="K320" s="135">
        <v>0.01</v>
      </c>
      <c r="L320" s="135">
        <v>0.01</v>
      </c>
    </row>
    <row r="321" spans="1:12">
      <c r="A321" s="135">
        <v>314</v>
      </c>
      <c r="B321" s="135" t="s">
        <v>1176</v>
      </c>
      <c r="C321" s="135">
        <v>1</v>
      </c>
      <c r="D321" s="135">
        <v>0</v>
      </c>
      <c r="E321" s="135">
        <v>3</v>
      </c>
      <c r="F321" s="135">
        <v>1</v>
      </c>
      <c r="G321" s="135">
        <v>0</v>
      </c>
      <c r="H321" s="135">
        <v>200</v>
      </c>
      <c r="I321" s="135">
        <v>0</v>
      </c>
      <c r="J321" s="135">
        <v>0</v>
      </c>
      <c r="K321" s="135">
        <v>0</v>
      </c>
      <c r="L321" s="135">
        <v>0</v>
      </c>
    </row>
    <row r="322" spans="1:12">
      <c r="A322" s="135">
        <v>315</v>
      </c>
      <c r="B322" s="135" t="s">
        <v>1246</v>
      </c>
      <c r="C322" s="135">
        <v>1</v>
      </c>
      <c r="D322" s="135">
        <v>0</v>
      </c>
      <c r="E322" s="135">
        <v>3</v>
      </c>
      <c r="F322" s="135">
        <v>0</v>
      </c>
      <c r="G322" s="135">
        <v>0</v>
      </c>
      <c r="H322" s="135">
        <v>0</v>
      </c>
      <c r="I322" s="135">
        <v>0</v>
      </c>
      <c r="J322" s="135">
        <v>0</v>
      </c>
      <c r="K322" s="135">
        <v>0</v>
      </c>
      <c r="L322" s="135">
        <v>0</v>
      </c>
    </row>
    <row r="323" spans="1:12">
      <c r="A323" s="135">
        <v>316</v>
      </c>
      <c r="B323" s="135" t="s">
        <v>105</v>
      </c>
      <c r="C323" s="135">
        <v>0</v>
      </c>
      <c r="D323" s="135">
        <v>5</v>
      </c>
      <c r="E323" s="135">
        <v>2</v>
      </c>
      <c r="F323" s="135">
        <v>1872</v>
      </c>
      <c r="G323" s="135">
        <v>-100</v>
      </c>
      <c r="H323" s="135">
        <v>-99.89</v>
      </c>
      <c r="I323" s="135">
        <v>0</v>
      </c>
      <c r="J323" s="135">
        <v>0</v>
      </c>
      <c r="K323" s="135">
        <v>0.01</v>
      </c>
      <c r="L323" s="135">
        <v>0.65</v>
      </c>
    </row>
    <row r="324" spans="1:12">
      <c r="A324" s="135">
        <v>317</v>
      </c>
      <c r="B324" s="135" t="s">
        <v>1084</v>
      </c>
      <c r="C324" s="135">
        <v>0</v>
      </c>
      <c r="D324" s="135">
        <v>0</v>
      </c>
      <c r="E324" s="135">
        <v>2</v>
      </c>
      <c r="F324" s="135">
        <v>66</v>
      </c>
      <c r="G324" s="135">
        <v>0</v>
      </c>
      <c r="H324" s="135">
        <v>-96.97</v>
      </c>
      <c r="I324" s="135">
        <v>0</v>
      </c>
      <c r="J324" s="135">
        <v>0</v>
      </c>
      <c r="K324" s="135">
        <v>0</v>
      </c>
      <c r="L324" s="135">
        <v>0.02</v>
      </c>
    </row>
    <row r="325" spans="1:12">
      <c r="A325" s="135">
        <v>318</v>
      </c>
      <c r="B325" s="135" t="s">
        <v>1125</v>
      </c>
      <c r="C325" s="135">
        <v>0</v>
      </c>
      <c r="D325" s="135">
        <v>0</v>
      </c>
      <c r="E325" s="135">
        <v>2</v>
      </c>
      <c r="F325" s="135">
        <v>7</v>
      </c>
      <c r="G325" s="135">
        <v>0</v>
      </c>
      <c r="H325" s="135">
        <v>-71.430000000000007</v>
      </c>
      <c r="I325" s="135">
        <v>0</v>
      </c>
      <c r="J325" s="135">
        <v>0</v>
      </c>
      <c r="K325" s="135">
        <v>0</v>
      </c>
      <c r="L325" s="135">
        <v>0</v>
      </c>
    </row>
    <row r="326" spans="1:12">
      <c r="A326" s="135">
        <v>319</v>
      </c>
      <c r="B326" s="135" t="s">
        <v>170</v>
      </c>
      <c r="C326" s="135">
        <v>1</v>
      </c>
      <c r="D326" s="135">
        <v>0</v>
      </c>
      <c r="E326" s="135">
        <v>2</v>
      </c>
      <c r="F326" s="135">
        <v>3</v>
      </c>
      <c r="G326" s="135">
        <v>0</v>
      </c>
      <c r="H326" s="135">
        <v>-33.33</v>
      </c>
      <c r="I326" s="135">
        <v>0</v>
      </c>
      <c r="J326" s="135">
        <v>0</v>
      </c>
      <c r="K326" s="135">
        <v>0</v>
      </c>
      <c r="L326" s="135">
        <v>0</v>
      </c>
    </row>
    <row r="327" spans="1:12">
      <c r="A327" s="135">
        <v>320</v>
      </c>
      <c r="B327" s="135" t="s">
        <v>592</v>
      </c>
      <c r="C327" s="135">
        <v>0</v>
      </c>
      <c r="D327" s="135">
        <v>0</v>
      </c>
      <c r="E327" s="135">
        <v>2</v>
      </c>
      <c r="F327" s="135">
        <v>3</v>
      </c>
      <c r="G327" s="135">
        <v>0</v>
      </c>
      <c r="H327" s="135">
        <v>-33.33</v>
      </c>
      <c r="I327" s="135">
        <v>0</v>
      </c>
      <c r="J327" s="135">
        <v>0</v>
      </c>
      <c r="K327" s="135">
        <v>0</v>
      </c>
      <c r="L327" s="135">
        <v>0</v>
      </c>
    </row>
    <row r="328" spans="1:12">
      <c r="A328" s="135">
        <v>321</v>
      </c>
      <c r="B328" s="135" t="s">
        <v>486</v>
      </c>
      <c r="C328" s="135">
        <v>0</v>
      </c>
      <c r="D328" s="135">
        <v>0</v>
      </c>
      <c r="E328" s="135">
        <v>2</v>
      </c>
      <c r="F328" s="135">
        <v>2</v>
      </c>
      <c r="G328" s="135">
        <v>0</v>
      </c>
      <c r="H328" s="135">
        <v>0</v>
      </c>
      <c r="I328" s="135">
        <v>0</v>
      </c>
      <c r="J328" s="135">
        <v>0</v>
      </c>
      <c r="K328" s="135">
        <v>0</v>
      </c>
      <c r="L328" s="135">
        <v>0</v>
      </c>
    </row>
    <row r="329" spans="1:12">
      <c r="A329" s="135">
        <v>322</v>
      </c>
      <c r="B329" s="135" t="s">
        <v>1128</v>
      </c>
      <c r="C329" s="135">
        <v>0</v>
      </c>
      <c r="D329" s="135">
        <v>0</v>
      </c>
      <c r="E329" s="135">
        <v>2</v>
      </c>
      <c r="F329" s="135">
        <v>1</v>
      </c>
      <c r="G329" s="135">
        <v>0</v>
      </c>
      <c r="H329" s="135">
        <v>100</v>
      </c>
      <c r="I329" s="135">
        <v>0</v>
      </c>
      <c r="J329" s="135">
        <v>0</v>
      </c>
      <c r="K329" s="135">
        <v>0</v>
      </c>
      <c r="L329" s="135">
        <v>0</v>
      </c>
    </row>
    <row r="330" spans="1:12">
      <c r="A330" s="135">
        <v>323</v>
      </c>
      <c r="B330" s="135" t="s">
        <v>1271</v>
      </c>
      <c r="C330" s="135">
        <v>0</v>
      </c>
      <c r="D330" s="135">
        <v>0</v>
      </c>
      <c r="E330" s="135">
        <v>2</v>
      </c>
      <c r="F330" s="135">
        <v>0</v>
      </c>
      <c r="G330" s="135">
        <v>0</v>
      </c>
      <c r="H330" s="135">
        <v>0</v>
      </c>
      <c r="I330" s="135">
        <v>0</v>
      </c>
      <c r="J330" s="135">
        <v>0</v>
      </c>
      <c r="K330" s="135">
        <v>0</v>
      </c>
      <c r="L330" s="135">
        <v>0</v>
      </c>
    </row>
    <row r="331" spans="1:12">
      <c r="A331" s="135">
        <v>324</v>
      </c>
      <c r="B331" s="135" t="s">
        <v>1274</v>
      </c>
      <c r="C331" s="135">
        <v>0</v>
      </c>
      <c r="D331" s="135">
        <v>0</v>
      </c>
      <c r="E331" s="135">
        <v>2</v>
      </c>
      <c r="F331" s="135">
        <v>0</v>
      </c>
      <c r="G331" s="135">
        <v>0</v>
      </c>
      <c r="H331" s="135">
        <v>0</v>
      </c>
      <c r="I331" s="135">
        <v>0</v>
      </c>
      <c r="J331" s="135">
        <v>0</v>
      </c>
      <c r="K331" s="135">
        <v>0</v>
      </c>
      <c r="L331" s="135">
        <v>0</v>
      </c>
    </row>
    <row r="332" spans="1:12">
      <c r="A332" s="135">
        <v>325</v>
      </c>
      <c r="B332" s="135" t="s">
        <v>1273</v>
      </c>
      <c r="C332" s="135">
        <v>1</v>
      </c>
      <c r="D332" s="135">
        <v>0</v>
      </c>
      <c r="E332" s="135">
        <v>2</v>
      </c>
      <c r="F332" s="135">
        <v>0</v>
      </c>
      <c r="G332" s="135">
        <v>0</v>
      </c>
      <c r="H332" s="135">
        <v>0</v>
      </c>
      <c r="I332" s="135">
        <v>0</v>
      </c>
      <c r="J332" s="135">
        <v>0</v>
      </c>
      <c r="K332" s="135">
        <v>0</v>
      </c>
      <c r="L332" s="135">
        <v>0</v>
      </c>
    </row>
    <row r="333" spans="1:12">
      <c r="A333" s="135">
        <v>326</v>
      </c>
      <c r="B333" s="135" t="s">
        <v>1174</v>
      </c>
      <c r="C333" s="135">
        <v>0</v>
      </c>
      <c r="D333" s="135">
        <v>0</v>
      </c>
      <c r="E333" s="135">
        <v>2</v>
      </c>
      <c r="F333" s="135">
        <v>0</v>
      </c>
      <c r="G333" s="135">
        <v>0</v>
      </c>
      <c r="H333" s="135">
        <v>0</v>
      </c>
      <c r="I333" s="135">
        <v>0</v>
      </c>
      <c r="J333" s="135">
        <v>0</v>
      </c>
      <c r="K333" s="135">
        <v>0</v>
      </c>
      <c r="L333" s="135">
        <v>0</v>
      </c>
    </row>
    <row r="334" spans="1:12">
      <c r="A334" s="135">
        <v>327</v>
      </c>
      <c r="B334" s="135" t="s">
        <v>1175</v>
      </c>
      <c r="C334" s="135">
        <v>0</v>
      </c>
      <c r="D334" s="135">
        <v>0</v>
      </c>
      <c r="E334" s="135">
        <v>2</v>
      </c>
      <c r="F334" s="135">
        <v>0</v>
      </c>
      <c r="G334" s="135">
        <v>0</v>
      </c>
      <c r="H334" s="135">
        <v>0</v>
      </c>
      <c r="I334" s="135">
        <v>0</v>
      </c>
      <c r="J334" s="135">
        <v>0</v>
      </c>
      <c r="K334" s="135">
        <v>0</v>
      </c>
      <c r="L334" s="135">
        <v>0</v>
      </c>
    </row>
    <row r="335" spans="1:12">
      <c r="A335" s="135">
        <v>328</v>
      </c>
      <c r="B335" s="135" t="s">
        <v>1177</v>
      </c>
      <c r="C335" s="135">
        <v>0</v>
      </c>
      <c r="D335" s="135">
        <v>0</v>
      </c>
      <c r="E335" s="135">
        <v>1</v>
      </c>
      <c r="F335" s="135">
        <v>2</v>
      </c>
      <c r="G335" s="135">
        <v>0</v>
      </c>
      <c r="H335" s="135">
        <v>-50</v>
      </c>
      <c r="I335" s="135">
        <v>0</v>
      </c>
      <c r="J335" s="135">
        <v>0</v>
      </c>
      <c r="K335" s="135">
        <v>0</v>
      </c>
      <c r="L335" s="135">
        <v>0</v>
      </c>
    </row>
    <row r="336" spans="1:12">
      <c r="A336" s="135">
        <v>329</v>
      </c>
      <c r="B336" s="135" t="s">
        <v>1081</v>
      </c>
      <c r="C336" s="135">
        <v>0</v>
      </c>
      <c r="D336" s="135">
        <v>0</v>
      </c>
      <c r="E336" s="135">
        <v>1</v>
      </c>
      <c r="F336" s="135">
        <v>2</v>
      </c>
      <c r="G336" s="135">
        <v>0</v>
      </c>
      <c r="H336" s="135">
        <v>-50</v>
      </c>
      <c r="I336" s="135">
        <v>0</v>
      </c>
      <c r="J336" s="135">
        <v>0</v>
      </c>
      <c r="K336" s="135">
        <v>0</v>
      </c>
      <c r="L336" s="135">
        <v>0</v>
      </c>
    </row>
    <row r="337" spans="1:12">
      <c r="A337" s="135">
        <v>330</v>
      </c>
      <c r="B337" s="135" t="s">
        <v>407</v>
      </c>
      <c r="C337" s="135">
        <v>0</v>
      </c>
      <c r="D337" s="135">
        <v>0</v>
      </c>
      <c r="E337" s="135">
        <v>1</v>
      </c>
      <c r="F337" s="135">
        <v>1</v>
      </c>
      <c r="G337" s="135">
        <v>0</v>
      </c>
      <c r="H337" s="135">
        <v>0</v>
      </c>
      <c r="I337" s="135">
        <v>0</v>
      </c>
      <c r="J337" s="135">
        <v>0</v>
      </c>
      <c r="K337" s="135">
        <v>0</v>
      </c>
      <c r="L337" s="135">
        <v>0</v>
      </c>
    </row>
    <row r="338" spans="1:12">
      <c r="A338" s="135">
        <v>331</v>
      </c>
      <c r="B338" s="135" t="s">
        <v>1082</v>
      </c>
      <c r="C338" s="135">
        <v>0</v>
      </c>
      <c r="D338" s="135">
        <v>0</v>
      </c>
      <c r="E338" s="135">
        <v>1</v>
      </c>
      <c r="F338" s="135">
        <v>1</v>
      </c>
      <c r="G338" s="135">
        <v>0</v>
      </c>
      <c r="H338" s="135">
        <v>0</v>
      </c>
      <c r="I338" s="135">
        <v>0</v>
      </c>
      <c r="J338" s="135">
        <v>0</v>
      </c>
      <c r="K338" s="135">
        <v>0</v>
      </c>
      <c r="L338" s="135">
        <v>0</v>
      </c>
    </row>
    <row r="339" spans="1:12">
      <c r="A339" s="135">
        <v>332</v>
      </c>
      <c r="B339" s="135" t="s">
        <v>1276</v>
      </c>
      <c r="C339" s="135">
        <v>0</v>
      </c>
      <c r="D339" s="135">
        <v>0</v>
      </c>
      <c r="E339" s="135">
        <v>1</v>
      </c>
      <c r="F339" s="135">
        <v>0</v>
      </c>
      <c r="G339" s="135">
        <v>0</v>
      </c>
      <c r="H339" s="135">
        <v>0</v>
      </c>
      <c r="I339" s="135">
        <v>0</v>
      </c>
      <c r="J339" s="135">
        <v>0</v>
      </c>
      <c r="K339" s="135">
        <v>0</v>
      </c>
      <c r="L339" s="135">
        <v>0</v>
      </c>
    </row>
    <row r="340" spans="1:12">
      <c r="A340" s="135">
        <v>333</v>
      </c>
      <c r="B340" s="135" t="s">
        <v>1275</v>
      </c>
      <c r="C340" s="135">
        <v>0</v>
      </c>
      <c r="D340" s="135">
        <v>0</v>
      </c>
      <c r="E340" s="135">
        <v>1</v>
      </c>
      <c r="F340" s="135">
        <v>0</v>
      </c>
      <c r="G340" s="135">
        <v>0</v>
      </c>
      <c r="H340" s="135">
        <v>0</v>
      </c>
      <c r="I340" s="135">
        <v>0</v>
      </c>
      <c r="J340" s="135">
        <v>0</v>
      </c>
      <c r="K340" s="135">
        <v>0</v>
      </c>
      <c r="L340" s="135">
        <v>0</v>
      </c>
    </row>
    <row r="341" spans="1:12">
      <c r="A341" s="135">
        <v>334</v>
      </c>
      <c r="B341" s="135" t="s">
        <v>1228</v>
      </c>
      <c r="C341" s="135">
        <v>0</v>
      </c>
      <c r="D341" s="135">
        <v>0</v>
      </c>
      <c r="E341" s="135">
        <v>1</v>
      </c>
      <c r="F341" s="135">
        <v>0</v>
      </c>
      <c r="G341" s="135">
        <v>0</v>
      </c>
      <c r="H341" s="135">
        <v>0</v>
      </c>
      <c r="I341" s="135">
        <v>0</v>
      </c>
      <c r="J341" s="135">
        <v>0</v>
      </c>
      <c r="K341" s="135">
        <v>0</v>
      </c>
      <c r="L341" s="135">
        <v>0</v>
      </c>
    </row>
    <row r="342" spans="1:12">
      <c r="A342" s="135">
        <v>335</v>
      </c>
      <c r="B342" s="135" t="s">
        <v>1272</v>
      </c>
      <c r="C342" s="135">
        <v>0</v>
      </c>
      <c r="D342" s="135">
        <v>0</v>
      </c>
      <c r="E342" s="135">
        <v>1</v>
      </c>
      <c r="F342" s="135">
        <v>0</v>
      </c>
      <c r="G342" s="135">
        <v>0</v>
      </c>
      <c r="H342" s="135">
        <v>0</v>
      </c>
      <c r="I342" s="135">
        <v>0</v>
      </c>
      <c r="J342" s="135">
        <v>0</v>
      </c>
      <c r="K342" s="135">
        <v>0</v>
      </c>
      <c r="L342" s="135">
        <v>0</v>
      </c>
    </row>
    <row r="343" spans="1:12">
      <c r="A343" s="135">
        <v>336</v>
      </c>
      <c r="B343" s="135" t="s">
        <v>133</v>
      </c>
      <c r="C343" s="135">
        <v>0</v>
      </c>
      <c r="D343" s="135">
        <v>0</v>
      </c>
      <c r="E343" s="135">
        <v>0</v>
      </c>
      <c r="F343" s="135">
        <v>351</v>
      </c>
      <c r="G343" s="135">
        <v>0</v>
      </c>
      <c r="H343" s="135">
        <v>-100</v>
      </c>
      <c r="I343" s="135">
        <v>0</v>
      </c>
      <c r="J343" s="135">
        <v>0</v>
      </c>
      <c r="K343" s="135">
        <v>0</v>
      </c>
      <c r="L343" s="135">
        <v>0.12</v>
      </c>
    </row>
    <row r="344" spans="1:12">
      <c r="A344" s="135">
        <v>337</v>
      </c>
      <c r="B344" s="135" t="s">
        <v>193</v>
      </c>
      <c r="C344" s="135">
        <v>0</v>
      </c>
      <c r="D344" s="135">
        <v>0</v>
      </c>
      <c r="E344" s="135">
        <v>0</v>
      </c>
      <c r="F344" s="135">
        <v>305</v>
      </c>
      <c r="G344" s="135">
        <v>0</v>
      </c>
      <c r="H344" s="135">
        <v>-100</v>
      </c>
      <c r="I344" s="135">
        <v>0</v>
      </c>
      <c r="J344" s="135">
        <v>0</v>
      </c>
      <c r="K344" s="135">
        <v>0</v>
      </c>
      <c r="L344" s="135">
        <v>0.11</v>
      </c>
    </row>
    <row r="345" spans="1:12">
      <c r="A345" s="135">
        <v>338</v>
      </c>
      <c r="B345" s="135" t="s">
        <v>132</v>
      </c>
      <c r="C345" s="135">
        <v>0</v>
      </c>
      <c r="D345" s="135">
        <v>1</v>
      </c>
      <c r="E345" s="135">
        <v>0</v>
      </c>
      <c r="F345" s="135">
        <v>131</v>
      </c>
      <c r="G345" s="135">
        <v>-100</v>
      </c>
      <c r="H345" s="135">
        <v>-100</v>
      </c>
      <c r="I345" s="135">
        <v>0</v>
      </c>
      <c r="J345" s="135">
        <v>0</v>
      </c>
      <c r="K345" s="135">
        <v>0</v>
      </c>
      <c r="L345" s="135">
        <v>0.05</v>
      </c>
    </row>
    <row r="346" spans="1:12">
      <c r="A346" s="135">
        <v>339</v>
      </c>
      <c r="B346" s="135" t="s">
        <v>554</v>
      </c>
      <c r="C346" s="135">
        <v>0</v>
      </c>
      <c r="D346" s="135">
        <v>0</v>
      </c>
      <c r="E346" s="135">
        <v>0</v>
      </c>
      <c r="F346" s="135">
        <v>62</v>
      </c>
      <c r="G346" s="135">
        <v>0</v>
      </c>
      <c r="H346" s="135">
        <v>-100</v>
      </c>
      <c r="I346" s="135">
        <v>0</v>
      </c>
      <c r="J346" s="135">
        <v>0</v>
      </c>
      <c r="K346" s="135">
        <v>0</v>
      </c>
      <c r="L346" s="135">
        <v>0.02</v>
      </c>
    </row>
    <row r="347" spans="1:12">
      <c r="A347" s="135">
        <v>340</v>
      </c>
      <c r="B347" s="135" t="s">
        <v>152</v>
      </c>
      <c r="C347" s="135">
        <v>0</v>
      </c>
      <c r="D347" s="135">
        <v>0</v>
      </c>
      <c r="E347" s="135">
        <v>0</v>
      </c>
      <c r="F347" s="135">
        <v>50</v>
      </c>
      <c r="G347" s="135">
        <v>0</v>
      </c>
      <c r="H347" s="135">
        <v>-100</v>
      </c>
      <c r="I347" s="135">
        <v>0</v>
      </c>
      <c r="J347" s="135">
        <v>0</v>
      </c>
      <c r="K347" s="135">
        <v>0</v>
      </c>
      <c r="L347" s="135">
        <v>0.02</v>
      </c>
    </row>
    <row r="348" spans="1:12">
      <c r="A348" s="135">
        <v>341</v>
      </c>
      <c r="B348" s="135" t="s">
        <v>365</v>
      </c>
      <c r="C348" s="135">
        <v>0</v>
      </c>
      <c r="D348" s="135">
        <v>0</v>
      </c>
      <c r="E348" s="135">
        <v>0</v>
      </c>
      <c r="F348" s="135">
        <v>49</v>
      </c>
      <c r="G348" s="135">
        <v>0</v>
      </c>
      <c r="H348" s="135">
        <v>-100</v>
      </c>
      <c r="I348" s="135">
        <v>0</v>
      </c>
      <c r="J348" s="135">
        <v>0</v>
      </c>
      <c r="K348" s="135">
        <v>0</v>
      </c>
      <c r="L348" s="135">
        <v>0.02</v>
      </c>
    </row>
    <row r="349" spans="1:12">
      <c r="A349" s="135">
        <v>342</v>
      </c>
      <c r="B349" s="135" t="s">
        <v>1127</v>
      </c>
      <c r="C349" s="135">
        <v>0</v>
      </c>
      <c r="D349" s="135">
        <v>0</v>
      </c>
      <c r="E349" s="135">
        <v>0</v>
      </c>
      <c r="F349" s="135">
        <v>38</v>
      </c>
      <c r="G349" s="135">
        <v>0</v>
      </c>
      <c r="H349" s="135">
        <v>-100</v>
      </c>
      <c r="I349" s="135">
        <v>0</v>
      </c>
      <c r="J349" s="135">
        <v>0</v>
      </c>
      <c r="K349" s="135">
        <v>0</v>
      </c>
      <c r="L349" s="135">
        <v>0.01</v>
      </c>
    </row>
    <row r="350" spans="1:12">
      <c r="A350" s="135">
        <v>343</v>
      </c>
      <c r="B350" s="135" t="s">
        <v>1083</v>
      </c>
      <c r="C350" s="135">
        <v>0</v>
      </c>
      <c r="D350" s="135">
        <v>1</v>
      </c>
      <c r="E350" s="135">
        <v>0</v>
      </c>
      <c r="F350" s="135">
        <v>31</v>
      </c>
      <c r="G350" s="135">
        <v>-100</v>
      </c>
      <c r="H350" s="135">
        <v>-100</v>
      </c>
      <c r="I350" s="135">
        <v>0</v>
      </c>
      <c r="J350" s="135">
        <v>0</v>
      </c>
      <c r="K350" s="135">
        <v>0</v>
      </c>
      <c r="L350" s="135">
        <v>0.01</v>
      </c>
    </row>
    <row r="351" spans="1:12">
      <c r="A351" s="135">
        <v>344</v>
      </c>
      <c r="B351" s="135" t="s">
        <v>221</v>
      </c>
      <c r="C351" s="135">
        <v>0</v>
      </c>
      <c r="D351" s="135">
        <v>0</v>
      </c>
      <c r="E351" s="135">
        <v>0</v>
      </c>
      <c r="F351" s="135">
        <v>22</v>
      </c>
      <c r="G351" s="135">
        <v>0</v>
      </c>
      <c r="H351" s="135">
        <v>-100</v>
      </c>
      <c r="I351" s="135">
        <v>0</v>
      </c>
      <c r="J351" s="135">
        <v>0</v>
      </c>
      <c r="K351" s="135">
        <v>0</v>
      </c>
      <c r="L351" s="135">
        <v>0.01</v>
      </c>
    </row>
    <row r="352" spans="1:12">
      <c r="A352" s="135">
        <v>345</v>
      </c>
      <c r="B352" s="135" t="s">
        <v>188</v>
      </c>
      <c r="C352" s="135">
        <v>0</v>
      </c>
      <c r="D352" s="135">
        <v>0</v>
      </c>
      <c r="E352" s="135">
        <v>0</v>
      </c>
      <c r="F352" s="135">
        <v>19</v>
      </c>
      <c r="G352" s="135">
        <v>0</v>
      </c>
      <c r="H352" s="135">
        <v>-100</v>
      </c>
      <c r="I352" s="135">
        <v>0</v>
      </c>
      <c r="J352" s="135">
        <v>0</v>
      </c>
      <c r="K352" s="135">
        <v>0</v>
      </c>
      <c r="L352" s="135">
        <v>0.01</v>
      </c>
    </row>
    <row r="353" spans="1:12">
      <c r="A353" s="135">
        <v>346</v>
      </c>
      <c r="B353" s="135" t="s">
        <v>157</v>
      </c>
      <c r="C353" s="135">
        <v>0</v>
      </c>
      <c r="D353" s="135">
        <v>0</v>
      </c>
      <c r="E353" s="135">
        <v>0</v>
      </c>
      <c r="F353" s="135">
        <v>19</v>
      </c>
      <c r="G353" s="135">
        <v>0</v>
      </c>
      <c r="H353" s="135">
        <v>-100</v>
      </c>
      <c r="I353" s="135">
        <v>0</v>
      </c>
      <c r="J353" s="135">
        <v>0</v>
      </c>
      <c r="K353" s="135">
        <v>0</v>
      </c>
      <c r="L353" s="135">
        <v>0.01</v>
      </c>
    </row>
    <row r="354" spans="1:12">
      <c r="A354" s="135">
        <v>347</v>
      </c>
      <c r="B354" s="135" t="s">
        <v>123</v>
      </c>
      <c r="C354" s="135">
        <v>0</v>
      </c>
      <c r="D354" s="135">
        <v>0</v>
      </c>
      <c r="E354" s="135">
        <v>0</v>
      </c>
      <c r="F354" s="135">
        <v>15</v>
      </c>
      <c r="G354" s="135">
        <v>0</v>
      </c>
      <c r="H354" s="135">
        <v>-100</v>
      </c>
      <c r="I354" s="135">
        <v>0</v>
      </c>
      <c r="J354" s="135">
        <v>0</v>
      </c>
      <c r="K354" s="135">
        <v>0</v>
      </c>
      <c r="L354" s="135">
        <v>0.01</v>
      </c>
    </row>
    <row r="355" spans="1:12">
      <c r="A355" s="135">
        <v>348</v>
      </c>
      <c r="B355" s="135" t="s">
        <v>217</v>
      </c>
      <c r="C355" s="135">
        <v>0</v>
      </c>
      <c r="D355" s="135">
        <v>0</v>
      </c>
      <c r="E355" s="135">
        <v>0</v>
      </c>
      <c r="F355" s="135">
        <v>8</v>
      </c>
      <c r="G355" s="135">
        <v>0</v>
      </c>
      <c r="H355" s="135">
        <v>-100</v>
      </c>
      <c r="I355" s="135">
        <v>0</v>
      </c>
      <c r="J355" s="135">
        <v>0</v>
      </c>
      <c r="K355" s="135">
        <v>0</v>
      </c>
      <c r="L355" s="135">
        <v>0</v>
      </c>
    </row>
    <row r="356" spans="1:12">
      <c r="A356" s="135">
        <v>349</v>
      </c>
      <c r="B356" s="135" t="s">
        <v>484</v>
      </c>
      <c r="C356" s="135">
        <v>0</v>
      </c>
      <c r="D356" s="135">
        <v>0</v>
      </c>
      <c r="E356" s="135">
        <v>0</v>
      </c>
      <c r="F356" s="135">
        <v>8</v>
      </c>
      <c r="G356" s="135">
        <v>0</v>
      </c>
      <c r="H356" s="135">
        <v>-100</v>
      </c>
      <c r="I356" s="135">
        <v>0</v>
      </c>
      <c r="J356" s="135">
        <v>0</v>
      </c>
      <c r="K356" s="135">
        <v>0</v>
      </c>
      <c r="L356" s="135">
        <v>0</v>
      </c>
    </row>
    <row r="357" spans="1:12">
      <c r="A357" s="135">
        <v>350</v>
      </c>
      <c r="B357" s="135" t="s">
        <v>1148</v>
      </c>
      <c r="C357" s="135">
        <v>0</v>
      </c>
      <c r="D357" s="135">
        <v>0</v>
      </c>
      <c r="E357" s="135">
        <v>0</v>
      </c>
      <c r="F357" s="135">
        <v>7</v>
      </c>
      <c r="G357" s="135">
        <v>0</v>
      </c>
      <c r="H357" s="135">
        <v>-100</v>
      </c>
      <c r="I357" s="135">
        <v>0</v>
      </c>
      <c r="J357" s="135">
        <v>0</v>
      </c>
      <c r="K357" s="135">
        <v>0</v>
      </c>
      <c r="L357" s="135">
        <v>0</v>
      </c>
    </row>
    <row r="358" spans="1:12">
      <c r="A358" s="135">
        <v>351</v>
      </c>
      <c r="B358" s="135" t="s">
        <v>96</v>
      </c>
      <c r="C358" s="135">
        <v>0</v>
      </c>
      <c r="D358" s="135">
        <v>0</v>
      </c>
      <c r="E358" s="135">
        <v>0</v>
      </c>
      <c r="F358" s="135">
        <v>6</v>
      </c>
      <c r="G358" s="135">
        <v>0</v>
      </c>
      <c r="H358" s="135">
        <v>-100</v>
      </c>
      <c r="I358" s="135">
        <v>0</v>
      </c>
      <c r="J358" s="135">
        <v>0</v>
      </c>
      <c r="K358" s="135">
        <v>0</v>
      </c>
      <c r="L358" s="135">
        <v>0</v>
      </c>
    </row>
    <row r="359" spans="1:12">
      <c r="A359" s="135">
        <v>352</v>
      </c>
      <c r="B359" s="135" t="s">
        <v>1086</v>
      </c>
      <c r="C359" s="135">
        <v>0</v>
      </c>
      <c r="D359" s="135">
        <v>0</v>
      </c>
      <c r="E359" s="135">
        <v>0</v>
      </c>
      <c r="F359" s="135">
        <v>4</v>
      </c>
      <c r="G359" s="135">
        <v>0</v>
      </c>
      <c r="H359" s="135">
        <v>-100</v>
      </c>
      <c r="I359" s="135">
        <v>0</v>
      </c>
      <c r="J359" s="135">
        <v>0</v>
      </c>
      <c r="K359" s="135">
        <v>0</v>
      </c>
      <c r="L359" s="135">
        <v>0</v>
      </c>
    </row>
    <row r="360" spans="1:12">
      <c r="A360" s="135">
        <v>353</v>
      </c>
      <c r="B360" s="135" t="s">
        <v>1217</v>
      </c>
      <c r="C360" s="135">
        <v>0</v>
      </c>
      <c r="D360" s="135">
        <v>0</v>
      </c>
      <c r="E360" s="135">
        <v>0</v>
      </c>
      <c r="F360" s="135">
        <v>3</v>
      </c>
      <c r="G360" s="135">
        <v>0</v>
      </c>
      <c r="H360" s="135">
        <v>-100</v>
      </c>
      <c r="I360" s="135">
        <v>0</v>
      </c>
      <c r="J360" s="135">
        <v>0</v>
      </c>
      <c r="K360" s="135">
        <v>0</v>
      </c>
      <c r="L360" s="135">
        <v>0</v>
      </c>
    </row>
    <row r="361" spans="1:12">
      <c r="A361" s="135">
        <v>354</v>
      </c>
      <c r="B361" s="135" t="s">
        <v>1151</v>
      </c>
      <c r="C361" s="135">
        <v>0</v>
      </c>
      <c r="D361" s="135">
        <v>0</v>
      </c>
      <c r="E361" s="135">
        <v>0</v>
      </c>
      <c r="F361" s="135">
        <v>2</v>
      </c>
      <c r="G361" s="135">
        <v>0</v>
      </c>
      <c r="H361" s="135">
        <v>-100</v>
      </c>
      <c r="I361" s="135">
        <v>0</v>
      </c>
      <c r="J361" s="135">
        <v>0</v>
      </c>
      <c r="K361" s="135">
        <v>0</v>
      </c>
      <c r="L361" s="135">
        <v>0</v>
      </c>
    </row>
    <row r="362" spans="1:12">
      <c r="A362" s="135">
        <v>355</v>
      </c>
      <c r="B362" s="135" t="s">
        <v>1315</v>
      </c>
      <c r="C362" s="135">
        <v>0</v>
      </c>
      <c r="D362" s="135">
        <v>2</v>
      </c>
      <c r="E362" s="135">
        <v>0</v>
      </c>
      <c r="F362" s="135">
        <v>2</v>
      </c>
      <c r="G362" s="135">
        <v>-100</v>
      </c>
      <c r="H362" s="135">
        <v>-100</v>
      </c>
      <c r="I362" s="135">
        <v>0</v>
      </c>
      <c r="J362" s="135">
        <v>0</v>
      </c>
      <c r="K362" s="135">
        <v>0.01</v>
      </c>
      <c r="L362" s="135">
        <v>0</v>
      </c>
    </row>
    <row r="363" spans="1:12">
      <c r="A363" s="135">
        <v>356</v>
      </c>
      <c r="B363" s="135" t="s">
        <v>1178</v>
      </c>
      <c r="C363" s="135">
        <v>0</v>
      </c>
      <c r="D363" s="135">
        <v>0</v>
      </c>
      <c r="E363" s="135">
        <v>0</v>
      </c>
      <c r="F363" s="135">
        <v>1</v>
      </c>
      <c r="G363" s="135">
        <v>0</v>
      </c>
      <c r="H363" s="135">
        <v>-100</v>
      </c>
      <c r="I363" s="135">
        <v>0</v>
      </c>
      <c r="J363" s="135">
        <v>0</v>
      </c>
      <c r="K363" s="135">
        <v>0</v>
      </c>
      <c r="L363" s="135">
        <v>0</v>
      </c>
    </row>
    <row r="364" spans="1:12">
      <c r="A364" s="135">
        <v>357</v>
      </c>
      <c r="B364" s="135" t="s">
        <v>1230</v>
      </c>
      <c r="C364" s="135">
        <v>0</v>
      </c>
      <c r="D364" s="135">
        <v>0</v>
      </c>
      <c r="E364" s="135">
        <v>0</v>
      </c>
      <c r="F364" s="135">
        <v>1</v>
      </c>
      <c r="G364" s="135">
        <v>0</v>
      </c>
      <c r="H364" s="135">
        <v>-100</v>
      </c>
      <c r="I364" s="135">
        <v>0</v>
      </c>
      <c r="J364" s="135">
        <v>0</v>
      </c>
      <c r="K364" s="135">
        <v>0</v>
      </c>
      <c r="L364" s="135">
        <v>0</v>
      </c>
    </row>
    <row r="365" spans="1:12">
      <c r="A365" s="135">
        <v>358</v>
      </c>
      <c r="B365" s="135" t="s">
        <v>1150</v>
      </c>
      <c r="C365" s="135">
        <v>0</v>
      </c>
      <c r="D365" s="135">
        <v>0</v>
      </c>
      <c r="E365" s="135">
        <v>0</v>
      </c>
      <c r="F365" s="135">
        <v>1</v>
      </c>
      <c r="G365" s="135">
        <v>0</v>
      </c>
      <c r="H365" s="135">
        <v>-100</v>
      </c>
      <c r="I365" s="135">
        <v>0</v>
      </c>
      <c r="J365" s="135">
        <v>0</v>
      </c>
      <c r="K365" s="135">
        <v>0</v>
      </c>
      <c r="L365" s="135">
        <v>0</v>
      </c>
    </row>
    <row r="366" spans="1:12">
      <c r="A366" s="135">
        <v>359</v>
      </c>
      <c r="B366" s="135" t="s">
        <v>1229</v>
      </c>
      <c r="C366" s="135">
        <v>0</v>
      </c>
      <c r="D366" s="135">
        <v>0</v>
      </c>
      <c r="E366" s="135">
        <v>0</v>
      </c>
      <c r="F366" s="135">
        <v>1</v>
      </c>
      <c r="G366" s="135">
        <v>0</v>
      </c>
      <c r="H366" s="135">
        <v>-100</v>
      </c>
      <c r="I366" s="135">
        <v>0</v>
      </c>
      <c r="J366" s="135">
        <v>0</v>
      </c>
      <c r="K366" s="135">
        <v>0</v>
      </c>
      <c r="L366" s="135">
        <v>0</v>
      </c>
    </row>
    <row r="367" spans="1:12">
      <c r="A367" s="135">
        <v>360</v>
      </c>
      <c r="B367" s="135" t="s">
        <v>1179</v>
      </c>
      <c r="C367" s="135">
        <v>0</v>
      </c>
      <c r="D367" s="135">
        <v>0</v>
      </c>
      <c r="E367" s="135">
        <v>0</v>
      </c>
      <c r="F367" s="135">
        <v>1</v>
      </c>
      <c r="G367" s="135">
        <v>0</v>
      </c>
      <c r="H367" s="135">
        <v>-100</v>
      </c>
      <c r="I367" s="135">
        <v>0</v>
      </c>
      <c r="J367" s="135">
        <v>0</v>
      </c>
      <c r="K367" s="135">
        <v>0</v>
      </c>
      <c r="L367" s="135">
        <v>0</v>
      </c>
    </row>
    <row r="368" spans="1:12">
      <c r="A368" s="135">
        <v>361</v>
      </c>
      <c r="B368" s="135" t="s">
        <v>1181</v>
      </c>
      <c r="C368" s="135">
        <v>0</v>
      </c>
      <c r="D368" s="135">
        <v>0</v>
      </c>
      <c r="E368" s="135">
        <v>0</v>
      </c>
      <c r="F368" s="135">
        <v>1</v>
      </c>
      <c r="G368" s="135">
        <v>0</v>
      </c>
      <c r="H368" s="135">
        <v>-100</v>
      </c>
      <c r="I368" s="135">
        <v>0</v>
      </c>
      <c r="J368" s="135">
        <v>0</v>
      </c>
      <c r="K368" s="135">
        <v>0</v>
      </c>
      <c r="L368" s="135">
        <v>0</v>
      </c>
    </row>
    <row r="369" spans="1:12">
      <c r="A369" s="135">
        <v>362</v>
      </c>
      <c r="B369" s="135" t="s">
        <v>1129</v>
      </c>
      <c r="C369" s="135">
        <v>0</v>
      </c>
      <c r="D369" s="135">
        <v>0</v>
      </c>
      <c r="E369" s="135">
        <v>0</v>
      </c>
      <c r="F369" s="135">
        <v>1</v>
      </c>
      <c r="G369" s="135">
        <v>0</v>
      </c>
      <c r="H369" s="135">
        <v>-100</v>
      </c>
      <c r="I369" s="135">
        <v>0</v>
      </c>
      <c r="J369" s="135">
        <v>0</v>
      </c>
      <c r="K369" s="135">
        <v>0</v>
      </c>
      <c r="L369" s="135">
        <v>0</v>
      </c>
    </row>
    <row r="370" spans="1:12">
      <c r="A370" s="135">
        <v>363</v>
      </c>
      <c r="B370" s="135" t="s">
        <v>1180</v>
      </c>
      <c r="C370" s="135">
        <v>0</v>
      </c>
      <c r="D370" s="135">
        <v>0</v>
      </c>
      <c r="E370" s="135">
        <v>0</v>
      </c>
      <c r="F370" s="135">
        <v>1</v>
      </c>
      <c r="G370" s="135">
        <v>0</v>
      </c>
      <c r="H370" s="135">
        <v>-100</v>
      </c>
      <c r="I370" s="135">
        <v>0</v>
      </c>
      <c r="J370" s="135">
        <v>0</v>
      </c>
      <c r="K370" s="135">
        <v>0</v>
      </c>
      <c r="L370" s="135">
        <v>0</v>
      </c>
    </row>
    <row r="371" spans="1:12">
      <c r="A371" s="135">
        <v>364</v>
      </c>
      <c r="B371" s="135" t="s">
        <v>207</v>
      </c>
      <c r="C371" s="135">
        <v>50</v>
      </c>
      <c r="D371" s="135">
        <v>92</v>
      </c>
      <c r="E371" s="135">
        <v>338</v>
      </c>
      <c r="F371" s="135">
        <v>369</v>
      </c>
      <c r="G371" s="135">
        <v>-45.65</v>
      </c>
      <c r="H371" s="135">
        <v>-8.4</v>
      </c>
      <c r="I371" s="135">
        <v>0.17</v>
      </c>
      <c r="J371" s="135">
        <v>0.12</v>
      </c>
      <c r="K371" s="135">
        <v>0.26</v>
      </c>
      <c r="L371" s="135">
        <v>0.13</v>
      </c>
    </row>
    <row r="372" spans="1:12">
      <c r="A372" s="135"/>
      <c r="B372" s="136" t="s">
        <v>454</v>
      </c>
      <c r="C372" s="135">
        <f>SUBTOTAL(109,getAggModelsPB[antalPerioden])</f>
        <v>29274</v>
      </c>
      <c r="D372" s="135">
        <f>SUBTOTAL(109,getAggModelsPB[antalFGPeriod])</f>
        <v>35476</v>
      </c>
      <c r="E372" s="135">
        <f>SUBTOTAL(109,getAggModelsPB[antalÅret])</f>
        <v>289665</v>
      </c>
      <c r="F372" s="135">
        <f>SUBTOTAL(109,getAggModelsPB[antalFGAr])</f>
        <v>288087</v>
      </c>
      <c r="G372" s="137">
        <f>IF(getAggModelsPB[[#Totals],[antalFGPeriod]] &gt; 0,(getAggModelsPB[[#Totals],[antalPerioden]] - getAggModelsPB[[#Totals],[antalFGPeriod]] ) / getAggModelsPB[[#Totals],[antalFGPeriod]] * 100,0)</f>
        <v>-17.482241515390687</v>
      </c>
      <c r="H372" s="137">
        <f>IF(getAggModelsPB[[#Totals],[antalFGAr]] &gt; 0,(getAggModelsPB[[#Totals],[antalÅret]] - getAggModelsPB[[#Totals],[antalFGAr]]) / getAggModelsPB[[#Totals],[antalFGAr]] * 100,0)</f>
        <v>0.54775120015828549</v>
      </c>
      <c r="I372" s="138" t="str">
        <f>TEXT(100,"0,00")</f>
        <v>100,00</v>
      </c>
      <c r="J372" s="138" t="str">
        <f>TEXT(100,"0,00")</f>
        <v>100,00</v>
      </c>
      <c r="K372" s="138" t="str">
        <f>TEXT(100,"0,00")</f>
        <v>100,00</v>
      </c>
      <c r="L372" s="138" t="str">
        <f>TEXT(100,"0,00")</f>
        <v>100,00</v>
      </c>
    </row>
    <row r="376" spans="1:12">
      <c r="A376" t="s">
        <v>677</v>
      </c>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46"/>
  <sheetViews>
    <sheetView zoomScaleNormal="100" workbookViewId="0">
      <pane ySplit="9" topLeftCell="A10" activePane="bottomLeft" state="frozen"/>
      <selection pane="bottomLeft" activeCell="P121" sqref="P121"/>
    </sheetView>
  </sheetViews>
  <sheetFormatPr baseColWidth="10" defaultColWidth="8.83203125" defaultRowHeight="14" outlineLevelRow="1"/>
  <cols>
    <col min="1" max="1" width="6.5" style="36" customWidth="1"/>
    <col min="2" max="2" width="18.5" style="25" customWidth="1"/>
    <col min="3" max="3" width="4.1640625" style="170" customWidth="1"/>
    <col min="4" max="4" width="3.5" style="171"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36" t="s">
        <v>1324</v>
      </c>
      <c r="F1" s="236"/>
      <c r="G1" s="236"/>
      <c r="H1" s="236"/>
      <c r="I1" s="236"/>
      <c r="J1" s="236"/>
      <c r="K1" s="236"/>
      <c r="L1" s="236"/>
      <c r="M1" s="236"/>
      <c r="N1" s="236"/>
    </row>
    <row r="2" spans="1:19" ht="3.75" customHeight="1">
      <c r="E2" s="172"/>
      <c r="F2" s="172"/>
      <c r="G2" s="172"/>
    </row>
    <row r="3" spans="1:19">
      <c r="G3" s="173" t="s">
        <v>709</v>
      </c>
      <c r="H3" s="174">
        <f>CntPeriod/RegDagar</f>
        <v>1463.7</v>
      </c>
      <c r="J3" s="175" t="s">
        <v>710</v>
      </c>
      <c r="K3" s="176">
        <v>20</v>
      </c>
      <c r="L3" s="176"/>
    </row>
    <row r="4" spans="1:19">
      <c r="G4" s="173" t="s">
        <v>711</v>
      </c>
      <c r="H4" s="175">
        <f>CntPeriod</f>
        <v>29274</v>
      </c>
      <c r="J4" s="175"/>
      <c r="K4" s="175"/>
      <c r="L4" s="175"/>
      <c r="M4" s="175"/>
    </row>
    <row r="5" spans="1:19" ht="13.25" customHeight="1">
      <c r="B5" s="175"/>
      <c r="C5" s="177"/>
      <c r="E5" s="178"/>
      <c r="F5" s="175"/>
      <c r="G5" s="175"/>
      <c r="H5" s="175"/>
      <c r="I5" s="175"/>
      <c r="J5" s="175"/>
      <c r="K5" s="175"/>
      <c r="L5" s="175"/>
    </row>
    <row r="6" spans="1:19">
      <c r="E6" s="237" t="s">
        <v>712</v>
      </c>
      <c r="F6" s="238"/>
      <c r="G6" s="238"/>
      <c r="H6" s="238"/>
      <c r="I6" s="239"/>
      <c r="J6" s="237" t="s">
        <v>713</v>
      </c>
      <c r="K6" s="238"/>
      <c r="L6" s="238"/>
      <c r="M6" s="238"/>
      <c r="N6" s="239"/>
      <c r="R6" s="179"/>
      <c r="S6" s="179"/>
    </row>
    <row r="7" spans="1:19">
      <c r="A7" s="229" t="s">
        <v>714</v>
      </c>
      <c r="B7" s="229"/>
      <c r="C7" s="229"/>
      <c r="D7" s="240"/>
      <c r="E7" s="241" t="s">
        <v>1325</v>
      </c>
      <c r="F7" s="242"/>
      <c r="G7" s="242"/>
      <c r="H7" s="242"/>
      <c r="I7" s="243"/>
      <c r="J7" s="244" t="s">
        <v>715</v>
      </c>
      <c r="K7" s="245"/>
      <c r="L7" s="245"/>
      <c r="M7" s="245"/>
      <c r="N7" s="246"/>
    </row>
    <row r="8" spans="1:19" ht="13.25" customHeight="1">
      <c r="A8" s="180" t="s">
        <v>716</v>
      </c>
      <c r="E8" s="247" t="s">
        <v>717</v>
      </c>
      <c r="F8" s="248"/>
      <c r="G8" s="225" t="s">
        <v>718</v>
      </c>
      <c r="H8" s="247" t="s">
        <v>537</v>
      </c>
      <c r="I8" s="249"/>
      <c r="J8" s="247" t="s">
        <v>717</v>
      </c>
      <c r="K8" s="248"/>
      <c r="L8" s="225" t="s">
        <v>718</v>
      </c>
      <c r="M8" s="247" t="s">
        <v>537</v>
      </c>
      <c r="N8" s="249"/>
    </row>
    <row r="9" spans="1:19">
      <c r="A9" s="180" t="s">
        <v>719</v>
      </c>
      <c r="B9" s="179" t="s">
        <v>453</v>
      </c>
      <c r="C9" s="181"/>
      <c r="E9" s="182">
        <v>2023</v>
      </c>
      <c r="F9" s="183">
        <v>2022</v>
      </c>
      <c r="G9" s="184" t="s">
        <v>720</v>
      </c>
      <c r="H9" s="183">
        <v>2023</v>
      </c>
      <c r="I9" s="185">
        <v>2022</v>
      </c>
      <c r="J9" s="182">
        <v>2023</v>
      </c>
      <c r="K9" s="183">
        <v>2022</v>
      </c>
      <c r="L9" s="184" t="s">
        <v>720</v>
      </c>
      <c r="M9" s="183">
        <v>2023</v>
      </c>
      <c r="N9" s="185">
        <v>2022</v>
      </c>
    </row>
    <row r="10" spans="1:19" collapsed="1">
      <c r="A10" s="180" t="s">
        <v>721</v>
      </c>
      <c r="B10" s="179" t="s">
        <v>294</v>
      </c>
      <c r="C10" s="186">
        <f t="shared" ref="C10:C73" si="0">IF(K10=0,"",SUM(((J10-K10)/K10)*100))</f>
        <v>-10.002396566373994</v>
      </c>
      <c r="E10" s="182">
        <v>6091</v>
      </c>
      <c r="F10" s="183">
        <v>8804</v>
      </c>
      <c r="G10" s="187">
        <f t="shared" ref="G10:G73" si="1">IF(F10=0,"",SUM(((E10-F10)/F10)*100))</f>
        <v>-30.815538391640164</v>
      </c>
      <c r="H10" s="188">
        <f t="shared" ref="H10:H73" si="2">IF(E10=0,"",SUM((E10/CntPeriod)*100))</f>
        <v>20.806859329097492</v>
      </c>
      <c r="I10" s="188">
        <f t="shared" ref="I10:I73" si="3">IF(F10=0,"",SUM((F10/CntPeriodPrevYear)*100))</f>
        <v>24.816777539745178</v>
      </c>
      <c r="J10" s="182">
        <v>41308</v>
      </c>
      <c r="K10" s="183">
        <v>45899</v>
      </c>
      <c r="L10" s="187">
        <f t="shared" ref="L10:L73" si="4">IF(K10=0,"",SUM(((J10-K10)/K10)*100))</f>
        <v>-10.002396566373994</v>
      </c>
      <c r="M10" s="188">
        <f t="shared" ref="M10:M73" si="5">IF(J10=0,"",SUM((J10/CntYearAck)*100))</f>
        <v>14.260611395922876</v>
      </c>
      <c r="N10" s="189">
        <f t="shared" ref="N10:N73" si="6">IF(K10=0,"",SUM((K10/CntPrevYearAck)*100))</f>
        <v>15.93233988343799</v>
      </c>
    </row>
    <row r="11" spans="1:19" hidden="1" outlineLevel="1">
      <c r="A11" s="180"/>
      <c r="B11" s="190" t="s">
        <v>722</v>
      </c>
      <c r="C11" s="186">
        <f t="shared" si="0"/>
        <v>-4.552788495264819</v>
      </c>
      <c r="E11" s="182">
        <v>1967</v>
      </c>
      <c r="F11" s="183">
        <v>3108</v>
      </c>
      <c r="G11" s="191">
        <f t="shared" si="1"/>
        <v>-36.711711711711715</v>
      </c>
      <c r="H11" s="188">
        <f t="shared" si="2"/>
        <v>6.7192730750836924</v>
      </c>
      <c r="I11" s="188">
        <f t="shared" si="3"/>
        <v>8.7608524072612468</v>
      </c>
      <c r="J11" s="182">
        <v>13606</v>
      </c>
      <c r="K11" s="183">
        <v>14255</v>
      </c>
      <c r="L11" s="191">
        <f t="shared" si="4"/>
        <v>-4.552788495264819</v>
      </c>
      <c r="M11" s="188">
        <f t="shared" si="5"/>
        <v>4.6971501562149385</v>
      </c>
      <c r="N11" s="189">
        <f t="shared" si="6"/>
        <v>4.9481580217087195</v>
      </c>
    </row>
    <row r="12" spans="1:19" hidden="1" outlineLevel="1">
      <c r="A12" s="180"/>
      <c r="B12" s="190" t="s">
        <v>723</v>
      </c>
      <c r="C12" s="186">
        <f t="shared" si="0"/>
        <v>-3.1957390146471374</v>
      </c>
      <c r="E12" s="182">
        <v>1907</v>
      </c>
      <c r="F12" s="183">
        <v>2010</v>
      </c>
      <c r="G12" s="191">
        <f t="shared" si="1"/>
        <v>-5.1243781094527359</v>
      </c>
      <c r="H12" s="188">
        <f t="shared" si="2"/>
        <v>6.5143130422900875</v>
      </c>
      <c r="I12" s="188">
        <f t="shared" si="3"/>
        <v>5.6658022324952082</v>
      </c>
      <c r="J12" s="182">
        <v>11632</v>
      </c>
      <c r="K12" s="183">
        <v>12016</v>
      </c>
      <c r="L12" s="191">
        <f t="shared" si="4"/>
        <v>-3.1957390146471374</v>
      </c>
      <c r="M12" s="188">
        <f t="shared" si="5"/>
        <v>4.0156732777518851</v>
      </c>
      <c r="N12" s="189">
        <f t="shared" si="6"/>
        <v>4.1709622440443335</v>
      </c>
    </row>
    <row r="13" spans="1:19" hidden="1" outlineLevel="1">
      <c r="A13" s="180"/>
      <c r="B13" s="190" t="s">
        <v>724</v>
      </c>
      <c r="C13" s="186">
        <f t="shared" si="0"/>
        <v>-36.082836082836081</v>
      </c>
      <c r="E13" s="182">
        <v>807</v>
      </c>
      <c r="F13" s="183">
        <v>1622</v>
      </c>
      <c r="G13" s="191">
        <f t="shared" si="1"/>
        <v>-50.246609124537613</v>
      </c>
      <c r="H13" s="188">
        <f t="shared" si="2"/>
        <v>2.7567124410739905</v>
      </c>
      <c r="I13" s="188">
        <f t="shared" si="3"/>
        <v>4.5721050851279736</v>
      </c>
      <c r="J13" s="182">
        <v>5463</v>
      </c>
      <c r="K13" s="183">
        <v>8547</v>
      </c>
      <c r="L13" s="191">
        <f t="shared" si="4"/>
        <v>-36.082836082836081</v>
      </c>
      <c r="M13" s="188">
        <f t="shared" si="5"/>
        <v>1.8859717259592976</v>
      </c>
      <c r="N13" s="189">
        <f t="shared" si="6"/>
        <v>2.9668121088421207</v>
      </c>
    </row>
    <row r="14" spans="1:19" hidden="1" outlineLevel="1">
      <c r="A14" s="180"/>
      <c r="B14" s="190" t="s">
        <v>725</v>
      </c>
      <c r="C14" s="186">
        <f t="shared" si="0"/>
        <v>-14.759843331271902</v>
      </c>
      <c r="E14" s="182">
        <v>474</v>
      </c>
      <c r="F14" s="183">
        <v>333</v>
      </c>
      <c r="G14" s="191">
        <f t="shared" si="1"/>
        <v>42.342342342342342</v>
      </c>
      <c r="H14" s="188">
        <f t="shared" si="2"/>
        <v>1.6191842590694814</v>
      </c>
      <c r="I14" s="188">
        <f t="shared" si="3"/>
        <v>0.93866275792084797</v>
      </c>
      <c r="J14" s="182">
        <v>4135</v>
      </c>
      <c r="K14" s="183">
        <v>4851</v>
      </c>
      <c r="L14" s="191">
        <f t="shared" si="4"/>
        <v>-14.759843331271902</v>
      </c>
      <c r="M14" s="188">
        <f t="shared" si="5"/>
        <v>1.4275110903975283</v>
      </c>
      <c r="N14" s="189">
        <f t="shared" si="6"/>
        <v>1.683866332045528</v>
      </c>
    </row>
    <row r="15" spans="1:19" hidden="1" outlineLevel="1">
      <c r="A15" s="180"/>
      <c r="B15" s="190" t="s">
        <v>727</v>
      </c>
      <c r="C15" s="186">
        <f t="shared" si="0"/>
        <v>-0.44923629829290207</v>
      </c>
      <c r="E15" s="182">
        <v>436</v>
      </c>
      <c r="F15" s="183">
        <v>1349</v>
      </c>
      <c r="G15" s="191">
        <f t="shared" si="1"/>
        <v>-67.679762787249814</v>
      </c>
      <c r="H15" s="188">
        <f t="shared" si="2"/>
        <v>1.4893762383001981</v>
      </c>
      <c r="I15" s="188">
        <f t="shared" si="3"/>
        <v>3.8025707520577288</v>
      </c>
      <c r="J15" s="182">
        <v>3324</v>
      </c>
      <c r="K15" s="183">
        <v>3339</v>
      </c>
      <c r="L15" s="191">
        <f t="shared" si="4"/>
        <v>-0.44923629829290207</v>
      </c>
      <c r="M15" s="188">
        <f t="shared" si="5"/>
        <v>1.1475324944332246</v>
      </c>
      <c r="N15" s="189">
        <f t="shared" si="6"/>
        <v>1.1590248779014674</v>
      </c>
    </row>
    <row r="16" spans="1:19" hidden="1" outlineLevel="1">
      <c r="A16" s="180"/>
      <c r="B16" s="190" t="s">
        <v>726</v>
      </c>
      <c r="C16" s="186">
        <f t="shared" si="0"/>
        <v>-0.61124694376528121</v>
      </c>
      <c r="E16" s="182">
        <v>358</v>
      </c>
      <c r="F16" s="183">
        <v>363</v>
      </c>
      <c r="G16" s="191">
        <f t="shared" si="1"/>
        <v>-1.3774104683195594</v>
      </c>
      <c r="H16" s="188">
        <f t="shared" si="2"/>
        <v>1.2229281956685112</v>
      </c>
      <c r="I16" s="188">
        <f t="shared" si="3"/>
        <v>1.0232269703461494</v>
      </c>
      <c r="J16" s="182">
        <v>2439</v>
      </c>
      <c r="K16" s="183">
        <v>2454</v>
      </c>
      <c r="L16" s="191">
        <f t="shared" si="4"/>
        <v>-0.61124694376528121</v>
      </c>
      <c r="M16" s="188">
        <f t="shared" si="5"/>
        <v>0.8420071461861115</v>
      </c>
      <c r="N16" s="189">
        <f t="shared" si="6"/>
        <v>0.85182601089254295</v>
      </c>
    </row>
    <row r="17" spans="1:14" hidden="1" outlineLevel="1">
      <c r="A17" s="180"/>
      <c r="B17" s="190" t="s">
        <v>728</v>
      </c>
      <c r="C17" s="186">
        <f t="shared" si="0"/>
        <v>44.036697247706428</v>
      </c>
      <c r="E17" s="182">
        <v>61</v>
      </c>
      <c r="F17" s="183">
        <v>19</v>
      </c>
      <c r="G17" s="191">
        <f t="shared" si="1"/>
        <v>221.0526315789474</v>
      </c>
      <c r="H17" s="188">
        <f t="shared" si="2"/>
        <v>0.20837603334016536</v>
      </c>
      <c r="I17" s="188">
        <f t="shared" si="3"/>
        <v>5.3557334536024355E-2</v>
      </c>
      <c r="J17" s="182">
        <v>628</v>
      </c>
      <c r="K17" s="183">
        <v>436</v>
      </c>
      <c r="L17" s="191">
        <f t="shared" si="4"/>
        <v>44.036697247706428</v>
      </c>
      <c r="M17" s="188">
        <f t="shared" si="5"/>
        <v>0.21680216802168023</v>
      </c>
      <c r="N17" s="189">
        <f t="shared" si="6"/>
        <v>0.1513431706394249</v>
      </c>
    </row>
    <row r="18" spans="1:14" hidden="1" outlineLevel="1">
      <c r="A18" s="180"/>
      <c r="B18" s="190" t="s">
        <v>1326</v>
      </c>
      <c r="C18" s="186" t="str">
        <f t="shared" si="0"/>
        <v/>
      </c>
      <c r="E18" s="182">
        <v>81</v>
      </c>
      <c r="F18" s="183">
        <v>0</v>
      </c>
      <c r="G18" s="191" t="str">
        <f t="shared" si="1"/>
        <v/>
      </c>
      <c r="H18" s="188">
        <f t="shared" si="2"/>
        <v>0.27669604427136713</v>
      </c>
      <c r="I18" s="188" t="str">
        <f t="shared" si="3"/>
        <v/>
      </c>
      <c r="J18" s="182">
        <v>81</v>
      </c>
      <c r="K18" s="183">
        <v>0</v>
      </c>
      <c r="L18" s="191" t="str">
        <f t="shared" si="4"/>
        <v/>
      </c>
      <c r="M18" s="188">
        <f t="shared" si="5"/>
        <v>2.7963336958210346E-2</v>
      </c>
      <c r="N18" s="189" t="str">
        <f t="shared" si="6"/>
        <v/>
      </c>
    </row>
    <row r="19" spans="1:14" hidden="1" outlineLevel="1">
      <c r="A19" s="180"/>
      <c r="B19" s="190" t="s">
        <v>1137</v>
      </c>
      <c r="C19" s="186">
        <f t="shared" si="0"/>
        <v>-100</v>
      </c>
      <c r="E19" s="182">
        <v>0</v>
      </c>
      <c r="F19" s="183">
        <v>0</v>
      </c>
      <c r="G19" s="191" t="str">
        <f t="shared" si="1"/>
        <v/>
      </c>
      <c r="H19" s="188" t="str">
        <f t="shared" si="2"/>
        <v/>
      </c>
      <c r="I19" s="188" t="str">
        <f t="shared" si="3"/>
        <v/>
      </c>
      <c r="J19" s="182">
        <v>0</v>
      </c>
      <c r="K19" s="183">
        <v>1</v>
      </c>
      <c r="L19" s="191">
        <f t="shared" si="4"/>
        <v>-100</v>
      </c>
      <c r="M19" s="188" t="str">
        <f t="shared" si="5"/>
        <v/>
      </c>
      <c r="N19" s="189">
        <f t="shared" si="6"/>
        <v>3.4711736385189195E-4</v>
      </c>
    </row>
    <row r="20" spans="1:14" collapsed="1">
      <c r="A20" s="180" t="s">
        <v>1234</v>
      </c>
      <c r="B20" s="179" t="s">
        <v>739</v>
      </c>
      <c r="C20" s="186">
        <f t="shared" si="0"/>
        <v>-2.8713811105837683</v>
      </c>
      <c r="E20" s="182">
        <v>3148</v>
      </c>
      <c r="F20" s="183">
        <v>3987</v>
      </c>
      <c r="G20" s="191">
        <f t="shared" si="1"/>
        <v>-21.043391020817655</v>
      </c>
      <c r="H20" s="188">
        <f t="shared" si="2"/>
        <v>10.753569720571155</v>
      </c>
      <c r="I20" s="188">
        <f t="shared" si="3"/>
        <v>11.238583831322584</v>
      </c>
      <c r="J20" s="182">
        <v>32744</v>
      </c>
      <c r="K20" s="183">
        <v>33712</v>
      </c>
      <c r="L20" s="191">
        <f t="shared" si="4"/>
        <v>-2.8713811105837683</v>
      </c>
      <c r="M20" s="188">
        <f t="shared" si="5"/>
        <v>11.304092658760982</v>
      </c>
      <c r="N20" s="189">
        <f t="shared" si="6"/>
        <v>11.702020570174982</v>
      </c>
    </row>
    <row r="21" spans="1:14" hidden="1" outlineLevel="1">
      <c r="A21" s="180"/>
      <c r="B21" s="190" t="s">
        <v>740</v>
      </c>
      <c r="C21" s="186">
        <f t="shared" si="0"/>
        <v>23.924791713578024</v>
      </c>
      <c r="E21" s="182">
        <v>1371</v>
      </c>
      <c r="F21" s="183">
        <v>1729</v>
      </c>
      <c r="G21" s="191">
        <f t="shared" si="1"/>
        <v>-20.705610179294389</v>
      </c>
      <c r="H21" s="188">
        <f t="shared" si="2"/>
        <v>4.68333674933388</v>
      </c>
      <c r="I21" s="188">
        <f t="shared" si="3"/>
        <v>4.8737174427782168</v>
      </c>
      <c r="J21" s="182">
        <v>11007</v>
      </c>
      <c r="K21" s="183">
        <v>8882</v>
      </c>
      <c r="L21" s="191">
        <f t="shared" si="4"/>
        <v>23.924791713578024</v>
      </c>
      <c r="M21" s="188">
        <f t="shared" si="5"/>
        <v>3.7999067888768057</v>
      </c>
      <c r="N21" s="189">
        <f t="shared" si="6"/>
        <v>3.0830964257325046</v>
      </c>
    </row>
    <row r="22" spans="1:14" hidden="1" outlineLevel="1">
      <c r="A22" s="180"/>
      <c r="B22" s="190" t="s">
        <v>742</v>
      </c>
      <c r="C22" s="186">
        <f t="shared" si="0"/>
        <v>-37.082525317819439</v>
      </c>
      <c r="E22" s="182">
        <v>122</v>
      </c>
      <c r="F22" s="183">
        <v>264</v>
      </c>
      <c r="G22" s="191">
        <f t="shared" si="1"/>
        <v>-53.787878787878782</v>
      </c>
      <c r="H22" s="188">
        <f t="shared" si="2"/>
        <v>0.41675206668033071</v>
      </c>
      <c r="I22" s="188">
        <f t="shared" si="3"/>
        <v>0.74416506934265425</v>
      </c>
      <c r="J22" s="182">
        <v>2920</v>
      </c>
      <c r="K22" s="183">
        <v>4641</v>
      </c>
      <c r="L22" s="191">
        <f t="shared" si="4"/>
        <v>-37.082525317819439</v>
      </c>
      <c r="M22" s="188">
        <f t="shared" si="5"/>
        <v>1.0080610360243729</v>
      </c>
      <c r="N22" s="189">
        <f t="shared" si="6"/>
        <v>1.6109716856366307</v>
      </c>
    </row>
    <row r="23" spans="1:14" hidden="1" outlineLevel="1">
      <c r="A23" s="180"/>
      <c r="B23" s="190" t="s">
        <v>744</v>
      </c>
      <c r="C23" s="186">
        <f t="shared" si="0"/>
        <v>-22.842639593908629</v>
      </c>
      <c r="E23" s="182">
        <v>172</v>
      </c>
      <c r="F23" s="183">
        <v>256</v>
      </c>
      <c r="G23" s="191">
        <f t="shared" si="1"/>
        <v>-32.8125</v>
      </c>
      <c r="H23" s="188">
        <f t="shared" si="2"/>
        <v>0.58755209400833497</v>
      </c>
      <c r="I23" s="188">
        <f t="shared" si="3"/>
        <v>0.7216146126959071</v>
      </c>
      <c r="J23" s="182">
        <v>2736</v>
      </c>
      <c r="K23" s="183">
        <v>3546</v>
      </c>
      <c r="L23" s="191">
        <f t="shared" si="4"/>
        <v>-22.842639593908629</v>
      </c>
      <c r="M23" s="188">
        <f t="shared" si="5"/>
        <v>0.94453938169954954</v>
      </c>
      <c r="N23" s="189">
        <f t="shared" si="6"/>
        <v>1.2308781722188089</v>
      </c>
    </row>
    <row r="24" spans="1:14" hidden="1" outlineLevel="1">
      <c r="A24" s="180"/>
      <c r="B24" s="190" t="s">
        <v>747</v>
      </c>
      <c r="C24" s="186">
        <f t="shared" si="0"/>
        <v>35.480624056366381</v>
      </c>
      <c r="E24" s="182">
        <v>330</v>
      </c>
      <c r="F24" s="183">
        <v>399</v>
      </c>
      <c r="G24" s="191">
        <f t="shared" si="1"/>
        <v>-17.293233082706767</v>
      </c>
      <c r="H24" s="188">
        <f t="shared" si="2"/>
        <v>1.1272801803648289</v>
      </c>
      <c r="I24" s="188">
        <f t="shared" si="3"/>
        <v>1.1247040252565115</v>
      </c>
      <c r="J24" s="182">
        <v>2692</v>
      </c>
      <c r="K24" s="183">
        <v>1987</v>
      </c>
      <c r="L24" s="191">
        <f t="shared" si="4"/>
        <v>35.480624056366381</v>
      </c>
      <c r="M24" s="188">
        <f t="shared" si="5"/>
        <v>0.92934942088274386</v>
      </c>
      <c r="N24" s="189">
        <f t="shared" si="6"/>
        <v>0.68972220197370937</v>
      </c>
    </row>
    <row r="25" spans="1:14" hidden="1" outlineLevel="1">
      <c r="A25" s="180"/>
      <c r="B25" s="190" t="s">
        <v>743</v>
      </c>
      <c r="C25" s="186">
        <f t="shared" si="0"/>
        <v>-24.745186862967159</v>
      </c>
      <c r="E25" s="182">
        <v>242</v>
      </c>
      <c r="F25" s="183">
        <v>159</v>
      </c>
      <c r="G25" s="191">
        <f t="shared" si="1"/>
        <v>52.20125786163522</v>
      </c>
      <c r="H25" s="188">
        <f t="shared" si="2"/>
        <v>0.82667213226754122</v>
      </c>
      <c r="I25" s="188">
        <f t="shared" si="3"/>
        <v>0.44819032585409851</v>
      </c>
      <c r="J25" s="182">
        <v>2658</v>
      </c>
      <c r="K25" s="183">
        <v>3532</v>
      </c>
      <c r="L25" s="191">
        <f t="shared" si="4"/>
        <v>-24.745186862967159</v>
      </c>
      <c r="M25" s="188">
        <f t="shared" si="5"/>
        <v>0.91761172388793943</v>
      </c>
      <c r="N25" s="189">
        <f t="shared" si="6"/>
        <v>1.2260185291248824</v>
      </c>
    </row>
    <row r="26" spans="1:14" hidden="1" outlineLevel="1">
      <c r="A26" s="180"/>
      <c r="B26" s="190" t="s">
        <v>741</v>
      </c>
      <c r="C26" s="186">
        <f t="shared" si="0"/>
        <v>-27.382625808265391</v>
      </c>
      <c r="E26" s="182">
        <v>205</v>
      </c>
      <c r="F26" s="183">
        <v>126</v>
      </c>
      <c r="G26" s="191">
        <f t="shared" si="1"/>
        <v>62.698412698412696</v>
      </c>
      <c r="H26" s="188">
        <f t="shared" si="2"/>
        <v>0.70028011204481799</v>
      </c>
      <c r="I26" s="188">
        <f t="shared" si="3"/>
        <v>0.35516969218626676</v>
      </c>
      <c r="J26" s="182">
        <v>2583</v>
      </c>
      <c r="K26" s="183">
        <v>3557</v>
      </c>
      <c r="L26" s="191">
        <f t="shared" si="4"/>
        <v>-27.382625808265391</v>
      </c>
      <c r="M26" s="188">
        <f t="shared" si="5"/>
        <v>0.89171974522292996</v>
      </c>
      <c r="N26" s="189">
        <f t="shared" si="6"/>
        <v>1.2346964632211797</v>
      </c>
    </row>
    <row r="27" spans="1:14" hidden="1" outlineLevel="1">
      <c r="A27" s="180"/>
      <c r="B27" s="190" t="s">
        <v>750</v>
      </c>
      <c r="C27" s="186">
        <f t="shared" si="0"/>
        <v>3.9592081583683263</v>
      </c>
      <c r="E27" s="182">
        <v>211</v>
      </c>
      <c r="F27" s="183">
        <v>447</v>
      </c>
      <c r="G27" s="191">
        <f t="shared" si="1"/>
        <v>-52.796420581655482</v>
      </c>
      <c r="H27" s="188">
        <f t="shared" si="2"/>
        <v>0.72077611532417851</v>
      </c>
      <c r="I27" s="188">
        <f t="shared" si="3"/>
        <v>1.2600067651369939</v>
      </c>
      <c r="J27" s="182">
        <v>1733</v>
      </c>
      <c r="K27" s="183">
        <v>1667</v>
      </c>
      <c r="L27" s="191">
        <f t="shared" si="4"/>
        <v>3.9592081583683263</v>
      </c>
      <c r="M27" s="188">
        <f t="shared" si="5"/>
        <v>0.59827732035282133</v>
      </c>
      <c r="N27" s="189">
        <f t="shared" si="6"/>
        <v>0.57864464554110395</v>
      </c>
    </row>
    <row r="28" spans="1:14" hidden="1" outlineLevel="1">
      <c r="A28" s="180"/>
      <c r="B28" s="190" t="s">
        <v>746</v>
      </c>
      <c r="C28" s="186">
        <f t="shared" si="0"/>
        <v>-5.2203389830508478</v>
      </c>
      <c r="E28" s="182">
        <v>58</v>
      </c>
      <c r="F28" s="183">
        <v>155</v>
      </c>
      <c r="G28" s="191">
        <f t="shared" si="1"/>
        <v>-62.580645161290327</v>
      </c>
      <c r="H28" s="188">
        <f t="shared" si="2"/>
        <v>0.19812803170048504</v>
      </c>
      <c r="I28" s="188">
        <f t="shared" si="3"/>
        <v>0.43691509753072505</v>
      </c>
      <c r="J28" s="182">
        <v>1398</v>
      </c>
      <c r="K28" s="183">
        <v>1475</v>
      </c>
      <c r="L28" s="191">
        <f t="shared" si="4"/>
        <v>-5.2203389830508478</v>
      </c>
      <c r="M28" s="188">
        <f t="shared" si="5"/>
        <v>0.48262648231577859</v>
      </c>
      <c r="N28" s="189">
        <f t="shared" si="6"/>
        <v>0.51199811168154064</v>
      </c>
    </row>
    <row r="29" spans="1:14" hidden="1" outlineLevel="1">
      <c r="A29" s="180"/>
      <c r="B29" s="190" t="s">
        <v>745</v>
      </c>
      <c r="C29" s="186">
        <f t="shared" si="0"/>
        <v>-23.666210670314637</v>
      </c>
      <c r="E29" s="182">
        <v>46</v>
      </c>
      <c r="F29" s="183">
        <v>166</v>
      </c>
      <c r="G29" s="191">
        <f t="shared" si="1"/>
        <v>-72.289156626506028</v>
      </c>
      <c r="H29" s="188">
        <f t="shared" si="2"/>
        <v>0.157136025141764</v>
      </c>
      <c r="I29" s="188">
        <f t="shared" si="3"/>
        <v>0.4679219754200023</v>
      </c>
      <c r="J29" s="182">
        <v>1116</v>
      </c>
      <c r="K29" s="183">
        <v>1462</v>
      </c>
      <c r="L29" s="191">
        <f t="shared" si="4"/>
        <v>-23.666210670314637</v>
      </c>
      <c r="M29" s="188">
        <f t="shared" si="5"/>
        <v>0.38527264253534255</v>
      </c>
      <c r="N29" s="189">
        <f t="shared" si="6"/>
        <v>0.50748558595146609</v>
      </c>
    </row>
    <row r="30" spans="1:14" hidden="1" outlineLevel="1">
      <c r="A30" s="180"/>
      <c r="B30" s="190" t="s">
        <v>1014</v>
      </c>
      <c r="C30" s="186">
        <f t="shared" si="0"/>
        <v>749.53271028037386</v>
      </c>
      <c r="E30" s="182">
        <v>80</v>
      </c>
      <c r="F30" s="183">
        <v>8</v>
      </c>
      <c r="G30" s="191">
        <f t="shared" si="1"/>
        <v>900</v>
      </c>
      <c r="H30" s="188">
        <f t="shared" si="2"/>
        <v>0.27328004372480696</v>
      </c>
      <c r="I30" s="188">
        <f t="shared" si="3"/>
        <v>2.2550456646747097E-2</v>
      </c>
      <c r="J30" s="182">
        <v>909</v>
      </c>
      <c r="K30" s="183">
        <v>107</v>
      </c>
      <c r="L30" s="191">
        <f t="shared" si="4"/>
        <v>749.53271028037386</v>
      </c>
      <c r="M30" s="188">
        <f t="shared" si="5"/>
        <v>0.31381078141991608</v>
      </c>
      <c r="N30" s="189">
        <f t="shared" si="6"/>
        <v>3.7141557932152437E-2</v>
      </c>
    </row>
    <row r="31" spans="1:14" hidden="1" outlineLevel="1">
      <c r="A31" s="180"/>
      <c r="B31" s="190" t="s">
        <v>749</v>
      </c>
      <c r="C31" s="186">
        <f t="shared" si="0"/>
        <v>-25.207100591715975</v>
      </c>
      <c r="E31" s="182">
        <v>18</v>
      </c>
      <c r="F31" s="183">
        <v>67</v>
      </c>
      <c r="G31" s="191">
        <f t="shared" si="1"/>
        <v>-73.134328358208961</v>
      </c>
      <c r="H31" s="188">
        <f t="shared" si="2"/>
        <v>6.1488009838081573E-2</v>
      </c>
      <c r="I31" s="188">
        <f t="shared" si="3"/>
        <v>0.18886007441650693</v>
      </c>
      <c r="J31" s="182">
        <v>632</v>
      </c>
      <c r="K31" s="183">
        <v>845</v>
      </c>
      <c r="L31" s="191">
        <f t="shared" si="4"/>
        <v>-25.207100591715975</v>
      </c>
      <c r="M31" s="188">
        <f t="shared" si="5"/>
        <v>0.21818307355048072</v>
      </c>
      <c r="N31" s="189">
        <f t="shared" si="6"/>
        <v>0.2933141724548487</v>
      </c>
    </row>
    <row r="32" spans="1:14" hidden="1" outlineLevel="1">
      <c r="A32" s="180"/>
      <c r="B32" s="190" t="s">
        <v>751</v>
      </c>
      <c r="C32" s="186">
        <f t="shared" si="0"/>
        <v>133.99209486166009</v>
      </c>
      <c r="E32" s="182">
        <v>78</v>
      </c>
      <c r="F32" s="183">
        <v>22</v>
      </c>
      <c r="G32" s="191">
        <f t="shared" si="1"/>
        <v>254.54545454545453</v>
      </c>
      <c r="H32" s="188">
        <f t="shared" si="2"/>
        <v>0.26644804263168687</v>
      </c>
      <c r="I32" s="188">
        <f t="shared" si="3"/>
        <v>6.2013755778554516E-2</v>
      </c>
      <c r="J32" s="182">
        <v>592</v>
      </c>
      <c r="K32" s="183">
        <v>253</v>
      </c>
      <c r="L32" s="191">
        <f t="shared" si="4"/>
        <v>133.99209486166009</v>
      </c>
      <c r="M32" s="188">
        <f t="shared" si="5"/>
        <v>0.20437401826247562</v>
      </c>
      <c r="N32" s="189">
        <f t="shared" si="6"/>
        <v>8.7820693054528665E-2</v>
      </c>
    </row>
    <row r="33" spans="1:14" hidden="1" outlineLevel="1">
      <c r="A33" s="180"/>
      <c r="B33" s="190" t="s">
        <v>752</v>
      </c>
      <c r="C33" s="186">
        <f t="shared" si="0"/>
        <v>17.424242424242426</v>
      </c>
      <c r="E33" s="182">
        <v>56</v>
      </c>
      <c r="F33" s="183">
        <v>61</v>
      </c>
      <c r="G33" s="191">
        <f t="shared" si="1"/>
        <v>-8.1967213114754092</v>
      </c>
      <c r="H33" s="188">
        <f t="shared" si="2"/>
        <v>0.19129603060736491</v>
      </c>
      <c r="I33" s="188">
        <f t="shared" si="3"/>
        <v>0.17194723193144659</v>
      </c>
      <c r="J33" s="182">
        <v>465</v>
      </c>
      <c r="K33" s="183">
        <v>396</v>
      </c>
      <c r="L33" s="191">
        <f t="shared" si="4"/>
        <v>17.424242424242426</v>
      </c>
      <c r="M33" s="188">
        <f t="shared" si="5"/>
        <v>0.16053026772305939</v>
      </c>
      <c r="N33" s="189">
        <f t="shared" si="6"/>
        <v>0.13745847608534922</v>
      </c>
    </row>
    <row r="34" spans="1:14" hidden="1" outlineLevel="1">
      <c r="A34" s="180"/>
      <c r="B34" s="190" t="s">
        <v>754</v>
      </c>
      <c r="C34" s="186">
        <f t="shared" si="0"/>
        <v>70.634920634920633</v>
      </c>
      <c r="E34" s="182">
        <v>54</v>
      </c>
      <c r="F34" s="183">
        <v>67</v>
      </c>
      <c r="G34" s="191">
        <f t="shared" si="1"/>
        <v>-19.402985074626866</v>
      </c>
      <c r="H34" s="188">
        <f t="shared" si="2"/>
        <v>0.18446402951424473</v>
      </c>
      <c r="I34" s="188">
        <f t="shared" si="3"/>
        <v>0.18886007441650693</v>
      </c>
      <c r="J34" s="182">
        <v>430</v>
      </c>
      <c r="K34" s="183">
        <v>252</v>
      </c>
      <c r="L34" s="191">
        <f t="shared" si="4"/>
        <v>70.634920634920633</v>
      </c>
      <c r="M34" s="188">
        <f t="shared" si="5"/>
        <v>0.14844734434605494</v>
      </c>
      <c r="N34" s="189">
        <f t="shared" si="6"/>
        <v>8.7473575690676764E-2</v>
      </c>
    </row>
    <row r="35" spans="1:14" hidden="1" outlineLevel="1">
      <c r="A35" s="180"/>
      <c r="B35" s="190" t="s">
        <v>748</v>
      </c>
      <c r="C35" s="186">
        <f t="shared" si="0"/>
        <v>-57.329462989840351</v>
      </c>
      <c r="E35" s="182">
        <v>38</v>
      </c>
      <c r="F35" s="183">
        <v>36</v>
      </c>
      <c r="G35" s="191">
        <f t="shared" si="1"/>
        <v>5.5555555555555554</v>
      </c>
      <c r="H35" s="188">
        <f t="shared" si="2"/>
        <v>0.12980802076928333</v>
      </c>
      <c r="I35" s="188">
        <f t="shared" si="3"/>
        <v>0.10147705491036192</v>
      </c>
      <c r="J35" s="182">
        <v>294</v>
      </c>
      <c r="K35" s="183">
        <v>689</v>
      </c>
      <c r="L35" s="191">
        <f t="shared" si="4"/>
        <v>-57.329462989840351</v>
      </c>
      <c r="M35" s="188">
        <f t="shared" si="5"/>
        <v>0.10149655636683755</v>
      </c>
      <c r="N35" s="189">
        <f t="shared" si="6"/>
        <v>0.23916386369395357</v>
      </c>
    </row>
    <row r="36" spans="1:14" hidden="1" outlineLevel="1">
      <c r="A36" s="180"/>
      <c r="B36" s="190" t="s">
        <v>757</v>
      </c>
      <c r="C36" s="186">
        <f t="shared" si="0"/>
        <v>136.84210526315789</v>
      </c>
      <c r="E36" s="182">
        <v>11</v>
      </c>
      <c r="F36" s="183">
        <v>7</v>
      </c>
      <c r="G36" s="191">
        <f t="shared" si="1"/>
        <v>57.142857142857139</v>
      </c>
      <c r="H36" s="188">
        <f t="shared" si="2"/>
        <v>3.7576006012160962E-2</v>
      </c>
      <c r="I36" s="188">
        <f t="shared" si="3"/>
        <v>1.973164956590371E-2</v>
      </c>
      <c r="J36" s="182">
        <v>180</v>
      </c>
      <c r="K36" s="183">
        <v>76</v>
      </c>
      <c r="L36" s="191">
        <f t="shared" si="4"/>
        <v>136.84210526315789</v>
      </c>
      <c r="M36" s="188">
        <f t="shared" si="5"/>
        <v>6.2140748796022986E-2</v>
      </c>
      <c r="N36" s="189">
        <f t="shared" si="6"/>
        <v>2.6380919652743789E-2</v>
      </c>
    </row>
    <row r="37" spans="1:14" hidden="1" outlineLevel="1">
      <c r="A37" s="180"/>
      <c r="B37" s="190" t="s">
        <v>755</v>
      </c>
      <c r="C37" s="186">
        <f t="shared" si="0"/>
        <v>23.484848484848484</v>
      </c>
      <c r="E37" s="182">
        <v>5</v>
      </c>
      <c r="F37" s="183">
        <v>11</v>
      </c>
      <c r="G37" s="191">
        <f t="shared" si="1"/>
        <v>-54.54545454545454</v>
      </c>
      <c r="H37" s="188">
        <f t="shared" si="2"/>
        <v>1.7080002732800435E-2</v>
      </c>
      <c r="I37" s="188">
        <f t="shared" si="3"/>
        <v>3.1006877889277258E-2</v>
      </c>
      <c r="J37" s="182">
        <v>163</v>
      </c>
      <c r="K37" s="183">
        <v>132</v>
      </c>
      <c r="L37" s="191">
        <f t="shared" si="4"/>
        <v>23.484848484848484</v>
      </c>
      <c r="M37" s="188">
        <f t="shared" si="5"/>
        <v>5.6271900298620822E-2</v>
      </c>
      <c r="N37" s="189">
        <f t="shared" si="6"/>
        <v>4.5819492028449739E-2</v>
      </c>
    </row>
    <row r="38" spans="1:14" hidden="1" outlineLevel="1">
      <c r="A38" s="180"/>
      <c r="B38" s="190" t="s">
        <v>756</v>
      </c>
      <c r="C38" s="186">
        <f t="shared" si="0"/>
        <v>46.341463414634148</v>
      </c>
      <c r="E38" s="182">
        <v>7</v>
      </c>
      <c r="F38" s="183">
        <v>6</v>
      </c>
      <c r="G38" s="191">
        <f t="shared" si="1"/>
        <v>16.666666666666664</v>
      </c>
      <c r="H38" s="188">
        <f t="shared" si="2"/>
        <v>2.3912003825920614E-2</v>
      </c>
      <c r="I38" s="188">
        <f t="shared" si="3"/>
        <v>1.6912842485060323E-2</v>
      </c>
      <c r="J38" s="182">
        <v>120</v>
      </c>
      <c r="K38" s="183">
        <v>82</v>
      </c>
      <c r="L38" s="191">
        <f t="shared" si="4"/>
        <v>46.341463414634148</v>
      </c>
      <c r="M38" s="188">
        <f t="shared" si="5"/>
        <v>4.1427165864015326E-2</v>
      </c>
      <c r="N38" s="189">
        <f t="shared" si="6"/>
        <v>2.8463623835855142E-2</v>
      </c>
    </row>
    <row r="39" spans="1:14" hidden="1" outlineLevel="1">
      <c r="A39" s="180"/>
      <c r="B39" s="190" t="s">
        <v>1306</v>
      </c>
      <c r="C39" s="186" t="str">
        <f t="shared" si="0"/>
        <v/>
      </c>
      <c r="E39" s="182">
        <v>44</v>
      </c>
      <c r="F39" s="183">
        <v>0</v>
      </c>
      <c r="G39" s="191" t="str">
        <f t="shared" si="1"/>
        <v/>
      </c>
      <c r="H39" s="188">
        <f t="shared" si="2"/>
        <v>0.15030402404864385</v>
      </c>
      <c r="I39" s="188" t="str">
        <f t="shared" si="3"/>
        <v/>
      </c>
      <c r="J39" s="182">
        <v>116</v>
      </c>
      <c r="K39" s="183">
        <v>0</v>
      </c>
      <c r="L39" s="191" t="str">
        <f t="shared" si="4"/>
        <v/>
      </c>
      <c r="M39" s="188">
        <f t="shared" si="5"/>
        <v>4.0046260335214814E-2</v>
      </c>
      <c r="N39" s="189" t="str">
        <f t="shared" si="6"/>
        <v/>
      </c>
    </row>
    <row r="40" spans="1:14" hidden="1" outlineLevel="1">
      <c r="A40" s="180"/>
      <c r="B40" s="190" t="s">
        <v>753</v>
      </c>
      <c r="C40" s="186">
        <f t="shared" si="0"/>
        <v>-100</v>
      </c>
      <c r="E40" s="182">
        <v>0</v>
      </c>
      <c r="F40" s="183">
        <v>1</v>
      </c>
      <c r="G40" s="191">
        <f t="shared" si="1"/>
        <v>-100</v>
      </c>
      <c r="H40" s="188" t="str">
        <f t="shared" si="2"/>
        <v/>
      </c>
      <c r="I40" s="188">
        <f t="shared" si="3"/>
        <v>2.8188070808433871E-3</v>
      </c>
      <c r="J40" s="182">
        <v>0</v>
      </c>
      <c r="K40" s="183">
        <v>131</v>
      </c>
      <c r="L40" s="191">
        <f t="shared" si="4"/>
        <v>-100</v>
      </c>
      <c r="M40" s="188" t="str">
        <f t="shared" si="5"/>
        <v/>
      </c>
      <c r="N40" s="189">
        <f t="shared" si="6"/>
        <v>4.5472374664597845E-2</v>
      </c>
    </row>
    <row r="41" spans="1:14" collapsed="1">
      <c r="A41" s="180" t="s">
        <v>1256</v>
      </c>
      <c r="B41" s="179" t="s">
        <v>272</v>
      </c>
      <c r="C41" s="186">
        <f t="shared" si="0"/>
        <v>-18.285369694127105</v>
      </c>
      <c r="E41" s="182">
        <v>2228</v>
      </c>
      <c r="F41" s="183">
        <v>2511</v>
      </c>
      <c r="G41" s="191">
        <f t="shared" si="1"/>
        <v>-11.270410195141379</v>
      </c>
      <c r="H41" s="188">
        <f t="shared" si="2"/>
        <v>7.6108492177358755</v>
      </c>
      <c r="I41" s="188">
        <f t="shared" si="3"/>
        <v>7.078024579997745</v>
      </c>
      <c r="J41" s="182">
        <v>24391</v>
      </c>
      <c r="K41" s="183">
        <v>29849</v>
      </c>
      <c r="L41" s="191">
        <f t="shared" si="4"/>
        <v>-18.285369694127105</v>
      </c>
      <c r="M41" s="188">
        <f t="shared" si="5"/>
        <v>8.4204166882433142</v>
      </c>
      <c r="N41" s="189">
        <f t="shared" si="6"/>
        <v>10.361106193615123</v>
      </c>
    </row>
    <row r="42" spans="1:14" hidden="1" outlineLevel="1">
      <c r="A42" s="180"/>
      <c r="B42" s="190" t="s">
        <v>729</v>
      </c>
      <c r="C42" s="186">
        <f t="shared" si="0"/>
        <v>-31.630935009540913</v>
      </c>
      <c r="E42" s="182">
        <v>387</v>
      </c>
      <c r="F42" s="183">
        <v>761</v>
      </c>
      <c r="G42" s="191">
        <f t="shared" si="1"/>
        <v>-49.14586070959264</v>
      </c>
      <c r="H42" s="188">
        <f t="shared" si="2"/>
        <v>1.3219922115187539</v>
      </c>
      <c r="I42" s="188">
        <f t="shared" si="3"/>
        <v>2.1451121885218178</v>
      </c>
      <c r="J42" s="182">
        <v>6091</v>
      </c>
      <c r="K42" s="183">
        <v>8909</v>
      </c>
      <c r="L42" s="191">
        <f t="shared" si="4"/>
        <v>-31.630935009540913</v>
      </c>
      <c r="M42" s="188">
        <f t="shared" si="5"/>
        <v>2.1027738939809781</v>
      </c>
      <c r="N42" s="189">
        <f t="shared" si="6"/>
        <v>3.0924685945565056</v>
      </c>
    </row>
    <row r="43" spans="1:14" hidden="1" outlineLevel="1">
      <c r="A43" s="180"/>
      <c r="B43" s="190" t="s">
        <v>731</v>
      </c>
      <c r="C43" s="186">
        <f t="shared" si="0"/>
        <v>-2.2058823529411766</v>
      </c>
      <c r="E43" s="182">
        <v>539</v>
      </c>
      <c r="F43" s="183">
        <v>533</v>
      </c>
      <c r="G43" s="191">
        <f t="shared" si="1"/>
        <v>1.125703564727955</v>
      </c>
      <c r="H43" s="188">
        <f t="shared" si="2"/>
        <v>1.8412242945958872</v>
      </c>
      <c r="I43" s="188">
        <f t="shared" si="3"/>
        <v>1.5024241740895254</v>
      </c>
      <c r="J43" s="182">
        <v>4921</v>
      </c>
      <c r="K43" s="183">
        <v>5032</v>
      </c>
      <c r="L43" s="191">
        <f t="shared" si="4"/>
        <v>-2.2058823529411766</v>
      </c>
      <c r="M43" s="188">
        <f t="shared" si="5"/>
        <v>1.6988590268068284</v>
      </c>
      <c r="N43" s="189">
        <f t="shared" si="6"/>
        <v>1.7466945749027203</v>
      </c>
    </row>
    <row r="44" spans="1:14" hidden="1" outlineLevel="1">
      <c r="A44" s="180"/>
      <c r="B44" s="190" t="s">
        <v>730</v>
      </c>
      <c r="C44" s="186">
        <f t="shared" si="0"/>
        <v>-39.287487586891757</v>
      </c>
      <c r="E44" s="182">
        <v>424</v>
      </c>
      <c r="F44" s="183">
        <v>320</v>
      </c>
      <c r="G44" s="191">
        <f t="shared" si="1"/>
        <v>32.5</v>
      </c>
      <c r="H44" s="188">
        <f t="shared" si="2"/>
        <v>1.448384231741477</v>
      </c>
      <c r="I44" s="188">
        <f t="shared" si="3"/>
        <v>0.90201826586988387</v>
      </c>
      <c r="J44" s="182">
        <v>4891</v>
      </c>
      <c r="K44" s="183">
        <v>8056</v>
      </c>
      <c r="L44" s="191">
        <f t="shared" si="4"/>
        <v>-39.287487586891757</v>
      </c>
      <c r="M44" s="188">
        <f t="shared" si="5"/>
        <v>1.6885022353408248</v>
      </c>
      <c r="N44" s="189">
        <f t="shared" si="6"/>
        <v>2.7963774831908417</v>
      </c>
    </row>
    <row r="45" spans="1:14" hidden="1" outlineLevel="1">
      <c r="A45" s="180"/>
      <c r="B45" s="190" t="s">
        <v>732</v>
      </c>
      <c r="C45" s="186">
        <f t="shared" si="0"/>
        <v>9.4458438287153648</v>
      </c>
      <c r="E45" s="182">
        <v>256</v>
      </c>
      <c r="F45" s="183">
        <v>631</v>
      </c>
      <c r="G45" s="191">
        <f t="shared" si="1"/>
        <v>-59.429477020602221</v>
      </c>
      <c r="H45" s="188">
        <f t="shared" si="2"/>
        <v>0.87449613991938246</v>
      </c>
      <c r="I45" s="188">
        <f t="shared" si="3"/>
        <v>1.7786672680121771</v>
      </c>
      <c r="J45" s="182">
        <v>4345</v>
      </c>
      <c r="K45" s="183">
        <v>3970</v>
      </c>
      <c r="L45" s="191">
        <f t="shared" si="4"/>
        <v>9.4458438287153648</v>
      </c>
      <c r="M45" s="188">
        <f t="shared" si="5"/>
        <v>1.500008630659555</v>
      </c>
      <c r="N45" s="189">
        <f t="shared" si="6"/>
        <v>1.3780559344920111</v>
      </c>
    </row>
    <row r="46" spans="1:14" hidden="1" outlineLevel="1">
      <c r="A46" s="180"/>
      <c r="B46" s="190" t="s">
        <v>733</v>
      </c>
      <c r="C46" s="186">
        <f t="shared" si="0"/>
        <v>23.762376237623762</v>
      </c>
      <c r="E46" s="182">
        <v>168</v>
      </c>
      <c r="F46" s="183">
        <v>11</v>
      </c>
      <c r="G46" s="191">
        <f t="shared" si="1"/>
        <v>1427.2727272727273</v>
      </c>
      <c r="H46" s="188">
        <f t="shared" si="2"/>
        <v>0.57388809182209477</v>
      </c>
      <c r="I46" s="188">
        <f t="shared" si="3"/>
        <v>3.1006877889277258E-2</v>
      </c>
      <c r="J46" s="182">
        <v>1375</v>
      </c>
      <c r="K46" s="183">
        <v>1111</v>
      </c>
      <c r="L46" s="191">
        <f t="shared" si="4"/>
        <v>23.762376237623762</v>
      </c>
      <c r="M46" s="188">
        <f t="shared" si="5"/>
        <v>0.47468627552517562</v>
      </c>
      <c r="N46" s="189">
        <f t="shared" si="6"/>
        <v>0.38564739123945196</v>
      </c>
    </row>
    <row r="47" spans="1:14" hidden="1" outlineLevel="1">
      <c r="A47" s="180"/>
      <c r="B47" s="190" t="s">
        <v>734</v>
      </c>
      <c r="C47" s="186">
        <f t="shared" si="0"/>
        <v>20.388349514563107</v>
      </c>
      <c r="E47" s="182">
        <v>75</v>
      </c>
      <c r="F47" s="183">
        <v>71</v>
      </c>
      <c r="G47" s="191">
        <f t="shared" si="1"/>
        <v>5.6338028169014089</v>
      </c>
      <c r="H47" s="188">
        <f t="shared" si="2"/>
        <v>0.25620004099200655</v>
      </c>
      <c r="I47" s="188">
        <f t="shared" si="3"/>
        <v>0.20013530273988051</v>
      </c>
      <c r="J47" s="182">
        <v>992</v>
      </c>
      <c r="K47" s="183">
        <v>824</v>
      </c>
      <c r="L47" s="191">
        <f t="shared" si="4"/>
        <v>20.388349514563107</v>
      </c>
      <c r="M47" s="188">
        <f t="shared" si="5"/>
        <v>0.34246457114252671</v>
      </c>
      <c r="N47" s="189">
        <f t="shared" si="6"/>
        <v>0.28602470781395894</v>
      </c>
    </row>
    <row r="48" spans="1:14" hidden="1" outlineLevel="1">
      <c r="A48" s="180"/>
      <c r="B48" s="190" t="s">
        <v>735</v>
      </c>
      <c r="C48" s="186">
        <f t="shared" si="0"/>
        <v>17.335058214747736</v>
      </c>
      <c r="E48" s="182">
        <v>56</v>
      </c>
      <c r="F48" s="183">
        <v>64</v>
      </c>
      <c r="G48" s="191">
        <f t="shared" si="1"/>
        <v>-12.5</v>
      </c>
      <c r="H48" s="188">
        <f t="shared" si="2"/>
        <v>0.19129603060736491</v>
      </c>
      <c r="I48" s="188">
        <f t="shared" si="3"/>
        <v>0.18040365317397677</v>
      </c>
      <c r="J48" s="182">
        <v>907</v>
      </c>
      <c r="K48" s="183">
        <v>773</v>
      </c>
      <c r="L48" s="191">
        <f t="shared" si="4"/>
        <v>17.335058214747736</v>
      </c>
      <c r="M48" s="188">
        <f t="shared" si="5"/>
        <v>0.31312032865551587</v>
      </c>
      <c r="N48" s="189">
        <f t="shared" si="6"/>
        <v>0.2683217222575125</v>
      </c>
    </row>
    <row r="49" spans="1:14" hidden="1" outlineLevel="1">
      <c r="A49" s="180"/>
      <c r="B49" s="190" t="s">
        <v>1284</v>
      </c>
      <c r="C49" s="186" t="str">
        <f t="shared" si="0"/>
        <v/>
      </c>
      <c r="E49" s="182">
        <v>313</v>
      </c>
      <c r="F49" s="183">
        <v>0</v>
      </c>
      <c r="G49" s="191" t="str">
        <f t="shared" si="1"/>
        <v/>
      </c>
      <c r="H49" s="188">
        <f t="shared" si="2"/>
        <v>1.0692081710733075</v>
      </c>
      <c r="I49" s="188" t="str">
        <f t="shared" si="3"/>
        <v/>
      </c>
      <c r="J49" s="182">
        <v>651</v>
      </c>
      <c r="K49" s="183">
        <v>0</v>
      </c>
      <c r="L49" s="191" t="str">
        <f t="shared" si="4"/>
        <v/>
      </c>
      <c r="M49" s="188">
        <f t="shared" si="5"/>
        <v>0.22474237481228315</v>
      </c>
      <c r="N49" s="189" t="str">
        <f t="shared" si="6"/>
        <v/>
      </c>
    </row>
    <row r="50" spans="1:14" hidden="1" outlineLevel="1">
      <c r="A50" s="180"/>
      <c r="B50" s="190" t="s">
        <v>737</v>
      </c>
      <c r="C50" s="186">
        <f t="shared" si="0"/>
        <v>-60.792079207920793</v>
      </c>
      <c r="E50" s="182">
        <v>10</v>
      </c>
      <c r="F50" s="183">
        <v>90</v>
      </c>
      <c r="G50" s="191">
        <f t="shared" si="1"/>
        <v>-88.888888888888886</v>
      </c>
      <c r="H50" s="188">
        <f t="shared" si="2"/>
        <v>3.4160005465600871E-2</v>
      </c>
      <c r="I50" s="188">
        <f t="shared" si="3"/>
        <v>0.25369263727590485</v>
      </c>
      <c r="J50" s="182">
        <v>198</v>
      </c>
      <c r="K50" s="183">
        <v>505</v>
      </c>
      <c r="L50" s="191">
        <f t="shared" si="4"/>
        <v>-60.792079207920793</v>
      </c>
      <c r="M50" s="188">
        <f t="shared" si="5"/>
        <v>6.8354823675625287E-2</v>
      </c>
      <c r="N50" s="189">
        <f t="shared" si="6"/>
        <v>0.17529426874520546</v>
      </c>
    </row>
    <row r="51" spans="1:14" hidden="1" outlineLevel="1">
      <c r="A51" s="180"/>
      <c r="B51" s="190" t="s">
        <v>736</v>
      </c>
      <c r="C51" s="186">
        <f t="shared" si="0"/>
        <v>-96.974281391830559</v>
      </c>
      <c r="E51" s="182">
        <v>0</v>
      </c>
      <c r="F51" s="183">
        <v>30</v>
      </c>
      <c r="G51" s="191">
        <f t="shared" si="1"/>
        <v>-100</v>
      </c>
      <c r="H51" s="188" t="str">
        <f t="shared" si="2"/>
        <v/>
      </c>
      <c r="I51" s="188">
        <f t="shared" si="3"/>
        <v>8.4564212425301613E-2</v>
      </c>
      <c r="J51" s="182">
        <v>20</v>
      </c>
      <c r="K51" s="183">
        <v>661</v>
      </c>
      <c r="L51" s="191">
        <f t="shared" si="4"/>
        <v>-96.974281391830559</v>
      </c>
      <c r="M51" s="188">
        <f t="shared" si="5"/>
        <v>6.904527644002555E-3</v>
      </c>
      <c r="N51" s="189">
        <f t="shared" si="6"/>
        <v>0.22944457750610059</v>
      </c>
    </row>
    <row r="52" spans="1:14" hidden="1" outlineLevel="1">
      <c r="A52" s="180"/>
      <c r="B52" s="190" t="s">
        <v>738</v>
      </c>
      <c r="C52" s="186">
        <f t="shared" si="0"/>
        <v>-100</v>
      </c>
      <c r="E52" s="182">
        <v>0</v>
      </c>
      <c r="F52" s="183">
        <v>0</v>
      </c>
      <c r="G52" s="191" t="str">
        <f t="shared" si="1"/>
        <v/>
      </c>
      <c r="H52" s="188" t="str">
        <f t="shared" si="2"/>
        <v/>
      </c>
      <c r="I52" s="188" t="str">
        <f t="shared" si="3"/>
        <v/>
      </c>
      <c r="J52" s="182">
        <v>0</v>
      </c>
      <c r="K52" s="183">
        <v>8</v>
      </c>
      <c r="L52" s="191">
        <f t="shared" si="4"/>
        <v>-100</v>
      </c>
      <c r="M52" s="188" t="str">
        <f t="shared" si="5"/>
        <v/>
      </c>
      <c r="N52" s="189">
        <f t="shared" si="6"/>
        <v>2.7769389108151356E-3</v>
      </c>
    </row>
    <row r="53" spans="1:14" collapsed="1">
      <c r="A53" s="180" t="s">
        <v>1257</v>
      </c>
      <c r="B53" s="179" t="s">
        <v>292</v>
      </c>
      <c r="C53" s="186">
        <f t="shared" si="0"/>
        <v>0.72164948453608246</v>
      </c>
      <c r="E53" s="182">
        <v>2024</v>
      </c>
      <c r="F53" s="183">
        <v>1876</v>
      </c>
      <c r="G53" s="191">
        <f t="shared" si="1"/>
        <v>7.8891257995735611</v>
      </c>
      <c r="H53" s="188">
        <f t="shared" si="2"/>
        <v>6.9139851062376172</v>
      </c>
      <c r="I53" s="188">
        <f t="shared" si="3"/>
        <v>5.2880820836621938</v>
      </c>
      <c r="J53" s="182">
        <v>23448</v>
      </c>
      <c r="K53" s="183">
        <v>23280</v>
      </c>
      <c r="L53" s="191">
        <f t="shared" si="4"/>
        <v>0.72164948453608246</v>
      </c>
      <c r="M53" s="188">
        <f t="shared" si="5"/>
        <v>8.0948682098285953</v>
      </c>
      <c r="N53" s="189">
        <f t="shared" si="6"/>
        <v>8.0808922304720454</v>
      </c>
    </row>
    <row r="54" spans="1:14" hidden="1" outlineLevel="1">
      <c r="A54" s="180"/>
      <c r="B54" s="190" t="s">
        <v>758</v>
      </c>
      <c r="C54" s="186">
        <f t="shared" si="0"/>
        <v>-7.4244103213550741</v>
      </c>
      <c r="E54" s="182">
        <v>653</v>
      </c>
      <c r="F54" s="183">
        <v>377</v>
      </c>
      <c r="G54" s="191">
        <f t="shared" si="1"/>
        <v>73.209549071618042</v>
      </c>
      <c r="H54" s="188">
        <f t="shared" si="2"/>
        <v>2.2306483569037372</v>
      </c>
      <c r="I54" s="188">
        <f t="shared" si="3"/>
        <v>1.062690269477957</v>
      </c>
      <c r="J54" s="182">
        <v>5848</v>
      </c>
      <c r="K54" s="183">
        <v>6317</v>
      </c>
      <c r="L54" s="191">
        <f t="shared" si="4"/>
        <v>-7.4244103213550741</v>
      </c>
      <c r="M54" s="188">
        <f t="shared" si="5"/>
        <v>2.0188838831063469</v>
      </c>
      <c r="N54" s="189">
        <f t="shared" si="6"/>
        <v>2.1927403874524014</v>
      </c>
    </row>
    <row r="55" spans="1:14" hidden="1" outlineLevel="1">
      <c r="A55" s="180"/>
      <c r="B55" s="190" t="s">
        <v>759</v>
      </c>
      <c r="C55" s="186">
        <f t="shared" si="0"/>
        <v>-20.986093552465235</v>
      </c>
      <c r="E55" s="182">
        <v>210</v>
      </c>
      <c r="F55" s="183">
        <v>184</v>
      </c>
      <c r="G55" s="191">
        <f t="shared" si="1"/>
        <v>14.130434782608695</v>
      </c>
      <c r="H55" s="188">
        <f t="shared" si="2"/>
        <v>0.71736011477761841</v>
      </c>
      <c r="I55" s="188">
        <f t="shared" si="3"/>
        <v>0.51866050287518317</v>
      </c>
      <c r="J55" s="182">
        <v>3750</v>
      </c>
      <c r="K55" s="183">
        <v>4746</v>
      </c>
      <c r="L55" s="191">
        <f t="shared" si="4"/>
        <v>-20.986093552465235</v>
      </c>
      <c r="M55" s="188">
        <f t="shared" si="5"/>
        <v>1.294598933250479</v>
      </c>
      <c r="N55" s="189">
        <f t="shared" si="6"/>
        <v>1.6474190088410792</v>
      </c>
    </row>
    <row r="56" spans="1:14" hidden="1" outlineLevel="1">
      <c r="A56" s="180"/>
      <c r="B56" s="190" t="s">
        <v>760</v>
      </c>
      <c r="C56" s="186">
        <f t="shared" si="0"/>
        <v>-9.7313735428281802</v>
      </c>
      <c r="E56" s="182">
        <v>386</v>
      </c>
      <c r="F56" s="183">
        <v>296</v>
      </c>
      <c r="G56" s="191">
        <f t="shared" si="1"/>
        <v>30.405405405405407</v>
      </c>
      <c r="H56" s="188">
        <f t="shared" si="2"/>
        <v>1.3185762109721939</v>
      </c>
      <c r="I56" s="188">
        <f t="shared" si="3"/>
        <v>0.83436689592964253</v>
      </c>
      <c r="J56" s="182">
        <v>3562</v>
      </c>
      <c r="K56" s="183">
        <v>3946</v>
      </c>
      <c r="L56" s="191">
        <f t="shared" si="4"/>
        <v>-9.7313735428281802</v>
      </c>
      <c r="M56" s="188">
        <f t="shared" si="5"/>
        <v>1.2296963733968551</v>
      </c>
      <c r="N56" s="189">
        <f t="shared" si="6"/>
        <v>1.3697251177595657</v>
      </c>
    </row>
    <row r="57" spans="1:14" hidden="1" outlineLevel="1">
      <c r="A57" s="180"/>
      <c r="B57" s="190" t="s">
        <v>762</v>
      </c>
      <c r="C57" s="186">
        <f t="shared" si="0"/>
        <v>29.20029347028613</v>
      </c>
      <c r="E57" s="182">
        <v>220</v>
      </c>
      <c r="F57" s="183">
        <v>182</v>
      </c>
      <c r="G57" s="191">
        <f t="shared" si="1"/>
        <v>20.87912087912088</v>
      </c>
      <c r="H57" s="188">
        <f t="shared" si="2"/>
        <v>0.75152012024321924</v>
      </c>
      <c r="I57" s="188">
        <f t="shared" si="3"/>
        <v>0.51302288871349644</v>
      </c>
      <c r="J57" s="182">
        <v>3522</v>
      </c>
      <c r="K57" s="183">
        <v>2726</v>
      </c>
      <c r="L57" s="191">
        <f t="shared" si="4"/>
        <v>29.20029347028613</v>
      </c>
      <c r="M57" s="188">
        <f t="shared" si="5"/>
        <v>1.2158873181088499</v>
      </c>
      <c r="N57" s="189">
        <f t="shared" si="6"/>
        <v>0.94624193386025746</v>
      </c>
    </row>
    <row r="58" spans="1:14" hidden="1" outlineLevel="1">
      <c r="A58" s="180"/>
      <c r="B58" s="190" t="s">
        <v>1016</v>
      </c>
      <c r="C58" s="186">
        <f t="shared" si="0"/>
        <v>217.15481171548117</v>
      </c>
      <c r="E58" s="182">
        <v>207</v>
      </c>
      <c r="F58" s="183">
        <v>424</v>
      </c>
      <c r="G58" s="191">
        <f t="shared" si="1"/>
        <v>-51.179245283018872</v>
      </c>
      <c r="H58" s="188">
        <f t="shared" si="2"/>
        <v>0.70711211313793809</v>
      </c>
      <c r="I58" s="188">
        <f t="shared" si="3"/>
        <v>1.1951742022775962</v>
      </c>
      <c r="J58" s="182">
        <v>2274</v>
      </c>
      <c r="K58" s="183">
        <v>717</v>
      </c>
      <c r="L58" s="191">
        <f t="shared" si="4"/>
        <v>217.15481171548117</v>
      </c>
      <c r="M58" s="188">
        <f t="shared" si="5"/>
        <v>0.7850447931230905</v>
      </c>
      <c r="N58" s="189">
        <f t="shared" si="6"/>
        <v>0.24888314988180654</v>
      </c>
    </row>
    <row r="59" spans="1:14" hidden="1" outlineLevel="1">
      <c r="A59" s="180"/>
      <c r="B59" s="190" t="s">
        <v>761</v>
      </c>
      <c r="C59" s="186">
        <f t="shared" si="0"/>
        <v>-30.83593479014915</v>
      </c>
      <c r="E59" s="182">
        <v>183</v>
      </c>
      <c r="F59" s="183">
        <v>233</v>
      </c>
      <c r="G59" s="191">
        <f t="shared" si="1"/>
        <v>-21.459227467811161</v>
      </c>
      <c r="H59" s="188">
        <f t="shared" si="2"/>
        <v>0.62512810002049601</v>
      </c>
      <c r="I59" s="188">
        <f t="shared" si="3"/>
        <v>0.65678204983650912</v>
      </c>
      <c r="J59" s="182">
        <v>1994</v>
      </c>
      <c r="K59" s="183">
        <v>2883</v>
      </c>
      <c r="L59" s="191">
        <f t="shared" si="4"/>
        <v>-30.83593479014915</v>
      </c>
      <c r="M59" s="188">
        <f t="shared" si="5"/>
        <v>0.68838140610705478</v>
      </c>
      <c r="N59" s="189">
        <f t="shared" si="6"/>
        <v>1.0007393599850045</v>
      </c>
    </row>
    <row r="60" spans="1:14" hidden="1" outlineLevel="1">
      <c r="A60" s="180"/>
      <c r="B60" s="190" t="s">
        <v>1138</v>
      </c>
      <c r="C60" s="186">
        <f t="shared" si="0"/>
        <v>1090</v>
      </c>
      <c r="E60" s="182">
        <v>67</v>
      </c>
      <c r="F60" s="183">
        <v>0</v>
      </c>
      <c r="G60" s="191" t="str">
        <f t="shared" si="1"/>
        <v/>
      </c>
      <c r="H60" s="188">
        <f t="shared" si="2"/>
        <v>0.22887203661952588</v>
      </c>
      <c r="I60" s="188" t="str">
        <f t="shared" si="3"/>
        <v/>
      </c>
      <c r="J60" s="182">
        <v>1190</v>
      </c>
      <c r="K60" s="183">
        <v>100</v>
      </c>
      <c r="L60" s="191">
        <f t="shared" si="4"/>
        <v>1090</v>
      </c>
      <c r="M60" s="188">
        <f t="shared" si="5"/>
        <v>0.41081939481815199</v>
      </c>
      <c r="N60" s="189">
        <f t="shared" si="6"/>
        <v>3.4711736385189193E-2</v>
      </c>
    </row>
    <row r="61" spans="1:14" hidden="1" outlineLevel="1">
      <c r="A61" s="180"/>
      <c r="B61" s="190" t="s">
        <v>763</v>
      </c>
      <c r="C61" s="186">
        <f t="shared" si="0"/>
        <v>-27.060133630289535</v>
      </c>
      <c r="E61" s="182">
        <v>55</v>
      </c>
      <c r="F61" s="183">
        <v>112</v>
      </c>
      <c r="G61" s="191">
        <f t="shared" si="1"/>
        <v>-50.892857142857139</v>
      </c>
      <c r="H61" s="188">
        <f t="shared" si="2"/>
        <v>0.18788003006080481</v>
      </c>
      <c r="I61" s="188">
        <f t="shared" si="3"/>
        <v>0.31570639305445936</v>
      </c>
      <c r="J61" s="182">
        <v>655</v>
      </c>
      <c r="K61" s="183">
        <v>898</v>
      </c>
      <c r="L61" s="191">
        <f t="shared" si="4"/>
        <v>-27.060133630289535</v>
      </c>
      <c r="M61" s="188">
        <f t="shared" si="5"/>
        <v>0.22612328034108367</v>
      </c>
      <c r="N61" s="189">
        <f t="shared" si="6"/>
        <v>0.311711392738999</v>
      </c>
    </row>
    <row r="62" spans="1:14" hidden="1" outlineLevel="1">
      <c r="A62" s="180"/>
      <c r="B62" s="190" t="s">
        <v>765</v>
      </c>
      <c r="C62" s="186">
        <f t="shared" si="0"/>
        <v>-24.352331606217618</v>
      </c>
      <c r="E62" s="182">
        <v>20</v>
      </c>
      <c r="F62" s="183">
        <v>21</v>
      </c>
      <c r="G62" s="191">
        <f t="shared" si="1"/>
        <v>-4.7619047619047619</v>
      </c>
      <c r="H62" s="188">
        <f t="shared" si="2"/>
        <v>6.8320010931201741E-2</v>
      </c>
      <c r="I62" s="188">
        <f t="shared" si="3"/>
        <v>5.9194948697711136E-2</v>
      </c>
      <c r="J62" s="182">
        <v>292</v>
      </c>
      <c r="K62" s="183">
        <v>386</v>
      </c>
      <c r="L62" s="191">
        <f t="shared" si="4"/>
        <v>-24.352331606217618</v>
      </c>
      <c r="M62" s="188">
        <f t="shared" si="5"/>
        <v>0.10080610360243729</v>
      </c>
      <c r="N62" s="189">
        <f t="shared" si="6"/>
        <v>0.1339873024468303</v>
      </c>
    </row>
    <row r="63" spans="1:14" hidden="1" outlineLevel="1">
      <c r="A63" s="180"/>
      <c r="B63" s="190" t="s">
        <v>764</v>
      </c>
      <c r="C63" s="186">
        <f t="shared" si="0"/>
        <v>-41.388888888888886</v>
      </c>
      <c r="E63" s="182">
        <v>22</v>
      </c>
      <c r="F63" s="183">
        <v>21</v>
      </c>
      <c r="G63" s="191">
        <f t="shared" si="1"/>
        <v>4.7619047619047619</v>
      </c>
      <c r="H63" s="188">
        <f t="shared" si="2"/>
        <v>7.5152012024321924E-2</v>
      </c>
      <c r="I63" s="188">
        <f t="shared" si="3"/>
        <v>5.9194948697711136E-2</v>
      </c>
      <c r="J63" s="182">
        <v>211</v>
      </c>
      <c r="K63" s="183">
        <v>360</v>
      </c>
      <c r="L63" s="191">
        <f t="shared" si="4"/>
        <v>-41.388888888888886</v>
      </c>
      <c r="M63" s="188">
        <f t="shared" si="5"/>
        <v>7.2842766644226953E-2</v>
      </c>
      <c r="N63" s="189">
        <f t="shared" si="6"/>
        <v>0.12496225098668111</v>
      </c>
    </row>
    <row r="64" spans="1:14" hidden="1" outlineLevel="1">
      <c r="A64" s="180"/>
      <c r="B64" s="190" t="s">
        <v>766</v>
      </c>
      <c r="C64" s="186">
        <f t="shared" si="0"/>
        <v>-13.461538461538462</v>
      </c>
      <c r="E64" s="182">
        <v>0</v>
      </c>
      <c r="F64" s="183">
        <v>5</v>
      </c>
      <c r="G64" s="191">
        <f t="shared" si="1"/>
        <v>-100</v>
      </c>
      <c r="H64" s="188" t="str">
        <f t="shared" si="2"/>
        <v/>
      </c>
      <c r="I64" s="188">
        <f t="shared" si="3"/>
        <v>1.4094035404216936E-2</v>
      </c>
      <c r="J64" s="182">
        <v>45</v>
      </c>
      <c r="K64" s="183">
        <v>52</v>
      </c>
      <c r="L64" s="191">
        <f t="shared" si="4"/>
        <v>-13.461538461538462</v>
      </c>
      <c r="M64" s="188">
        <f t="shared" si="5"/>
        <v>1.5535187199005747E-2</v>
      </c>
      <c r="N64" s="189">
        <f t="shared" si="6"/>
        <v>1.8050102920298381E-2</v>
      </c>
    </row>
    <row r="65" spans="1:14" hidden="1" outlineLevel="1">
      <c r="A65" s="180"/>
      <c r="B65" s="190" t="s">
        <v>1015</v>
      </c>
      <c r="C65" s="186">
        <f t="shared" si="0"/>
        <v>-42.857142857142854</v>
      </c>
      <c r="E65" s="182">
        <v>1</v>
      </c>
      <c r="F65" s="183">
        <v>2</v>
      </c>
      <c r="G65" s="191">
        <f t="shared" si="1"/>
        <v>-50</v>
      </c>
      <c r="H65" s="188">
        <f t="shared" si="2"/>
        <v>3.4160005465600878E-3</v>
      </c>
      <c r="I65" s="188">
        <f t="shared" si="3"/>
        <v>5.6376141616867742E-3</v>
      </c>
      <c r="J65" s="182">
        <v>36</v>
      </c>
      <c r="K65" s="183">
        <v>63</v>
      </c>
      <c r="L65" s="191">
        <f t="shared" si="4"/>
        <v>-42.857142857142854</v>
      </c>
      <c r="M65" s="188">
        <f t="shared" si="5"/>
        <v>1.2428149759204598E-2</v>
      </c>
      <c r="N65" s="189">
        <f t="shared" si="6"/>
        <v>2.1868393922669191E-2</v>
      </c>
    </row>
    <row r="66" spans="1:14" hidden="1" outlineLevel="1">
      <c r="A66" s="180"/>
      <c r="B66" s="190" t="s">
        <v>768</v>
      </c>
      <c r="C66" s="186">
        <f t="shared" si="0"/>
        <v>-33.333333333333329</v>
      </c>
      <c r="E66" s="182">
        <v>0</v>
      </c>
      <c r="F66" s="183">
        <v>16</v>
      </c>
      <c r="G66" s="191">
        <f t="shared" si="1"/>
        <v>-100</v>
      </c>
      <c r="H66" s="188" t="str">
        <f t="shared" si="2"/>
        <v/>
      </c>
      <c r="I66" s="188">
        <f t="shared" si="3"/>
        <v>4.5100913293494194E-2</v>
      </c>
      <c r="J66" s="182">
        <v>36</v>
      </c>
      <c r="K66" s="183">
        <v>54</v>
      </c>
      <c r="L66" s="191">
        <f t="shared" si="4"/>
        <v>-33.333333333333329</v>
      </c>
      <c r="M66" s="188">
        <f t="shared" si="5"/>
        <v>1.2428149759204598E-2</v>
      </c>
      <c r="N66" s="189">
        <f t="shared" si="6"/>
        <v>1.8744337648002166E-2</v>
      </c>
    </row>
    <row r="67" spans="1:14" hidden="1" outlineLevel="1">
      <c r="A67" s="180"/>
      <c r="B67" s="190" t="s">
        <v>770</v>
      </c>
      <c r="C67" s="186">
        <f t="shared" si="0"/>
        <v>316.66666666666663</v>
      </c>
      <c r="E67" s="182">
        <v>0</v>
      </c>
      <c r="F67" s="183">
        <v>0</v>
      </c>
      <c r="G67" s="191" t="str">
        <f t="shared" si="1"/>
        <v/>
      </c>
      <c r="H67" s="188" t="str">
        <f t="shared" si="2"/>
        <v/>
      </c>
      <c r="I67" s="188" t="str">
        <f t="shared" si="3"/>
        <v/>
      </c>
      <c r="J67" s="182">
        <v>25</v>
      </c>
      <c r="K67" s="183">
        <v>6</v>
      </c>
      <c r="L67" s="191">
        <f t="shared" si="4"/>
        <v>316.66666666666663</v>
      </c>
      <c r="M67" s="188">
        <f t="shared" si="5"/>
        <v>8.6306595550031933E-3</v>
      </c>
      <c r="N67" s="189">
        <f t="shared" si="6"/>
        <v>2.0827041831113515E-3</v>
      </c>
    </row>
    <row r="68" spans="1:14" hidden="1" outlineLevel="1">
      <c r="A68" s="180"/>
      <c r="B68" s="190" t="s">
        <v>769</v>
      </c>
      <c r="C68" s="186">
        <f t="shared" si="0"/>
        <v>-33.333333333333329</v>
      </c>
      <c r="E68" s="182">
        <v>0</v>
      </c>
      <c r="F68" s="183">
        <v>3</v>
      </c>
      <c r="G68" s="191">
        <f t="shared" si="1"/>
        <v>-100</v>
      </c>
      <c r="H68" s="188" t="str">
        <f t="shared" si="2"/>
        <v/>
      </c>
      <c r="I68" s="188">
        <f t="shared" si="3"/>
        <v>8.4564212425301613E-3</v>
      </c>
      <c r="J68" s="182">
        <v>6</v>
      </c>
      <c r="K68" s="183">
        <v>9</v>
      </c>
      <c r="L68" s="191">
        <f t="shared" si="4"/>
        <v>-33.333333333333329</v>
      </c>
      <c r="M68" s="188">
        <f t="shared" si="5"/>
        <v>2.0713582932007663E-3</v>
      </c>
      <c r="N68" s="189">
        <f t="shared" si="6"/>
        <v>3.1240562746670279E-3</v>
      </c>
    </row>
    <row r="69" spans="1:14" hidden="1" outlineLevel="1">
      <c r="A69" s="180"/>
      <c r="B69" s="190" t="s">
        <v>771</v>
      </c>
      <c r="C69" s="186">
        <f t="shared" si="0"/>
        <v>0</v>
      </c>
      <c r="E69" s="182">
        <v>0</v>
      </c>
      <c r="F69" s="183">
        <v>0</v>
      </c>
      <c r="G69" s="191" t="str">
        <f t="shared" si="1"/>
        <v/>
      </c>
      <c r="H69" s="188" t="str">
        <f t="shared" si="2"/>
        <v/>
      </c>
      <c r="I69" s="188" t="str">
        <f t="shared" si="3"/>
        <v/>
      </c>
      <c r="J69" s="182">
        <v>2</v>
      </c>
      <c r="K69" s="183">
        <v>2</v>
      </c>
      <c r="L69" s="191">
        <f t="shared" si="4"/>
        <v>0</v>
      </c>
      <c r="M69" s="188">
        <f t="shared" si="5"/>
        <v>6.9045276440025548E-4</v>
      </c>
      <c r="N69" s="189">
        <f t="shared" si="6"/>
        <v>6.942347277037839E-4</v>
      </c>
    </row>
    <row r="70" spans="1:14" hidden="1" outlineLevel="1">
      <c r="A70" s="180"/>
      <c r="B70" s="190" t="s">
        <v>767</v>
      </c>
      <c r="C70" s="186">
        <f t="shared" si="0"/>
        <v>-100</v>
      </c>
      <c r="E70" s="182">
        <v>0</v>
      </c>
      <c r="F70" s="183">
        <v>0</v>
      </c>
      <c r="G70" s="191" t="str">
        <f t="shared" si="1"/>
        <v/>
      </c>
      <c r="H70" s="188" t="str">
        <f t="shared" si="2"/>
        <v/>
      </c>
      <c r="I70" s="188" t="str">
        <f t="shared" si="3"/>
        <v/>
      </c>
      <c r="J70" s="182">
        <v>0</v>
      </c>
      <c r="K70" s="183">
        <v>15</v>
      </c>
      <c r="L70" s="191">
        <f t="shared" si="4"/>
        <v>-100</v>
      </c>
      <c r="M70" s="188" t="str">
        <f t="shared" si="5"/>
        <v/>
      </c>
      <c r="N70" s="189">
        <f t="shared" si="6"/>
        <v>5.206760457778379E-3</v>
      </c>
    </row>
    <row r="71" spans="1:14" collapsed="1">
      <c r="A71" s="180" t="s">
        <v>1222</v>
      </c>
      <c r="B71" s="179" t="s">
        <v>291</v>
      </c>
      <c r="C71" s="186">
        <f t="shared" si="0"/>
        <v>121.32593076420639</v>
      </c>
      <c r="E71" s="182">
        <v>1789</v>
      </c>
      <c r="F71" s="183">
        <v>1645</v>
      </c>
      <c r="G71" s="191">
        <f t="shared" si="1"/>
        <v>8.7537993920972639</v>
      </c>
      <c r="H71" s="188">
        <f t="shared" si="2"/>
        <v>6.111224977795997</v>
      </c>
      <c r="I71" s="188">
        <f t="shared" si="3"/>
        <v>4.6369376479873718</v>
      </c>
      <c r="J71" s="182">
        <v>20331</v>
      </c>
      <c r="K71" s="183">
        <v>9186</v>
      </c>
      <c r="L71" s="191">
        <f t="shared" si="4"/>
        <v>121.32593076420639</v>
      </c>
      <c r="M71" s="188">
        <f t="shared" si="5"/>
        <v>7.0187975765107966</v>
      </c>
      <c r="N71" s="189">
        <f t="shared" si="6"/>
        <v>3.1886201043434794</v>
      </c>
    </row>
    <row r="72" spans="1:14" hidden="1" outlineLevel="1">
      <c r="A72" s="180"/>
      <c r="B72" s="190" t="s">
        <v>842</v>
      </c>
      <c r="C72" s="186">
        <f t="shared" si="0"/>
        <v>150.56488549618322</v>
      </c>
      <c r="E72" s="182">
        <v>1098</v>
      </c>
      <c r="F72" s="183">
        <v>1090</v>
      </c>
      <c r="G72" s="191">
        <f t="shared" si="1"/>
        <v>0.73394495412844041</v>
      </c>
      <c r="H72" s="188">
        <f t="shared" si="2"/>
        <v>3.7507686001229756</v>
      </c>
      <c r="I72" s="188">
        <f t="shared" si="3"/>
        <v>3.0724997181192917</v>
      </c>
      <c r="J72" s="182">
        <v>16412</v>
      </c>
      <c r="K72" s="183">
        <v>6550</v>
      </c>
      <c r="L72" s="191">
        <f t="shared" si="4"/>
        <v>150.56488549618322</v>
      </c>
      <c r="M72" s="188">
        <f t="shared" si="5"/>
        <v>5.6658553846684967</v>
      </c>
      <c r="N72" s="189">
        <f t="shared" si="6"/>
        <v>2.2736187332298923</v>
      </c>
    </row>
    <row r="73" spans="1:14" hidden="1" outlineLevel="1">
      <c r="A73" s="180"/>
      <c r="B73" s="190" t="s">
        <v>843</v>
      </c>
      <c r="C73" s="186">
        <f t="shared" si="0"/>
        <v>34.539767649687221</v>
      </c>
      <c r="E73" s="182">
        <v>630</v>
      </c>
      <c r="F73" s="183">
        <v>157</v>
      </c>
      <c r="G73" s="191">
        <f t="shared" si="1"/>
        <v>301.27388535031849</v>
      </c>
      <c r="H73" s="188">
        <f t="shared" si="2"/>
        <v>2.1520803443328553</v>
      </c>
      <c r="I73" s="188">
        <f t="shared" si="3"/>
        <v>0.44255271169241173</v>
      </c>
      <c r="J73" s="182">
        <v>3011</v>
      </c>
      <c r="K73" s="183">
        <v>2238</v>
      </c>
      <c r="L73" s="191">
        <f t="shared" si="4"/>
        <v>34.539767649687221</v>
      </c>
      <c r="M73" s="188">
        <f t="shared" si="5"/>
        <v>1.0394766368045845</v>
      </c>
      <c r="N73" s="189">
        <f t="shared" si="6"/>
        <v>0.77684866030053423</v>
      </c>
    </row>
    <row r="74" spans="1:14" hidden="1" outlineLevel="1">
      <c r="A74" s="180"/>
      <c r="B74" s="190" t="s">
        <v>1041</v>
      </c>
      <c r="C74" s="186">
        <f t="shared" ref="C74:C137" si="7">IF(K74=0,"",SUM(((J74-K74)/K74)*100))</f>
        <v>156.87203791469196</v>
      </c>
      <c r="E74" s="182">
        <v>31</v>
      </c>
      <c r="F74" s="183">
        <v>211</v>
      </c>
      <c r="G74" s="191">
        <f t="shared" ref="G74:G137" si="8">IF(F74=0,"",SUM(((E74-F74)/F74)*100))</f>
        <v>-85.308056872037923</v>
      </c>
      <c r="H74" s="188">
        <f t="shared" ref="H74:H137" si="9">IF(E74=0,"",SUM((E74/CntPeriod)*100))</f>
        <v>0.10589601694336272</v>
      </c>
      <c r="I74" s="188">
        <f t="shared" ref="I74:I137" si="10">IF(F74=0,"",SUM((F74/CntPeriodPrevYear)*100))</f>
        <v>0.59476829405795462</v>
      </c>
      <c r="J74" s="182">
        <v>542</v>
      </c>
      <c r="K74" s="183">
        <v>211</v>
      </c>
      <c r="L74" s="191">
        <f t="shared" ref="L74:L137" si="11">IF(K74=0,"",SUM(((J74-K74)/K74)*100))</f>
        <v>156.87203791469196</v>
      </c>
      <c r="M74" s="188">
        <f t="shared" ref="M74:M137" si="12">IF(J74=0,"",SUM((J74/CntYearAck)*100))</f>
        <v>0.18711269915246923</v>
      </c>
      <c r="N74" s="189">
        <f t="shared" ref="N74:N137" si="13">IF(K74=0,"",SUM((K74/CntPrevYearAck)*100))</f>
        <v>7.3241763772749213E-2</v>
      </c>
    </row>
    <row r="75" spans="1:14" hidden="1" outlineLevel="1">
      <c r="A75" s="180"/>
      <c r="B75" s="190" t="s">
        <v>844</v>
      </c>
      <c r="C75" s="186">
        <f t="shared" si="7"/>
        <v>95.721925133689851</v>
      </c>
      <c r="E75" s="182">
        <v>30</v>
      </c>
      <c r="F75" s="183">
        <v>187</v>
      </c>
      <c r="G75" s="191">
        <f t="shared" si="8"/>
        <v>-83.957219251336895</v>
      </c>
      <c r="H75" s="188">
        <f t="shared" si="9"/>
        <v>0.10248001639680263</v>
      </c>
      <c r="I75" s="188">
        <f t="shared" si="10"/>
        <v>0.52711692411771338</v>
      </c>
      <c r="J75" s="182">
        <v>366</v>
      </c>
      <c r="K75" s="183">
        <v>187</v>
      </c>
      <c r="L75" s="191">
        <f t="shared" si="11"/>
        <v>95.721925133689851</v>
      </c>
      <c r="M75" s="188">
        <f t="shared" si="12"/>
        <v>0.12635285588524675</v>
      </c>
      <c r="N75" s="189">
        <f t="shared" si="13"/>
        <v>6.4910947040303799E-2</v>
      </c>
    </row>
    <row r="76" spans="1:14" collapsed="1">
      <c r="A76" s="180" t="s">
        <v>1161</v>
      </c>
      <c r="B76" s="179" t="s">
        <v>259</v>
      </c>
      <c r="C76" s="186">
        <f t="shared" si="7"/>
        <v>33.624044976214499</v>
      </c>
      <c r="E76" s="182">
        <v>2205</v>
      </c>
      <c r="F76" s="183">
        <v>1780</v>
      </c>
      <c r="G76" s="191">
        <f t="shared" si="8"/>
        <v>23.876404494382022</v>
      </c>
      <c r="H76" s="188">
        <f t="shared" si="9"/>
        <v>7.5322812051649919</v>
      </c>
      <c r="I76" s="188">
        <f t="shared" si="10"/>
        <v>5.0174766039012288</v>
      </c>
      <c r="J76" s="182">
        <v>18539</v>
      </c>
      <c r="K76" s="183">
        <v>13874</v>
      </c>
      <c r="L76" s="191">
        <f t="shared" si="11"/>
        <v>33.624044976214499</v>
      </c>
      <c r="M76" s="188">
        <f t="shared" si="12"/>
        <v>6.4001518996081685</v>
      </c>
      <c r="N76" s="189">
        <f t="shared" si="13"/>
        <v>4.8159063060811489</v>
      </c>
    </row>
    <row r="77" spans="1:14" hidden="1" outlineLevel="1">
      <c r="A77" s="180"/>
      <c r="B77" s="190" t="s">
        <v>815</v>
      </c>
      <c r="C77" s="186">
        <f t="shared" si="7"/>
        <v>103.27188940092167</v>
      </c>
      <c r="E77" s="182">
        <v>655</v>
      </c>
      <c r="F77" s="183">
        <v>291</v>
      </c>
      <c r="G77" s="191">
        <f t="shared" si="8"/>
        <v>125.08591065292096</v>
      </c>
      <c r="H77" s="188">
        <f t="shared" si="9"/>
        <v>2.2374803579968572</v>
      </c>
      <c r="I77" s="188">
        <f t="shared" si="10"/>
        <v>0.82027286052542558</v>
      </c>
      <c r="J77" s="182">
        <v>4411</v>
      </c>
      <c r="K77" s="183">
        <v>2170</v>
      </c>
      <c r="L77" s="191">
        <f t="shared" si="11"/>
        <v>103.27188940092167</v>
      </c>
      <c r="M77" s="188">
        <f t="shared" si="12"/>
        <v>1.5227935718847634</v>
      </c>
      <c r="N77" s="189">
        <f t="shared" si="13"/>
        <v>0.75324467955860552</v>
      </c>
    </row>
    <row r="78" spans="1:14" hidden="1" outlineLevel="1">
      <c r="A78" s="180"/>
      <c r="B78" s="190" t="s">
        <v>818</v>
      </c>
      <c r="C78" s="186">
        <f t="shared" si="7"/>
        <v>17.689822294022616</v>
      </c>
      <c r="E78" s="182">
        <v>326</v>
      </c>
      <c r="F78" s="183">
        <v>530</v>
      </c>
      <c r="G78" s="191">
        <f t="shared" si="8"/>
        <v>-38.490566037735853</v>
      </c>
      <c r="H78" s="188">
        <f t="shared" si="9"/>
        <v>1.1136161781785885</v>
      </c>
      <c r="I78" s="188">
        <f t="shared" si="10"/>
        <v>1.4939677528469952</v>
      </c>
      <c r="J78" s="182">
        <v>2914</v>
      </c>
      <c r="K78" s="183">
        <v>2476</v>
      </c>
      <c r="L78" s="191">
        <f t="shared" si="11"/>
        <v>17.689822294022616</v>
      </c>
      <c r="M78" s="188">
        <f t="shared" si="12"/>
        <v>1.0059896777311723</v>
      </c>
      <c r="N78" s="189">
        <f t="shared" si="13"/>
        <v>0.85946259289728444</v>
      </c>
    </row>
    <row r="79" spans="1:14" hidden="1" outlineLevel="1">
      <c r="A79" s="180"/>
      <c r="B79" s="190" t="s">
        <v>816</v>
      </c>
      <c r="C79" s="186">
        <f t="shared" si="7"/>
        <v>66.34062140391255</v>
      </c>
      <c r="E79" s="182">
        <v>363</v>
      </c>
      <c r="F79" s="183">
        <v>234</v>
      </c>
      <c r="G79" s="191">
        <f t="shared" si="8"/>
        <v>55.128205128205131</v>
      </c>
      <c r="H79" s="188">
        <f t="shared" si="9"/>
        <v>1.2400081984013118</v>
      </c>
      <c r="I79" s="188">
        <f t="shared" si="10"/>
        <v>0.6596008569173526</v>
      </c>
      <c r="J79" s="182">
        <v>2891</v>
      </c>
      <c r="K79" s="183">
        <v>1738</v>
      </c>
      <c r="L79" s="191">
        <f t="shared" si="11"/>
        <v>66.34062140391255</v>
      </c>
      <c r="M79" s="188">
        <f t="shared" si="12"/>
        <v>0.99804947094056939</v>
      </c>
      <c r="N79" s="189">
        <f t="shared" si="13"/>
        <v>0.6032899783745882</v>
      </c>
    </row>
    <row r="80" spans="1:14" hidden="1" outlineLevel="1">
      <c r="A80" s="180"/>
      <c r="B80" s="190" t="s">
        <v>814</v>
      </c>
      <c r="C80" s="186">
        <f t="shared" si="7"/>
        <v>41.955617198335645</v>
      </c>
      <c r="E80" s="182">
        <v>268</v>
      </c>
      <c r="F80" s="183">
        <v>60</v>
      </c>
      <c r="G80" s="191">
        <f t="shared" si="8"/>
        <v>346.66666666666669</v>
      </c>
      <c r="H80" s="188">
        <f t="shared" si="9"/>
        <v>0.9154881464781035</v>
      </c>
      <c r="I80" s="188">
        <f t="shared" si="10"/>
        <v>0.16912842485060323</v>
      </c>
      <c r="J80" s="182">
        <v>2047</v>
      </c>
      <c r="K80" s="183">
        <v>1442</v>
      </c>
      <c r="L80" s="191">
        <f t="shared" si="11"/>
        <v>41.955617198335645</v>
      </c>
      <c r="M80" s="188">
        <f t="shared" si="12"/>
        <v>0.70667840436366147</v>
      </c>
      <c r="N80" s="189">
        <f t="shared" si="13"/>
        <v>0.50054323867442818</v>
      </c>
    </row>
    <row r="81" spans="1:14" hidden="1" outlineLevel="1">
      <c r="A81" s="180"/>
      <c r="B81" s="190" t="s">
        <v>822</v>
      </c>
      <c r="C81" s="186">
        <f t="shared" si="7"/>
        <v>73.198847262247838</v>
      </c>
      <c r="E81" s="182">
        <v>121</v>
      </c>
      <c r="F81" s="183">
        <v>54</v>
      </c>
      <c r="G81" s="191">
        <f t="shared" si="8"/>
        <v>124.07407407407408</v>
      </c>
      <c r="H81" s="188">
        <f t="shared" si="9"/>
        <v>0.41333606613377061</v>
      </c>
      <c r="I81" s="188">
        <f t="shared" si="10"/>
        <v>0.15221558236554292</v>
      </c>
      <c r="J81" s="182">
        <v>1202</v>
      </c>
      <c r="K81" s="183">
        <v>694</v>
      </c>
      <c r="L81" s="191">
        <f t="shared" si="11"/>
        <v>73.198847262247838</v>
      </c>
      <c r="M81" s="188">
        <f t="shared" si="12"/>
        <v>0.41496211140455352</v>
      </c>
      <c r="N81" s="189">
        <f t="shared" si="13"/>
        <v>0.24089945051321304</v>
      </c>
    </row>
    <row r="82" spans="1:14" hidden="1" outlineLevel="1">
      <c r="A82" s="180"/>
      <c r="B82" s="190" t="s">
        <v>817</v>
      </c>
      <c r="C82" s="186">
        <f t="shared" si="7"/>
        <v>-27.841945288753799</v>
      </c>
      <c r="E82" s="182">
        <v>96</v>
      </c>
      <c r="F82" s="183">
        <v>193</v>
      </c>
      <c r="G82" s="191">
        <f t="shared" si="8"/>
        <v>-50.259067357512954</v>
      </c>
      <c r="H82" s="188">
        <f t="shared" si="9"/>
        <v>0.32793605246976842</v>
      </c>
      <c r="I82" s="188">
        <f t="shared" si="10"/>
        <v>0.5440297666027738</v>
      </c>
      <c r="J82" s="182">
        <v>1187</v>
      </c>
      <c r="K82" s="183">
        <v>1645</v>
      </c>
      <c r="L82" s="191">
        <f t="shared" si="11"/>
        <v>-27.841945288753799</v>
      </c>
      <c r="M82" s="188">
        <f t="shared" si="12"/>
        <v>0.40978371567155164</v>
      </c>
      <c r="N82" s="189">
        <f t="shared" si="13"/>
        <v>0.57100806353636235</v>
      </c>
    </row>
    <row r="83" spans="1:14" hidden="1" outlineLevel="1">
      <c r="A83" s="180"/>
      <c r="B83" s="190" t="s">
        <v>819</v>
      </c>
      <c r="C83" s="186">
        <f t="shared" si="7"/>
        <v>6.2152133580705007</v>
      </c>
      <c r="E83" s="182">
        <v>142</v>
      </c>
      <c r="F83" s="183">
        <v>101</v>
      </c>
      <c r="G83" s="191">
        <f t="shared" si="8"/>
        <v>40.594059405940598</v>
      </c>
      <c r="H83" s="188">
        <f t="shared" si="9"/>
        <v>0.48507207761153243</v>
      </c>
      <c r="I83" s="188">
        <f t="shared" si="10"/>
        <v>0.2846995151651821</v>
      </c>
      <c r="J83" s="182">
        <v>1145</v>
      </c>
      <c r="K83" s="183">
        <v>1078</v>
      </c>
      <c r="L83" s="191">
        <f t="shared" si="11"/>
        <v>6.2152133580705007</v>
      </c>
      <c r="M83" s="188">
        <f t="shared" si="12"/>
        <v>0.39528420761914629</v>
      </c>
      <c r="N83" s="189">
        <f t="shared" si="13"/>
        <v>0.37419251823233951</v>
      </c>
    </row>
    <row r="84" spans="1:14" hidden="1" outlineLevel="1">
      <c r="A84" s="180"/>
      <c r="B84" s="190" t="s">
        <v>820</v>
      </c>
      <c r="C84" s="186">
        <f t="shared" si="7"/>
        <v>40.263543191800878</v>
      </c>
      <c r="E84" s="182">
        <v>92</v>
      </c>
      <c r="F84" s="183">
        <v>87</v>
      </c>
      <c r="G84" s="191">
        <f t="shared" si="8"/>
        <v>5.7471264367816088</v>
      </c>
      <c r="H84" s="188">
        <f t="shared" si="9"/>
        <v>0.314272050283528</v>
      </c>
      <c r="I84" s="188">
        <f t="shared" si="10"/>
        <v>0.24523621603337467</v>
      </c>
      <c r="J84" s="182">
        <v>958</v>
      </c>
      <c r="K84" s="183">
        <v>683</v>
      </c>
      <c r="L84" s="191">
        <f t="shared" si="11"/>
        <v>40.263543191800878</v>
      </c>
      <c r="M84" s="188">
        <f t="shared" si="12"/>
        <v>0.33072687414772239</v>
      </c>
      <c r="N84" s="189">
        <f t="shared" si="13"/>
        <v>0.23708115951084222</v>
      </c>
    </row>
    <row r="85" spans="1:14" hidden="1" outlineLevel="1">
      <c r="A85" s="180"/>
      <c r="B85" s="190" t="s">
        <v>823</v>
      </c>
      <c r="C85" s="186">
        <f t="shared" si="7"/>
        <v>1.935483870967742</v>
      </c>
      <c r="E85" s="182">
        <v>17</v>
      </c>
      <c r="F85" s="183">
        <v>78</v>
      </c>
      <c r="G85" s="191">
        <f t="shared" si="8"/>
        <v>-78.205128205128204</v>
      </c>
      <c r="H85" s="188">
        <f t="shared" si="9"/>
        <v>5.8072009291521488E-2</v>
      </c>
      <c r="I85" s="188">
        <f t="shared" si="10"/>
        <v>0.21986695230578418</v>
      </c>
      <c r="J85" s="182">
        <v>474</v>
      </c>
      <c r="K85" s="183">
        <v>465</v>
      </c>
      <c r="L85" s="191">
        <f t="shared" si="11"/>
        <v>1.935483870967742</v>
      </c>
      <c r="M85" s="188">
        <f t="shared" si="12"/>
        <v>0.16363730516286054</v>
      </c>
      <c r="N85" s="189">
        <f t="shared" si="13"/>
        <v>0.16140957419112978</v>
      </c>
    </row>
    <row r="86" spans="1:14" hidden="1" outlineLevel="1">
      <c r="A86" s="180"/>
      <c r="B86" s="190" t="s">
        <v>821</v>
      </c>
      <c r="C86" s="186">
        <f t="shared" si="7"/>
        <v>-29.186602870813399</v>
      </c>
      <c r="E86" s="182">
        <v>15</v>
      </c>
      <c r="F86" s="183">
        <v>29</v>
      </c>
      <c r="G86" s="191">
        <f t="shared" si="8"/>
        <v>-48.275862068965516</v>
      </c>
      <c r="H86" s="188">
        <f t="shared" si="9"/>
        <v>5.1240008198401313E-2</v>
      </c>
      <c r="I86" s="188">
        <f t="shared" si="10"/>
        <v>8.1745405344458219E-2</v>
      </c>
      <c r="J86" s="182">
        <v>444</v>
      </c>
      <c r="K86" s="183">
        <v>627</v>
      </c>
      <c r="L86" s="191">
        <f t="shared" si="11"/>
        <v>-29.186602870813399</v>
      </c>
      <c r="M86" s="188">
        <f t="shared" si="12"/>
        <v>0.15328051369685672</v>
      </c>
      <c r="N86" s="189">
        <f t="shared" si="13"/>
        <v>0.21764258713513626</v>
      </c>
    </row>
    <row r="87" spans="1:14" hidden="1" outlineLevel="1">
      <c r="A87" s="180"/>
      <c r="B87" s="190" t="s">
        <v>824</v>
      </c>
      <c r="C87" s="186">
        <f t="shared" si="7"/>
        <v>19.93127147766323</v>
      </c>
      <c r="E87" s="182">
        <v>56</v>
      </c>
      <c r="F87" s="183">
        <v>55</v>
      </c>
      <c r="G87" s="191">
        <f t="shared" si="8"/>
        <v>1.8181818181818181</v>
      </c>
      <c r="H87" s="188">
        <f t="shared" si="9"/>
        <v>0.19129603060736491</v>
      </c>
      <c r="I87" s="188">
        <f t="shared" si="10"/>
        <v>0.15503438944638628</v>
      </c>
      <c r="J87" s="182">
        <v>349</v>
      </c>
      <c r="K87" s="183">
        <v>291</v>
      </c>
      <c r="L87" s="191">
        <f t="shared" si="11"/>
        <v>19.93127147766323</v>
      </c>
      <c r="M87" s="188">
        <f t="shared" si="12"/>
        <v>0.12048400738784459</v>
      </c>
      <c r="N87" s="189">
        <f t="shared" si="13"/>
        <v>0.10101115288090057</v>
      </c>
    </row>
    <row r="88" spans="1:14" hidden="1" outlineLevel="1">
      <c r="A88" s="180"/>
      <c r="B88" s="190" t="s">
        <v>827</v>
      </c>
      <c r="C88" s="186">
        <f t="shared" si="7"/>
        <v>51.41242937853108</v>
      </c>
      <c r="E88" s="182">
        <v>27</v>
      </c>
      <c r="F88" s="183">
        <v>31</v>
      </c>
      <c r="G88" s="191">
        <f t="shared" si="8"/>
        <v>-12.903225806451612</v>
      </c>
      <c r="H88" s="188">
        <f t="shared" si="9"/>
        <v>9.2232014757122366E-2</v>
      </c>
      <c r="I88" s="188">
        <f t="shared" si="10"/>
        <v>8.7383019506144993E-2</v>
      </c>
      <c r="J88" s="182">
        <v>268</v>
      </c>
      <c r="K88" s="183">
        <v>177</v>
      </c>
      <c r="L88" s="191">
        <f t="shared" si="11"/>
        <v>51.41242937853108</v>
      </c>
      <c r="M88" s="188">
        <f t="shared" si="12"/>
        <v>9.252067042963423E-2</v>
      </c>
      <c r="N88" s="189">
        <f t="shared" si="13"/>
        <v>6.1439773401784879E-2</v>
      </c>
    </row>
    <row r="89" spans="1:14" hidden="1" outlineLevel="1">
      <c r="A89" s="180"/>
      <c r="B89" s="190" t="s">
        <v>825</v>
      </c>
      <c r="C89" s="186">
        <f t="shared" si="7"/>
        <v>-55.769230769230774</v>
      </c>
      <c r="E89" s="182">
        <v>13</v>
      </c>
      <c r="F89" s="183">
        <v>26</v>
      </c>
      <c r="G89" s="191">
        <f t="shared" si="8"/>
        <v>-50</v>
      </c>
      <c r="H89" s="188">
        <f t="shared" si="9"/>
        <v>4.4408007105281137E-2</v>
      </c>
      <c r="I89" s="188">
        <f t="shared" si="10"/>
        <v>7.3288984101928065E-2</v>
      </c>
      <c r="J89" s="182">
        <v>69</v>
      </c>
      <c r="K89" s="183">
        <v>156</v>
      </c>
      <c r="L89" s="191">
        <f t="shared" si="11"/>
        <v>-55.769230769230774</v>
      </c>
      <c r="M89" s="188">
        <f t="shared" si="12"/>
        <v>2.3820620371808814E-2</v>
      </c>
      <c r="N89" s="189">
        <f t="shared" si="13"/>
        <v>5.4150308760895147E-2</v>
      </c>
    </row>
    <row r="90" spans="1:14" hidden="1" outlineLevel="1">
      <c r="A90" s="180"/>
      <c r="B90" s="190" t="s">
        <v>828</v>
      </c>
      <c r="C90" s="186">
        <f t="shared" si="7"/>
        <v>50</v>
      </c>
      <c r="E90" s="182">
        <v>5</v>
      </c>
      <c r="F90" s="183">
        <v>5</v>
      </c>
      <c r="G90" s="191">
        <f t="shared" si="8"/>
        <v>0</v>
      </c>
      <c r="H90" s="188">
        <f t="shared" si="9"/>
        <v>1.7080002732800435E-2</v>
      </c>
      <c r="I90" s="188">
        <f t="shared" si="10"/>
        <v>1.4094035404216936E-2</v>
      </c>
      <c r="J90" s="182">
        <v>69</v>
      </c>
      <c r="K90" s="183">
        <v>46</v>
      </c>
      <c r="L90" s="191">
        <f t="shared" si="11"/>
        <v>50</v>
      </c>
      <c r="M90" s="188">
        <f t="shared" si="12"/>
        <v>2.3820620371808814E-2</v>
      </c>
      <c r="N90" s="189">
        <f t="shared" si="13"/>
        <v>1.5967398737187031E-2</v>
      </c>
    </row>
    <row r="91" spans="1:14" hidden="1" outlineLevel="1">
      <c r="A91" s="180"/>
      <c r="B91" s="190" t="s">
        <v>826</v>
      </c>
      <c r="C91" s="186">
        <f t="shared" si="7"/>
        <v>-57.599999999999994</v>
      </c>
      <c r="E91" s="182">
        <v>3</v>
      </c>
      <c r="F91" s="183">
        <v>0</v>
      </c>
      <c r="G91" s="191" t="str">
        <f t="shared" si="8"/>
        <v/>
      </c>
      <c r="H91" s="188">
        <f t="shared" si="9"/>
        <v>1.0248001639680263E-2</v>
      </c>
      <c r="I91" s="188" t="str">
        <f t="shared" si="10"/>
        <v/>
      </c>
      <c r="J91" s="182">
        <v>53</v>
      </c>
      <c r="K91" s="183">
        <v>125</v>
      </c>
      <c r="L91" s="191">
        <f t="shared" si="11"/>
        <v>-57.599999999999994</v>
      </c>
      <c r="M91" s="188">
        <f t="shared" si="12"/>
        <v>1.8296998256606772E-2</v>
      </c>
      <c r="N91" s="189">
        <f t="shared" si="13"/>
        <v>4.3389670481486495E-2</v>
      </c>
    </row>
    <row r="92" spans="1:14" hidden="1" outlineLevel="1">
      <c r="A92" s="180"/>
      <c r="B92" s="190" t="s">
        <v>831</v>
      </c>
      <c r="C92" s="186">
        <f t="shared" si="7"/>
        <v>140</v>
      </c>
      <c r="E92" s="182">
        <v>2</v>
      </c>
      <c r="F92" s="183">
        <v>1</v>
      </c>
      <c r="G92" s="191">
        <f t="shared" si="8"/>
        <v>100</v>
      </c>
      <c r="H92" s="188">
        <f t="shared" si="9"/>
        <v>6.8320010931201755E-3</v>
      </c>
      <c r="I92" s="188">
        <f t="shared" si="10"/>
        <v>2.8188070808433871E-3</v>
      </c>
      <c r="J92" s="182">
        <v>24</v>
      </c>
      <c r="K92" s="183">
        <v>10</v>
      </c>
      <c r="L92" s="191">
        <f t="shared" si="11"/>
        <v>140</v>
      </c>
      <c r="M92" s="188">
        <f t="shared" si="12"/>
        <v>8.2854331728030653E-3</v>
      </c>
      <c r="N92" s="189">
        <f t="shared" si="13"/>
        <v>3.4711736385189193E-3</v>
      </c>
    </row>
    <row r="93" spans="1:14" hidden="1" outlineLevel="1">
      <c r="A93" s="180"/>
      <c r="B93" s="190" t="s">
        <v>829</v>
      </c>
      <c r="C93" s="186">
        <f t="shared" si="7"/>
        <v>-13.636363636363635</v>
      </c>
      <c r="E93" s="182">
        <v>0</v>
      </c>
      <c r="F93" s="183">
        <v>2</v>
      </c>
      <c r="G93" s="191">
        <f t="shared" si="8"/>
        <v>-100</v>
      </c>
      <c r="H93" s="188" t="str">
        <f t="shared" si="9"/>
        <v/>
      </c>
      <c r="I93" s="188">
        <f t="shared" si="10"/>
        <v>5.6376141616867742E-3</v>
      </c>
      <c r="J93" s="182">
        <v>19</v>
      </c>
      <c r="K93" s="183">
        <v>22</v>
      </c>
      <c r="L93" s="191">
        <f t="shared" si="11"/>
        <v>-13.636363636363635</v>
      </c>
      <c r="M93" s="188">
        <f t="shared" si="12"/>
        <v>6.559301261802427E-3</v>
      </c>
      <c r="N93" s="189">
        <f t="shared" si="13"/>
        <v>7.6365820047416232E-3</v>
      </c>
    </row>
    <row r="94" spans="1:14" hidden="1" outlineLevel="1">
      <c r="A94" s="180"/>
      <c r="B94" s="190" t="s">
        <v>830</v>
      </c>
      <c r="C94" s="186">
        <f t="shared" si="7"/>
        <v>-56.25</v>
      </c>
      <c r="E94" s="182">
        <v>2</v>
      </c>
      <c r="F94" s="183">
        <v>3</v>
      </c>
      <c r="G94" s="191">
        <f t="shared" si="8"/>
        <v>-33.333333333333329</v>
      </c>
      <c r="H94" s="188">
        <f t="shared" si="9"/>
        <v>6.8320010931201755E-3</v>
      </c>
      <c r="I94" s="188">
        <f t="shared" si="10"/>
        <v>8.4564212425301613E-3</v>
      </c>
      <c r="J94" s="182">
        <v>7</v>
      </c>
      <c r="K94" s="183">
        <v>16</v>
      </c>
      <c r="L94" s="191">
        <f t="shared" si="11"/>
        <v>-56.25</v>
      </c>
      <c r="M94" s="188">
        <f t="shared" si="12"/>
        <v>2.4165846754008939E-3</v>
      </c>
      <c r="N94" s="189">
        <f t="shared" si="13"/>
        <v>5.5538778216302712E-3</v>
      </c>
    </row>
    <row r="95" spans="1:14" hidden="1" outlineLevel="1">
      <c r="A95" s="180"/>
      <c r="B95" s="190" t="s">
        <v>832</v>
      </c>
      <c r="C95" s="186">
        <f t="shared" si="7"/>
        <v>-63.636363636363633</v>
      </c>
      <c r="E95" s="182">
        <v>1</v>
      </c>
      <c r="F95" s="183">
        <v>0</v>
      </c>
      <c r="G95" s="191" t="str">
        <f t="shared" si="8"/>
        <v/>
      </c>
      <c r="H95" s="188">
        <f t="shared" si="9"/>
        <v>3.4160005465600878E-3</v>
      </c>
      <c r="I95" s="188" t="str">
        <f t="shared" si="10"/>
        <v/>
      </c>
      <c r="J95" s="182">
        <v>4</v>
      </c>
      <c r="K95" s="183">
        <v>11</v>
      </c>
      <c r="L95" s="191">
        <f t="shared" si="11"/>
        <v>-63.636363636363633</v>
      </c>
      <c r="M95" s="188">
        <f t="shared" si="12"/>
        <v>1.380905528800511E-3</v>
      </c>
      <c r="N95" s="189">
        <f t="shared" si="13"/>
        <v>3.8182910023708116E-3</v>
      </c>
    </row>
    <row r="96" spans="1:14" hidden="1" outlineLevel="1">
      <c r="A96" s="180"/>
      <c r="B96" s="190" t="s">
        <v>1187</v>
      </c>
      <c r="C96" s="186">
        <f t="shared" si="7"/>
        <v>200</v>
      </c>
      <c r="E96" s="182">
        <v>1</v>
      </c>
      <c r="F96" s="183">
        <v>0</v>
      </c>
      <c r="G96" s="191" t="str">
        <f t="shared" si="8"/>
        <v/>
      </c>
      <c r="H96" s="188">
        <f t="shared" si="9"/>
        <v>3.4160005465600878E-3</v>
      </c>
      <c r="I96" s="188" t="str">
        <f t="shared" si="10"/>
        <v/>
      </c>
      <c r="J96" s="182">
        <v>3</v>
      </c>
      <c r="K96" s="183">
        <v>1</v>
      </c>
      <c r="L96" s="191">
        <f t="shared" si="11"/>
        <v>200</v>
      </c>
      <c r="M96" s="188">
        <f t="shared" si="12"/>
        <v>1.0356791466003832E-3</v>
      </c>
      <c r="N96" s="189">
        <f t="shared" si="13"/>
        <v>3.4711736385189195E-4</v>
      </c>
    </row>
    <row r="97" spans="1:14" hidden="1" outlineLevel="1">
      <c r="A97" s="180"/>
      <c r="B97" s="190" t="s">
        <v>833</v>
      </c>
      <c r="C97" s="186">
        <f t="shared" si="7"/>
        <v>0</v>
      </c>
      <c r="E97" s="182">
        <v>0</v>
      </c>
      <c r="F97" s="183">
        <v>0</v>
      </c>
      <c r="G97" s="191" t="str">
        <f t="shared" si="8"/>
        <v/>
      </c>
      <c r="H97" s="188" t="str">
        <f t="shared" si="9"/>
        <v/>
      </c>
      <c r="I97" s="188" t="str">
        <f t="shared" si="10"/>
        <v/>
      </c>
      <c r="J97" s="182">
        <v>1</v>
      </c>
      <c r="K97" s="183">
        <v>1</v>
      </c>
      <c r="L97" s="191">
        <f t="shared" si="11"/>
        <v>0</v>
      </c>
      <c r="M97" s="188">
        <f t="shared" si="12"/>
        <v>3.4522638220012774E-4</v>
      </c>
      <c r="N97" s="189">
        <f t="shared" si="13"/>
        <v>3.4711736385189195E-4</v>
      </c>
    </row>
    <row r="98" spans="1:14" collapsed="1">
      <c r="A98" s="180" t="s">
        <v>1162</v>
      </c>
      <c r="B98" s="179" t="s">
        <v>261</v>
      </c>
      <c r="C98" s="186">
        <f t="shared" si="7"/>
        <v>-5.8322767614562583</v>
      </c>
      <c r="E98" s="182">
        <v>1366</v>
      </c>
      <c r="F98" s="183">
        <v>1573</v>
      </c>
      <c r="G98" s="191">
        <f t="shared" si="8"/>
        <v>-13.159567705022251</v>
      </c>
      <c r="H98" s="188">
        <f t="shared" si="9"/>
        <v>4.6662567466010794</v>
      </c>
      <c r="I98" s="188">
        <f t="shared" si="10"/>
        <v>4.4339835381666477</v>
      </c>
      <c r="J98" s="182">
        <v>15597</v>
      </c>
      <c r="K98" s="183">
        <v>16563</v>
      </c>
      <c r="L98" s="191">
        <f t="shared" si="11"/>
        <v>-5.8322767614562583</v>
      </c>
      <c r="M98" s="188">
        <f t="shared" si="12"/>
        <v>5.3844958831753917</v>
      </c>
      <c r="N98" s="189">
        <f t="shared" si="13"/>
        <v>5.7493048974788863</v>
      </c>
    </row>
    <row r="99" spans="1:14" hidden="1" outlineLevel="1">
      <c r="A99" s="180"/>
      <c r="B99" s="190" t="s">
        <v>777</v>
      </c>
      <c r="C99" s="186">
        <f t="shared" si="7"/>
        <v>195.99697885196375</v>
      </c>
      <c r="E99" s="182">
        <v>369</v>
      </c>
      <c r="F99" s="183">
        <v>172</v>
      </c>
      <c r="G99" s="191">
        <f t="shared" si="8"/>
        <v>114.53488372093024</v>
      </c>
      <c r="H99" s="188">
        <f t="shared" si="9"/>
        <v>1.2605042016806722</v>
      </c>
      <c r="I99" s="188">
        <f t="shared" si="10"/>
        <v>0.48483481790506255</v>
      </c>
      <c r="J99" s="182">
        <v>3919</v>
      </c>
      <c r="K99" s="183">
        <v>1324</v>
      </c>
      <c r="L99" s="191">
        <f t="shared" si="11"/>
        <v>195.99697885196375</v>
      </c>
      <c r="M99" s="188">
        <f t="shared" si="12"/>
        <v>1.3529421918423006</v>
      </c>
      <c r="N99" s="189">
        <f t="shared" si="13"/>
        <v>0.45958338973990498</v>
      </c>
    </row>
    <row r="100" spans="1:14" hidden="1" outlineLevel="1">
      <c r="A100" s="180"/>
      <c r="B100" s="190" t="s">
        <v>776</v>
      </c>
      <c r="C100" s="186">
        <f t="shared" si="7"/>
        <v>107.49588138385502</v>
      </c>
      <c r="E100" s="182">
        <v>288</v>
      </c>
      <c r="F100" s="183">
        <v>163</v>
      </c>
      <c r="G100" s="191">
        <f t="shared" si="8"/>
        <v>76.687116564417181</v>
      </c>
      <c r="H100" s="188">
        <f t="shared" si="9"/>
        <v>0.98380815740930516</v>
      </c>
      <c r="I100" s="188">
        <f t="shared" si="10"/>
        <v>0.45946555417747209</v>
      </c>
      <c r="J100" s="182">
        <v>2519</v>
      </c>
      <c r="K100" s="183">
        <v>1214</v>
      </c>
      <c r="L100" s="191">
        <f t="shared" si="11"/>
        <v>107.49588138385502</v>
      </c>
      <c r="M100" s="188">
        <f t="shared" si="12"/>
        <v>0.86962525676212177</v>
      </c>
      <c r="N100" s="189">
        <f t="shared" si="13"/>
        <v>0.42140047971619687</v>
      </c>
    </row>
    <row r="101" spans="1:14" hidden="1" outlineLevel="1">
      <c r="A101" s="180"/>
      <c r="B101" s="190" t="s">
        <v>772</v>
      </c>
      <c r="C101" s="186">
        <f t="shared" si="7"/>
        <v>-40.040650406504064</v>
      </c>
      <c r="E101" s="182">
        <v>136</v>
      </c>
      <c r="F101" s="183">
        <v>255</v>
      </c>
      <c r="G101" s="191">
        <f t="shared" si="8"/>
        <v>-46.666666666666664</v>
      </c>
      <c r="H101" s="188">
        <f t="shared" si="9"/>
        <v>0.46457607433217191</v>
      </c>
      <c r="I101" s="188">
        <f t="shared" si="10"/>
        <v>0.71879580561506373</v>
      </c>
      <c r="J101" s="182">
        <v>1770</v>
      </c>
      <c r="K101" s="183">
        <v>2952</v>
      </c>
      <c r="L101" s="191">
        <f t="shared" si="11"/>
        <v>-40.040650406504064</v>
      </c>
      <c r="M101" s="188">
        <f t="shared" si="12"/>
        <v>0.61105069649422605</v>
      </c>
      <c r="N101" s="189">
        <f t="shared" si="13"/>
        <v>1.024690458090785</v>
      </c>
    </row>
    <row r="102" spans="1:14" hidden="1" outlineLevel="1">
      <c r="A102" s="180"/>
      <c r="B102" s="190" t="s">
        <v>773</v>
      </c>
      <c r="C102" s="186">
        <f t="shared" si="7"/>
        <v>-35.237028742067942</v>
      </c>
      <c r="E102" s="182">
        <v>149</v>
      </c>
      <c r="F102" s="183">
        <v>244</v>
      </c>
      <c r="G102" s="191">
        <f t="shared" si="8"/>
        <v>-38.934426229508198</v>
      </c>
      <c r="H102" s="188">
        <f t="shared" si="9"/>
        <v>0.508984081437453</v>
      </c>
      <c r="I102" s="188">
        <f t="shared" si="10"/>
        <v>0.68778892772578637</v>
      </c>
      <c r="J102" s="182">
        <v>1735</v>
      </c>
      <c r="K102" s="183">
        <v>2679</v>
      </c>
      <c r="L102" s="191">
        <f t="shared" si="11"/>
        <v>-35.237028742067942</v>
      </c>
      <c r="M102" s="188">
        <f t="shared" si="12"/>
        <v>0.5989677731172216</v>
      </c>
      <c r="N102" s="189">
        <f t="shared" si="13"/>
        <v>0.9299274177592185</v>
      </c>
    </row>
    <row r="103" spans="1:14" hidden="1" outlineLevel="1">
      <c r="A103" s="180"/>
      <c r="B103" s="190" t="s">
        <v>775</v>
      </c>
      <c r="C103" s="186">
        <f t="shared" si="7"/>
        <v>-24.198792382721784</v>
      </c>
      <c r="E103" s="182">
        <v>103</v>
      </c>
      <c r="F103" s="183">
        <v>334</v>
      </c>
      <c r="G103" s="191">
        <f t="shared" si="8"/>
        <v>-69.161676646706582</v>
      </c>
      <c r="H103" s="188">
        <f t="shared" si="9"/>
        <v>0.35184805629568899</v>
      </c>
      <c r="I103" s="188">
        <f t="shared" si="10"/>
        <v>0.94148156500169133</v>
      </c>
      <c r="J103" s="182">
        <v>1632</v>
      </c>
      <c r="K103" s="183">
        <v>2153</v>
      </c>
      <c r="L103" s="191">
        <f t="shared" si="11"/>
        <v>-24.198792382721784</v>
      </c>
      <c r="M103" s="188">
        <f t="shared" si="12"/>
        <v>0.56340945575060852</v>
      </c>
      <c r="N103" s="189">
        <f t="shared" si="13"/>
        <v>0.74734368437312337</v>
      </c>
    </row>
    <row r="104" spans="1:14" hidden="1" outlineLevel="1">
      <c r="A104" s="180"/>
      <c r="B104" s="190" t="s">
        <v>780</v>
      </c>
      <c r="C104" s="186">
        <f t="shared" si="7"/>
        <v>15.9846547314578</v>
      </c>
      <c r="E104" s="182">
        <v>74</v>
      </c>
      <c r="F104" s="183">
        <v>31</v>
      </c>
      <c r="G104" s="191">
        <f t="shared" si="8"/>
        <v>138.70967741935485</v>
      </c>
      <c r="H104" s="188">
        <f t="shared" si="9"/>
        <v>0.25278404044544645</v>
      </c>
      <c r="I104" s="188">
        <f t="shared" si="10"/>
        <v>8.7383019506144993E-2</v>
      </c>
      <c r="J104" s="182">
        <v>907</v>
      </c>
      <c r="K104" s="183">
        <v>782</v>
      </c>
      <c r="L104" s="191">
        <f t="shared" si="11"/>
        <v>15.9846547314578</v>
      </c>
      <c r="M104" s="188">
        <f t="shared" si="12"/>
        <v>0.31312032865551587</v>
      </c>
      <c r="N104" s="189">
        <f t="shared" si="13"/>
        <v>0.27144577853217949</v>
      </c>
    </row>
    <row r="105" spans="1:14" hidden="1" outlineLevel="1">
      <c r="A105" s="180"/>
      <c r="B105" s="190" t="s">
        <v>781</v>
      </c>
      <c r="C105" s="186">
        <f t="shared" si="7"/>
        <v>47.321428571428569</v>
      </c>
      <c r="E105" s="182">
        <v>44</v>
      </c>
      <c r="F105" s="183">
        <v>64</v>
      </c>
      <c r="G105" s="191">
        <f t="shared" si="8"/>
        <v>-31.25</v>
      </c>
      <c r="H105" s="188">
        <f t="shared" si="9"/>
        <v>0.15030402404864385</v>
      </c>
      <c r="I105" s="188">
        <f t="shared" si="10"/>
        <v>0.18040365317397677</v>
      </c>
      <c r="J105" s="182">
        <v>825</v>
      </c>
      <c r="K105" s="183">
        <v>560</v>
      </c>
      <c r="L105" s="191">
        <f t="shared" si="11"/>
        <v>47.321428571428569</v>
      </c>
      <c r="M105" s="188">
        <f t="shared" si="12"/>
        <v>0.28481176531510538</v>
      </c>
      <c r="N105" s="189">
        <f t="shared" si="13"/>
        <v>0.19438572375705948</v>
      </c>
    </row>
    <row r="106" spans="1:14" hidden="1" outlineLevel="1">
      <c r="A106" s="180"/>
      <c r="B106" s="190" t="s">
        <v>778</v>
      </c>
      <c r="C106" s="186">
        <f t="shared" si="7"/>
        <v>-34.382767191383593</v>
      </c>
      <c r="E106" s="182">
        <v>103</v>
      </c>
      <c r="F106" s="183">
        <v>190</v>
      </c>
      <c r="G106" s="191">
        <f t="shared" si="8"/>
        <v>-45.789473684210527</v>
      </c>
      <c r="H106" s="188">
        <f t="shared" si="9"/>
        <v>0.35184805629568899</v>
      </c>
      <c r="I106" s="188">
        <f t="shared" si="10"/>
        <v>0.53557334536024359</v>
      </c>
      <c r="J106" s="182">
        <v>792</v>
      </c>
      <c r="K106" s="183">
        <v>1207</v>
      </c>
      <c r="L106" s="191">
        <f t="shared" si="11"/>
        <v>-34.382767191383593</v>
      </c>
      <c r="M106" s="188">
        <f t="shared" si="12"/>
        <v>0.27341929470250115</v>
      </c>
      <c r="N106" s="189">
        <f t="shared" si="13"/>
        <v>0.41897065816923362</v>
      </c>
    </row>
    <row r="107" spans="1:14" hidden="1" outlineLevel="1">
      <c r="A107" s="180"/>
      <c r="B107" s="190" t="s">
        <v>779</v>
      </c>
      <c r="C107" s="186">
        <f t="shared" si="7"/>
        <v>-40.557667934093786</v>
      </c>
      <c r="E107" s="182">
        <v>22</v>
      </c>
      <c r="F107" s="183">
        <v>36</v>
      </c>
      <c r="G107" s="191">
        <f t="shared" si="8"/>
        <v>-38.888888888888893</v>
      </c>
      <c r="H107" s="188">
        <f t="shared" si="9"/>
        <v>7.5152012024321924E-2</v>
      </c>
      <c r="I107" s="188">
        <f t="shared" si="10"/>
        <v>0.10147705491036192</v>
      </c>
      <c r="J107" s="182">
        <v>469</v>
      </c>
      <c r="K107" s="183">
        <v>789</v>
      </c>
      <c r="L107" s="191">
        <f t="shared" si="11"/>
        <v>-40.557667934093786</v>
      </c>
      <c r="M107" s="188">
        <f t="shared" si="12"/>
        <v>0.16191117325185991</v>
      </c>
      <c r="N107" s="189">
        <f t="shared" si="13"/>
        <v>0.27387560007914274</v>
      </c>
    </row>
    <row r="108" spans="1:14" hidden="1" outlineLevel="1">
      <c r="A108" s="180"/>
      <c r="B108" s="190" t="s">
        <v>782</v>
      </c>
      <c r="C108" s="186">
        <f t="shared" si="7"/>
        <v>-52.718676122931441</v>
      </c>
      <c r="E108" s="182">
        <v>3</v>
      </c>
      <c r="F108" s="183">
        <v>21</v>
      </c>
      <c r="G108" s="191">
        <f t="shared" si="8"/>
        <v>-85.714285714285708</v>
      </c>
      <c r="H108" s="188">
        <f t="shared" si="9"/>
        <v>1.0248001639680263E-2</v>
      </c>
      <c r="I108" s="188">
        <f t="shared" si="10"/>
        <v>5.9194948697711136E-2</v>
      </c>
      <c r="J108" s="182">
        <v>200</v>
      </c>
      <c r="K108" s="183">
        <v>423</v>
      </c>
      <c r="L108" s="191">
        <f t="shared" si="11"/>
        <v>-52.718676122931441</v>
      </c>
      <c r="M108" s="188">
        <f t="shared" si="12"/>
        <v>6.9045276440025546E-2</v>
      </c>
      <c r="N108" s="189">
        <f t="shared" si="13"/>
        <v>0.1468306449093503</v>
      </c>
    </row>
    <row r="109" spans="1:14" hidden="1" outlineLevel="1">
      <c r="A109" s="180"/>
      <c r="B109" s="190" t="s">
        <v>1258</v>
      </c>
      <c r="C109" s="186" t="str">
        <f t="shared" si="7"/>
        <v/>
      </c>
      <c r="E109" s="182">
        <v>43</v>
      </c>
      <c r="F109" s="183">
        <v>0</v>
      </c>
      <c r="G109" s="191" t="str">
        <f t="shared" si="8"/>
        <v/>
      </c>
      <c r="H109" s="188">
        <f t="shared" si="9"/>
        <v>0.14688802350208374</v>
      </c>
      <c r="I109" s="188" t="str">
        <f t="shared" si="10"/>
        <v/>
      </c>
      <c r="J109" s="182">
        <v>191</v>
      </c>
      <c r="K109" s="183">
        <v>0</v>
      </c>
      <c r="L109" s="191" t="str">
        <f t="shared" si="11"/>
        <v/>
      </c>
      <c r="M109" s="188">
        <f t="shared" si="12"/>
        <v>6.59382390002244E-2</v>
      </c>
      <c r="N109" s="189" t="str">
        <f t="shared" si="13"/>
        <v/>
      </c>
    </row>
    <row r="110" spans="1:14" hidden="1" outlineLevel="1">
      <c r="A110" s="180"/>
      <c r="B110" s="190" t="s">
        <v>783</v>
      </c>
      <c r="C110" s="186">
        <f t="shared" si="7"/>
        <v>46.774193548387096</v>
      </c>
      <c r="E110" s="182">
        <v>4</v>
      </c>
      <c r="F110" s="183">
        <v>14</v>
      </c>
      <c r="G110" s="191">
        <f t="shared" si="8"/>
        <v>-71.428571428571431</v>
      </c>
      <c r="H110" s="188">
        <f t="shared" si="9"/>
        <v>1.3664002186240351E-2</v>
      </c>
      <c r="I110" s="188">
        <f t="shared" si="10"/>
        <v>3.9463299131807419E-2</v>
      </c>
      <c r="J110" s="182">
        <v>182</v>
      </c>
      <c r="K110" s="183">
        <v>124</v>
      </c>
      <c r="L110" s="191">
        <f t="shared" si="11"/>
        <v>46.774193548387096</v>
      </c>
      <c r="M110" s="188">
        <f t="shared" si="12"/>
        <v>6.2831201560423239E-2</v>
      </c>
      <c r="N110" s="189">
        <f t="shared" si="13"/>
        <v>4.3042553117634601E-2</v>
      </c>
    </row>
    <row r="111" spans="1:14" hidden="1" outlineLevel="1">
      <c r="A111" s="180"/>
      <c r="B111" s="190" t="s">
        <v>1163</v>
      </c>
      <c r="C111" s="186" t="str">
        <f t="shared" si="7"/>
        <v/>
      </c>
      <c r="E111" s="182">
        <v>5</v>
      </c>
      <c r="F111" s="183">
        <v>0</v>
      </c>
      <c r="G111" s="191" t="str">
        <f t="shared" si="8"/>
        <v/>
      </c>
      <c r="H111" s="188">
        <f t="shared" si="9"/>
        <v>1.7080002732800435E-2</v>
      </c>
      <c r="I111" s="188" t="str">
        <f t="shared" si="10"/>
        <v/>
      </c>
      <c r="J111" s="182">
        <v>111</v>
      </c>
      <c r="K111" s="183">
        <v>0</v>
      </c>
      <c r="L111" s="191" t="str">
        <f t="shared" si="11"/>
        <v/>
      </c>
      <c r="M111" s="188">
        <f t="shared" si="12"/>
        <v>3.832012842421418E-2</v>
      </c>
      <c r="N111" s="189" t="str">
        <f t="shared" si="13"/>
        <v/>
      </c>
    </row>
    <row r="112" spans="1:14" hidden="1" outlineLevel="1">
      <c r="A112" s="180"/>
      <c r="B112" s="190" t="s">
        <v>784</v>
      </c>
      <c r="C112" s="186">
        <f t="shared" si="7"/>
        <v>-2.0618556701030926</v>
      </c>
      <c r="E112" s="182">
        <v>6</v>
      </c>
      <c r="F112" s="183">
        <v>9</v>
      </c>
      <c r="G112" s="191">
        <f t="shared" si="8"/>
        <v>-33.333333333333329</v>
      </c>
      <c r="H112" s="188">
        <f t="shared" si="9"/>
        <v>2.0496003279360527E-2</v>
      </c>
      <c r="I112" s="188">
        <f t="shared" si="10"/>
        <v>2.536926372759048E-2</v>
      </c>
      <c r="J112" s="182">
        <v>95</v>
      </c>
      <c r="K112" s="183">
        <v>97</v>
      </c>
      <c r="L112" s="191">
        <f t="shared" si="11"/>
        <v>-2.0618556701030926</v>
      </c>
      <c r="M112" s="188">
        <f t="shared" si="12"/>
        <v>3.2796506309012131E-2</v>
      </c>
      <c r="N112" s="189">
        <f t="shared" si="13"/>
        <v>3.3670384293633518E-2</v>
      </c>
    </row>
    <row r="113" spans="1:14" hidden="1" outlineLevel="1">
      <c r="A113" s="180"/>
      <c r="B113" s="190" t="s">
        <v>785</v>
      </c>
      <c r="C113" s="186">
        <f t="shared" si="7"/>
        <v>-23.157894736842106</v>
      </c>
      <c r="E113" s="182">
        <v>6</v>
      </c>
      <c r="F113" s="183">
        <v>12</v>
      </c>
      <c r="G113" s="191">
        <f t="shared" si="8"/>
        <v>-50</v>
      </c>
      <c r="H113" s="188">
        <f t="shared" si="9"/>
        <v>2.0496003279360527E-2</v>
      </c>
      <c r="I113" s="188">
        <f t="shared" si="10"/>
        <v>3.3825684970120645E-2</v>
      </c>
      <c r="J113" s="182">
        <v>73</v>
      </c>
      <c r="K113" s="183">
        <v>95</v>
      </c>
      <c r="L113" s="191">
        <f t="shared" si="11"/>
        <v>-23.157894736842106</v>
      </c>
      <c r="M113" s="188">
        <f t="shared" si="12"/>
        <v>2.5201525900609322E-2</v>
      </c>
      <c r="N113" s="189">
        <f t="shared" si="13"/>
        <v>3.2976149565929737E-2</v>
      </c>
    </row>
    <row r="114" spans="1:14" hidden="1" outlineLevel="1">
      <c r="A114" s="180"/>
      <c r="B114" s="190" t="s">
        <v>1026</v>
      </c>
      <c r="C114" s="186">
        <f t="shared" si="7"/>
        <v>490.90909090909093</v>
      </c>
      <c r="E114" s="182">
        <v>4</v>
      </c>
      <c r="F114" s="183">
        <v>8</v>
      </c>
      <c r="G114" s="191">
        <f t="shared" si="8"/>
        <v>-50</v>
      </c>
      <c r="H114" s="188">
        <f t="shared" si="9"/>
        <v>1.3664002186240351E-2</v>
      </c>
      <c r="I114" s="188">
        <f t="shared" si="10"/>
        <v>2.2550456646747097E-2</v>
      </c>
      <c r="J114" s="182">
        <v>65</v>
      </c>
      <c r="K114" s="183">
        <v>11</v>
      </c>
      <c r="L114" s="191">
        <f t="shared" si="11"/>
        <v>490.90909090909093</v>
      </c>
      <c r="M114" s="188">
        <f t="shared" si="12"/>
        <v>2.2439714843008302E-2</v>
      </c>
      <c r="N114" s="189">
        <f t="shared" si="13"/>
        <v>3.8182910023708116E-3</v>
      </c>
    </row>
    <row r="115" spans="1:14" hidden="1" outlineLevel="1">
      <c r="A115" s="180"/>
      <c r="B115" s="190" t="s">
        <v>787</v>
      </c>
      <c r="C115" s="186">
        <f t="shared" si="7"/>
        <v>-75.352112676056336</v>
      </c>
      <c r="E115" s="182">
        <v>0</v>
      </c>
      <c r="F115" s="183">
        <v>10</v>
      </c>
      <c r="G115" s="191">
        <f t="shared" si="8"/>
        <v>-100</v>
      </c>
      <c r="H115" s="188" t="str">
        <f t="shared" si="9"/>
        <v/>
      </c>
      <c r="I115" s="188">
        <f t="shared" si="10"/>
        <v>2.8188070808433871E-2</v>
      </c>
      <c r="J115" s="182">
        <v>35</v>
      </c>
      <c r="K115" s="183">
        <v>142</v>
      </c>
      <c r="L115" s="191">
        <f t="shared" si="11"/>
        <v>-75.352112676056336</v>
      </c>
      <c r="M115" s="188">
        <f t="shared" si="12"/>
        <v>1.2082923377004472E-2</v>
      </c>
      <c r="N115" s="189">
        <f t="shared" si="13"/>
        <v>4.9290665666968658E-2</v>
      </c>
    </row>
    <row r="116" spans="1:14" hidden="1" outlineLevel="1">
      <c r="A116" s="180"/>
      <c r="B116" s="190" t="s">
        <v>788</v>
      </c>
      <c r="C116" s="186">
        <f t="shared" si="7"/>
        <v>-28.260869565217391</v>
      </c>
      <c r="E116" s="182">
        <v>2</v>
      </c>
      <c r="F116" s="183">
        <v>1</v>
      </c>
      <c r="G116" s="191">
        <f t="shared" si="8"/>
        <v>100</v>
      </c>
      <c r="H116" s="188">
        <f t="shared" si="9"/>
        <v>6.8320010931201755E-3</v>
      </c>
      <c r="I116" s="188">
        <f t="shared" si="10"/>
        <v>2.8188070808433871E-3</v>
      </c>
      <c r="J116" s="182">
        <v>33</v>
      </c>
      <c r="K116" s="183">
        <v>46</v>
      </c>
      <c r="L116" s="191">
        <f t="shared" si="11"/>
        <v>-28.260869565217391</v>
      </c>
      <c r="M116" s="188">
        <f t="shared" si="12"/>
        <v>1.1392470612604216E-2</v>
      </c>
      <c r="N116" s="189">
        <f t="shared" si="13"/>
        <v>1.5967398737187031E-2</v>
      </c>
    </row>
    <row r="117" spans="1:14" hidden="1" outlineLevel="1">
      <c r="A117" s="180"/>
      <c r="B117" s="190" t="s">
        <v>1104</v>
      </c>
      <c r="C117" s="186">
        <f t="shared" si="7"/>
        <v>90</v>
      </c>
      <c r="E117" s="182">
        <v>3</v>
      </c>
      <c r="F117" s="183">
        <v>0</v>
      </c>
      <c r="G117" s="191" t="str">
        <f t="shared" si="8"/>
        <v/>
      </c>
      <c r="H117" s="188">
        <f t="shared" si="9"/>
        <v>1.0248001639680263E-2</v>
      </c>
      <c r="I117" s="188" t="str">
        <f t="shared" si="10"/>
        <v/>
      </c>
      <c r="J117" s="182">
        <v>19</v>
      </c>
      <c r="K117" s="183">
        <v>10</v>
      </c>
      <c r="L117" s="191">
        <f t="shared" si="11"/>
        <v>90</v>
      </c>
      <c r="M117" s="188">
        <f t="shared" si="12"/>
        <v>6.559301261802427E-3</v>
      </c>
      <c r="N117" s="189">
        <f t="shared" si="13"/>
        <v>3.4711736385189193E-3</v>
      </c>
    </row>
    <row r="118" spans="1:14" hidden="1" outlineLevel="1">
      <c r="A118" s="180"/>
      <c r="B118" s="190" t="s">
        <v>786</v>
      </c>
      <c r="C118" s="186">
        <f t="shared" si="7"/>
        <v>-65.454545454545453</v>
      </c>
      <c r="E118" s="182">
        <v>2</v>
      </c>
      <c r="F118" s="183">
        <v>2</v>
      </c>
      <c r="G118" s="191">
        <f t="shared" si="8"/>
        <v>0</v>
      </c>
      <c r="H118" s="188">
        <f t="shared" si="9"/>
        <v>6.8320010931201755E-3</v>
      </c>
      <c r="I118" s="188">
        <f t="shared" si="10"/>
        <v>5.6376141616867742E-3</v>
      </c>
      <c r="J118" s="182">
        <v>19</v>
      </c>
      <c r="K118" s="183">
        <v>55</v>
      </c>
      <c r="L118" s="191">
        <f t="shared" si="11"/>
        <v>-65.454545454545453</v>
      </c>
      <c r="M118" s="188">
        <f t="shared" si="12"/>
        <v>6.559301261802427E-3</v>
      </c>
      <c r="N118" s="189">
        <f t="shared" si="13"/>
        <v>1.9091455011854056E-2</v>
      </c>
    </row>
    <row r="119" spans="1:14" hidden="1" outlineLevel="1">
      <c r="A119" s="180"/>
      <c r="B119" s="190" t="s">
        <v>789</v>
      </c>
      <c r="C119" s="186">
        <f t="shared" si="7"/>
        <v>-85.714285714285708</v>
      </c>
      <c r="E119" s="182">
        <v>0</v>
      </c>
      <c r="F119" s="183">
        <v>2</v>
      </c>
      <c r="G119" s="191">
        <f t="shared" si="8"/>
        <v>-100</v>
      </c>
      <c r="H119" s="188" t="str">
        <f t="shared" si="9"/>
        <v/>
      </c>
      <c r="I119" s="188">
        <f t="shared" si="10"/>
        <v>5.6376141616867742E-3</v>
      </c>
      <c r="J119" s="182">
        <v>4</v>
      </c>
      <c r="K119" s="183">
        <v>28</v>
      </c>
      <c r="L119" s="191">
        <f t="shared" si="11"/>
        <v>-85.714285714285708</v>
      </c>
      <c r="M119" s="188">
        <f t="shared" si="12"/>
        <v>1.380905528800511E-3</v>
      </c>
      <c r="N119" s="189">
        <f t="shared" si="13"/>
        <v>9.7192861878529751E-3</v>
      </c>
    </row>
    <row r="120" spans="1:14" hidden="1" outlineLevel="1">
      <c r="A120" s="180"/>
      <c r="B120" s="190" t="s">
        <v>774</v>
      </c>
      <c r="C120" s="186">
        <f t="shared" si="7"/>
        <v>-99.893162393162399</v>
      </c>
      <c r="E120" s="182">
        <v>0</v>
      </c>
      <c r="F120" s="183">
        <v>5</v>
      </c>
      <c r="G120" s="191">
        <f t="shared" si="8"/>
        <v>-100</v>
      </c>
      <c r="H120" s="188" t="str">
        <f t="shared" si="9"/>
        <v/>
      </c>
      <c r="I120" s="188">
        <f t="shared" si="10"/>
        <v>1.4094035404216936E-2</v>
      </c>
      <c r="J120" s="182">
        <v>2</v>
      </c>
      <c r="K120" s="183">
        <v>1872</v>
      </c>
      <c r="L120" s="191">
        <f t="shared" si="11"/>
        <v>-99.893162393162399</v>
      </c>
      <c r="M120" s="188">
        <f t="shared" si="12"/>
        <v>6.9045276440025548E-4</v>
      </c>
      <c r="N120" s="189">
        <f t="shared" si="13"/>
        <v>0.6498037051307417</v>
      </c>
    </row>
    <row r="121" spans="1:14" collapsed="1">
      <c r="A121" s="180" t="s">
        <v>1105</v>
      </c>
      <c r="B121" s="179" t="s">
        <v>378</v>
      </c>
      <c r="C121" s="186">
        <f t="shared" si="7"/>
        <v>-5.4208454995556679</v>
      </c>
      <c r="E121" s="182">
        <v>1355</v>
      </c>
      <c r="F121" s="183">
        <v>1369</v>
      </c>
      <c r="G121" s="191">
        <f t="shared" si="8"/>
        <v>-1.0226442658875092</v>
      </c>
      <c r="H121" s="188">
        <f t="shared" si="9"/>
        <v>4.6286807405889183</v>
      </c>
      <c r="I121" s="188">
        <f t="shared" si="10"/>
        <v>3.8589468936745965</v>
      </c>
      <c r="J121" s="182">
        <v>14900</v>
      </c>
      <c r="K121" s="183">
        <v>15754</v>
      </c>
      <c r="L121" s="191">
        <f t="shared" si="11"/>
        <v>-5.4208454995556679</v>
      </c>
      <c r="M121" s="188">
        <f t="shared" si="12"/>
        <v>5.1438730947819034</v>
      </c>
      <c r="N121" s="189">
        <f t="shared" si="13"/>
        <v>5.4684869501227054</v>
      </c>
    </row>
    <row r="122" spans="1:14" hidden="1" outlineLevel="1">
      <c r="A122" s="180"/>
      <c r="B122" s="190" t="s">
        <v>791</v>
      </c>
      <c r="C122" s="186">
        <f t="shared" si="7"/>
        <v>1.5090543259557343</v>
      </c>
      <c r="E122" s="182">
        <v>157</v>
      </c>
      <c r="F122" s="183">
        <v>165</v>
      </c>
      <c r="G122" s="191">
        <f t="shared" si="8"/>
        <v>-4.8484848484848486</v>
      </c>
      <c r="H122" s="188">
        <f t="shared" si="9"/>
        <v>0.53631208580993373</v>
      </c>
      <c r="I122" s="188">
        <f t="shared" si="10"/>
        <v>0.46510316833915888</v>
      </c>
      <c r="J122" s="182">
        <v>2018</v>
      </c>
      <c r="K122" s="183">
        <v>1988</v>
      </c>
      <c r="L122" s="191">
        <f t="shared" si="11"/>
        <v>1.5090543259557343</v>
      </c>
      <c r="M122" s="188">
        <f t="shared" si="12"/>
        <v>0.69666683927985784</v>
      </c>
      <c r="N122" s="189">
        <f t="shared" si="13"/>
        <v>0.69006931933756122</v>
      </c>
    </row>
    <row r="123" spans="1:14" hidden="1" outlineLevel="1">
      <c r="A123" s="180"/>
      <c r="B123" s="190" t="s">
        <v>790</v>
      </c>
      <c r="C123" s="186">
        <f t="shared" si="7"/>
        <v>0.4326663061114116</v>
      </c>
      <c r="E123" s="182">
        <v>160</v>
      </c>
      <c r="F123" s="183">
        <v>57</v>
      </c>
      <c r="G123" s="191">
        <f t="shared" si="8"/>
        <v>180.70175438596493</v>
      </c>
      <c r="H123" s="188">
        <f t="shared" si="9"/>
        <v>0.54656008744961393</v>
      </c>
      <c r="I123" s="188">
        <f t="shared" si="10"/>
        <v>0.16067200360807307</v>
      </c>
      <c r="J123" s="182">
        <v>1857</v>
      </c>
      <c r="K123" s="183">
        <v>1849</v>
      </c>
      <c r="L123" s="191">
        <f t="shared" si="11"/>
        <v>0.4326663061114116</v>
      </c>
      <c r="M123" s="188">
        <f t="shared" si="12"/>
        <v>0.64108539174563728</v>
      </c>
      <c r="N123" s="189">
        <f t="shared" si="13"/>
        <v>0.64182000576214815</v>
      </c>
    </row>
    <row r="124" spans="1:14" hidden="1" outlineLevel="1">
      <c r="A124" s="180"/>
      <c r="B124" s="190" t="s">
        <v>796</v>
      </c>
      <c r="C124" s="186">
        <f t="shared" si="7"/>
        <v>121.47477360931435</v>
      </c>
      <c r="E124" s="182">
        <v>228</v>
      </c>
      <c r="F124" s="183">
        <v>81</v>
      </c>
      <c r="G124" s="191">
        <f t="shared" si="8"/>
        <v>181.4814814814815</v>
      </c>
      <c r="H124" s="188">
        <f t="shared" si="9"/>
        <v>0.77884812461569997</v>
      </c>
      <c r="I124" s="188">
        <f t="shared" si="10"/>
        <v>0.22832337354831436</v>
      </c>
      <c r="J124" s="182">
        <v>1712</v>
      </c>
      <c r="K124" s="183">
        <v>773</v>
      </c>
      <c r="L124" s="191">
        <f t="shared" si="11"/>
        <v>121.47477360931435</v>
      </c>
      <c r="M124" s="188">
        <f t="shared" si="12"/>
        <v>0.59102756632661868</v>
      </c>
      <c r="N124" s="189">
        <f t="shared" si="13"/>
        <v>0.2683217222575125</v>
      </c>
    </row>
    <row r="125" spans="1:14" hidden="1" outlineLevel="1">
      <c r="A125" s="180"/>
      <c r="B125" s="190" t="s">
        <v>793</v>
      </c>
      <c r="C125" s="186">
        <f t="shared" si="7"/>
        <v>12.119013062409287</v>
      </c>
      <c r="E125" s="182">
        <v>213</v>
      </c>
      <c r="F125" s="183">
        <v>56</v>
      </c>
      <c r="G125" s="191">
        <f t="shared" si="8"/>
        <v>280.35714285714283</v>
      </c>
      <c r="H125" s="188">
        <f t="shared" si="9"/>
        <v>0.72760811641729861</v>
      </c>
      <c r="I125" s="188">
        <f t="shared" si="10"/>
        <v>0.15785319652722968</v>
      </c>
      <c r="J125" s="182">
        <v>1545</v>
      </c>
      <c r="K125" s="183">
        <v>1378</v>
      </c>
      <c r="L125" s="191">
        <f t="shared" si="11"/>
        <v>12.119013062409287</v>
      </c>
      <c r="M125" s="188">
        <f t="shared" si="12"/>
        <v>0.53337476049919741</v>
      </c>
      <c r="N125" s="189">
        <f t="shared" si="13"/>
        <v>0.47832772738790713</v>
      </c>
    </row>
    <row r="126" spans="1:14" hidden="1" outlineLevel="1">
      <c r="A126" s="180"/>
      <c r="B126" s="190" t="s">
        <v>795</v>
      </c>
      <c r="C126" s="186">
        <f t="shared" si="7"/>
        <v>-8.902532617037604</v>
      </c>
      <c r="E126" s="182">
        <v>58</v>
      </c>
      <c r="F126" s="183">
        <v>113</v>
      </c>
      <c r="G126" s="191">
        <f t="shared" si="8"/>
        <v>-48.672566371681413</v>
      </c>
      <c r="H126" s="188">
        <f t="shared" si="9"/>
        <v>0.19812803170048504</v>
      </c>
      <c r="I126" s="188">
        <f t="shared" si="10"/>
        <v>0.31852520013530272</v>
      </c>
      <c r="J126" s="182">
        <v>1187</v>
      </c>
      <c r="K126" s="183">
        <v>1303</v>
      </c>
      <c r="L126" s="191">
        <f t="shared" si="11"/>
        <v>-8.902532617037604</v>
      </c>
      <c r="M126" s="188">
        <f t="shared" si="12"/>
        <v>0.40978371567155164</v>
      </c>
      <c r="N126" s="189">
        <f t="shared" si="13"/>
        <v>0.45229392509901523</v>
      </c>
    </row>
    <row r="127" spans="1:14" hidden="1" outlineLevel="1">
      <c r="A127" s="180"/>
      <c r="B127" s="190" t="s">
        <v>797</v>
      </c>
      <c r="C127" s="186">
        <f t="shared" si="7"/>
        <v>8.8235294117647065</v>
      </c>
      <c r="E127" s="182">
        <v>60</v>
      </c>
      <c r="F127" s="183">
        <v>99</v>
      </c>
      <c r="G127" s="191">
        <f t="shared" si="8"/>
        <v>-39.393939393939391</v>
      </c>
      <c r="H127" s="188">
        <f t="shared" si="9"/>
        <v>0.20496003279360525</v>
      </c>
      <c r="I127" s="188">
        <f t="shared" si="10"/>
        <v>0.27906190100349532</v>
      </c>
      <c r="J127" s="182">
        <v>1036</v>
      </c>
      <c r="K127" s="183">
        <v>952</v>
      </c>
      <c r="L127" s="191">
        <f t="shared" si="11"/>
        <v>8.8235294117647065</v>
      </c>
      <c r="M127" s="188">
        <f t="shared" si="12"/>
        <v>0.35765453195933233</v>
      </c>
      <c r="N127" s="189">
        <f t="shared" si="13"/>
        <v>0.33045573038700116</v>
      </c>
    </row>
    <row r="128" spans="1:14" hidden="1" outlineLevel="1">
      <c r="A128" s="180"/>
      <c r="B128" s="190" t="s">
        <v>801</v>
      </c>
      <c r="C128" s="186">
        <f t="shared" si="7"/>
        <v>49.09365558912387</v>
      </c>
      <c r="E128" s="182">
        <v>106</v>
      </c>
      <c r="F128" s="183">
        <v>140</v>
      </c>
      <c r="G128" s="191">
        <f t="shared" si="8"/>
        <v>-24.285714285714285</v>
      </c>
      <c r="H128" s="188">
        <f t="shared" si="9"/>
        <v>0.36209605793536925</v>
      </c>
      <c r="I128" s="188">
        <f t="shared" si="10"/>
        <v>0.39463299131807422</v>
      </c>
      <c r="J128" s="182">
        <v>987</v>
      </c>
      <c r="K128" s="183">
        <v>662</v>
      </c>
      <c r="L128" s="191">
        <f t="shared" si="11"/>
        <v>49.09365558912387</v>
      </c>
      <c r="M128" s="188">
        <f t="shared" si="12"/>
        <v>0.34073843923152608</v>
      </c>
      <c r="N128" s="189">
        <f t="shared" si="13"/>
        <v>0.22979169486995249</v>
      </c>
    </row>
    <row r="129" spans="1:14" hidden="1" outlineLevel="1">
      <c r="A129" s="180"/>
      <c r="B129" s="190" t="s">
        <v>792</v>
      </c>
      <c r="C129" s="186">
        <f t="shared" si="7"/>
        <v>-51.630434782608688</v>
      </c>
      <c r="E129" s="182">
        <v>80</v>
      </c>
      <c r="F129" s="183">
        <v>64</v>
      </c>
      <c r="G129" s="191">
        <f t="shared" si="8"/>
        <v>25</v>
      </c>
      <c r="H129" s="188">
        <f t="shared" si="9"/>
        <v>0.27328004372480696</v>
      </c>
      <c r="I129" s="188">
        <f t="shared" si="10"/>
        <v>0.18040365317397677</v>
      </c>
      <c r="J129" s="182">
        <v>712</v>
      </c>
      <c r="K129" s="183">
        <v>1472</v>
      </c>
      <c r="L129" s="191">
        <f t="shared" si="11"/>
        <v>-51.630434782608688</v>
      </c>
      <c r="M129" s="188">
        <f t="shared" si="12"/>
        <v>0.24580118412649093</v>
      </c>
      <c r="N129" s="189">
        <f t="shared" si="13"/>
        <v>0.51095675958998499</v>
      </c>
    </row>
    <row r="130" spans="1:14" hidden="1" outlineLevel="1">
      <c r="A130" s="180"/>
      <c r="B130" s="190" t="s">
        <v>794</v>
      </c>
      <c r="C130" s="186">
        <f t="shared" si="7"/>
        <v>-59.216441875401415</v>
      </c>
      <c r="E130" s="182">
        <v>17</v>
      </c>
      <c r="F130" s="183">
        <v>248</v>
      </c>
      <c r="G130" s="191">
        <f t="shared" si="8"/>
        <v>-93.145161290322577</v>
      </c>
      <c r="H130" s="188">
        <f t="shared" si="9"/>
        <v>5.8072009291521488E-2</v>
      </c>
      <c r="I130" s="188">
        <f t="shared" si="10"/>
        <v>0.69906415604915995</v>
      </c>
      <c r="J130" s="182">
        <v>635</v>
      </c>
      <c r="K130" s="183">
        <v>1557</v>
      </c>
      <c r="L130" s="191">
        <f t="shared" si="11"/>
        <v>-59.216441875401415</v>
      </c>
      <c r="M130" s="188">
        <f t="shared" si="12"/>
        <v>0.2192187526970811</v>
      </c>
      <c r="N130" s="189">
        <f t="shared" si="13"/>
        <v>0.54046173551739574</v>
      </c>
    </row>
    <row r="131" spans="1:14" hidden="1" outlineLevel="1">
      <c r="A131" s="180"/>
      <c r="B131" s="190" t="s">
        <v>798</v>
      </c>
      <c r="C131" s="186">
        <f t="shared" si="7"/>
        <v>-10.186757215619695</v>
      </c>
      <c r="E131" s="182">
        <v>43</v>
      </c>
      <c r="F131" s="183">
        <v>62</v>
      </c>
      <c r="G131" s="191">
        <f t="shared" si="8"/>
        <v>-30.64516129032258</v>
      </c>
      <c r="H131" s="188">
        <f t="shared" si="9"/>
        <v>0.14688802350208374</v>
      </c>
      <c r="I131" s="188">
        <f t="shared" si="10"/>
        <v>0.17476603901228999</v>
      </c>
      <c r="J131" s="182">
        <v>529</v>
      </c>
      <c r="K131" s="183">
        <v>589</v>
      </c>
      <c r="L131" s="191">
        <f t="shared" si="11"/>
        <v>-10.186757215619695</v>
      </c>
      <c r="M131" s="188">
        <f t="shared" si="12"/>
        <v>0.18262475618386756</v>
      </c>
      <c r="N131" s="189">
        <f t="shared" si="13"/>
        <v>0.20445212730876439</v>
      </c>
    </row>
    <row r="132" spans="1:14" hidden="1" outlineLevel="1">
      <c r="A132" s="180"/>
      <c r="B132" s="190" t="s">
        <v>802</v>
      </c>
      <c r="C132" s="186">
        <f t="shared" si="7"/>
        <v>-3.1512605042016806</v>
      </c>
      <c r="E132" s="182">
        <v>18</v>
      </c>
      <c r="F132" s="183">
        <v>26</v>
      </c>
      <c r="G132" s="191">
        <f t="shared" si="8"/>
        <v>-30.76923076923077</v>
      </c>
      <c r="H132" s="188">
        <f t="shared" si="9"/>
        <v>6.1488009838081573E-2</v>
      </c>
      <c r="I132" s="188">
        <f t="shared" si="10"/>
        <v>7.3288984101928065E-2</v>
      </c>
      <c r="J132" s="182">
        <v>461</v>
      </c>
      <c r="K132" s="183">
        <v>476</v>
      </c>
      <c r="L132" s="191">
        <f t="shared" si="11"/>
        <v>-3.1512605042016806</v>
      </c>
      <c r="M132" s="188">
        <f t="shared" si="12"/>
        <v>0.15914936219425888</v>
      </c>
      <c r="N132" s="189">
        <f t="shared" si="13"/>
        <v>0.16522786519350058</v>
      </c>
    </row>
    <row r="133" spans="1:14" hidden="1" outlineLevel="1">
      <c r="A133" s="180"/>
      <c r="B133" s="190" t="s">
        <v>799</v>
      </c>
      <c r="C133" s="186">
        <f t="shared" si="7"/>
        <v>-11.297071129707113</v>
      </c>
      <c r="E133" s="182">
        <v>38</v>
      </c>
      <c r="F133" s="183">
        <v>42</v>
      </c>
      <c r="G133" s="191">
        <f t="shared" si="8"/>
        <v>-9.5238095238095237</v>
      </c>
      <c r="H133" s="188">
        <f t="shared" si="9"/>
        <v>0.12980802076928333</v>
      </c>
      <c r="I133" s="188">
        <f t="shared" si="10"/>
        <v>0.11838989739542227</v>
      </c>
      <c r="J133" s="182">
        <v>424</v>
      </c>
      <c r="K133" s="183">
        <v>478</v>
      </c>
      <c r="L133" s="191">
        <f t="shared" si="11"/>
        <v>-11.297071129707113</v>
      </c>
      <c r="M133" s="188">
        <f t="shared" si="12"/>
        <v>0.14637598605285418</v>
      </c>
      <c r="N133" s="189">
        <f t="shared" si="13"/>
        <v>0.16592209992120435</v>
      </c>
    </row>
    <row r="134" spans="1:14" hidden="1" outlineLevel="1">
      <c r="A134" s="180"/>
      <c r="B134" s="190" t="s">
        <v>800</v>
      </c>
      <c r="C134" s="186">
        <f t="shared" si="7"/>
        <v>-31.040268456375841</v>
      </c>
      <c r="E134" s="182">
        <v>28</v>
      </c>
      <c r="F134" s="183">
        <v>59</v>
      </c>
      <c r="G134" s="191">
        <f t="shared" si="8"/>
        <v>-52.542372881355938</v>
      </c>
      <c r="H134" s="188">
        <f t="shared" si="9"/>
        <v>9.5648015303682457E-2</v>
      </c>
      <c r="I134" s="188">
        <f t="shared" si="10"/>
        <v>0.16630961776975983</v>
      </c>
      <c r="J134" s="182">
        <v>411</v>
      </c>
      <c r="K134" s="183">
        <v>596</v>
      </c>
      <c r="L134" s="191">
        <f t="shared" si="11"/>
        <v>-31.040268456375841</v>
      </c>
      <c r="M134" s="188">
        <f t="shared" si="12"/>
        <v>0.14188804308425251</v>
      </c>
      <c r="N134" s="189">
        <f t="shared" si="13"/>
        <v>0.20688194885572761</v>
      </c>
    </row>
    <row r="135" spans="1:14" hidden="1" outlineLevel="1">
      <c r="A135" s="180"/>
      <c r="B135" s="190" t="s">
        <v>806</v>
      </c>
      <c r="C135" s="186">
        <f t="shared" si="7"/>
        <v>-5.1886792452830193</v>
      </c>
      <c r="E135" s="182">
        <v>26</v>
      </c>
      <c r="F135" s="183">
        <v>18</v>
      </c>
      <c r="G135" s="191">
        <f t="shared" si="8"/>
        <v>44.444444444444443</v>
      </c>
      <c r="H135" s="188">
        <f t="shared" si="9"/>
        <v>8.8816014210562275E-2</v>
      </c>
      <c r="I135" s="188">
        <f t="shared" si="10"/>
        <v>5.0738527455180961E-2</v>
      </c>
      <c r="J135" s="182">
        <v>201</v>
      </c>
      <c r="K135" s="183">
        <v>212</v>
      </c>
      <c r="L135" s="191">
        <f t="shared" si="11"/>
        <v>-5.1886792452830193</v>
      </c>
      <c r="M135" s="188">
        <f t="shared" si="12"/>
        <v>6.9390502822225669E-2</v>
      </c>
      <c r="N135" s="189">
        <f t="shared" si="13"/>
        <v>7.3588881136601086E-2</v>
      </c>
    </row>
    <row r="136" spans="1:14" hidden="1" outlineLevel="1">
      <c r="A136" s="180"/>
      <c r="B136" s="190" t="s">
        <v>808</v>
      </c>
      <c r="C136" s="186">
        <f t="shared" si="7"/>
        <v>30.714285714285715</v>
      </c>
      <c r="E136" s="182">
        <v>31</v>
      </c>
      <c r="F136" s="183">
        <v>27</v>
      </c>
      <c r="G136" s="191">
        <f t="shared" si="8"/>
        <v>14.814814814814813</v>
      </c>
      <c r="H136" s="188">
        <f t="shared" si="9"/>
        <v>0.10589601694336272</v>
      </c>
      <c r="I136" s="188">
        <f t="shared" si="10"/>
        <v>7.6107791182771459E-2</v>
      </c>
      <c r="J136" s="182">
        <v>183</v>
      </c>
      <c r="K136" s="183">
        <v>140</v>
      </c>
      <c r="L136" s="191">
        <f t="shared" si="11"/>
        <v>30.714285714285715</v>
      </c>
      <c r="M136" s="188">
        <f t="shared" si="12"/>
        <v>6.3176427942623375E-2</v>
      </c>
      <c r="N136" s="189">
        <f t="shared" si="13"/>
        <v>4.859643093926487E-2</v>
      </c>
    </row>
    <row r="137" spans="1:14" hidden="1" outlineLevel="1">
      <c r="A137" s="180"/>
      <c r="B137" s="190" t="s">
        <v>804</v>
      </c>
      <c r="C137" s="186">
        <f t="shared" si="7"/>
        <v>-32.835820895522389</v>
      </c>
      <c r="E137" s="182">
        <v>10</v>
      </c>
      <c r="F137" s="183">
        <v>12</v>
      </c>
      <c r="G137" s="191">
        <f t="shared" si="8"/>
        <v>-16.666666666666664</v>
      </c>
      <c r="H137" s="188">
        <f t="shared" si="9"/>
        <v>3.4160005465600871E-2</v>
      </c>
      <c r="I137" s="188">
        <f t="shared" si="10"/>
        <v>3.3825684970120645E-2</v>
      </c>
      <c r="J137" s="182">
        <v>180</v>
      </c>
      <c r="K137" s="183">
        <v>268</v>
      </c>
      <c r="L137" s="191">
        <f t="shared" si="11"/>
        <v>-32.835820895522389</v>
      </c>
      <c r="M137" s="188">
        <f t="shared" si="12"/>
        <v>6.2140748796022986E-2</v>
      </c>
      <c r="N137" s="189">
        <f t="shared" si="13"/>
        <v>9.302745351230704E-2</v>
      </c>
    </row>
    <row r="138" spans="1:14" hidden="1" outlineLevel="1">
      <c r="A138" s="180"/>
      <c r="B138" s="190" t="s">
        <v>813</v>
      </c>
      <c r="C138" s="186">
        <f t="shared" ref="C138:C201" si="14">IF(K138=0,"",SUM(((J138-K138)/K138)*100))</f>
        <v>302.56410256410254</v>
      </c>
      <c r="E138" s="182">
        <v>14</v>
      </c>
      <c r="F138" s="183">
        <v>15</v>
      </c>
      <c r="G138" s="191">
        <f t="shared" ref="G138:G201" si="15">IF(F138=0,"",SUM(((E138-F138)/F138)*100))</f>
        <v>-6.666666666666667</v>
      </c>
      <c r="H138" s="188">
        <f t="shared" ref="H138:H201" si="16">IF(E138=0,"",SUM((E138/CntPeriod)*100))</f>
        <v>4.7824007651841229E-2</v>
      </c>
      <c r="I138" s="188">
        <f t="shared" ref="I138:I201" si="17">IF(F138=0,"",SUM((F138/CntPeriodPrevYear)*100))</f>
        <v>4.2282106212650807E-2</v>
      </c>
      <c r="J138" s="182">
        <v>157</v>
      </c>
      <c r="K138" s="183">
        <v>39</v>
      </c>
      <c r="L138" s="191">
        <f t="shared" ref="L138:L201" si="18">IF(K138=0,"",SUM(((J138-K138)/K138)*100))</f>
        <v>302.56410256410254</v>
      </c>
      <c r="M138" s="188">
        <f t="shared" ref="M138:M201" si="19">IF(J138=0,"",SUM((J138/CntYearAck)*100))</f>
        <v>5.4200542005420058E-2</v>
      </c>
      <c r="N138" s="189">
        <f t="shared" ref="N138:N201" si="20">IF(K138=0,"",SUM((K138/CntPrevYearAck)*100))</f>
        <v>1.3537577190223787E-2</v>
      </c>
    </row>
    <row r="139" spans="1:14" hidden="1" outlineLevel="1">
      <c r="A139" s="180"/>
      <c r="B139" s="190" t="s">
        <v>805</v>
      </c>
      <c r="C139" s="186">
        <f t="shared" si="14"/>
        <v>-35.684647302904565</v>
      </c>
      <c r="E139" s="182">
        <v>18</v>
      </c>
      <c r="F139" s="183">
        <v>21</v>
      </c>
      <c r="G139" s="191">
        <f t="shared" si="15"/>
        <v>-14.285714285714285</v>
      </c>
      <c r="H139" s="188">
        <f t="shared" si="16"/>
        <v>6.1488009838081573E-2</v>
      </c>
      <c r="I139" s="188">
        <f t="shared" si="17"/>
        <v>5.9194948697711136E-2</v>
      </c>
      <c r="J139" s="182">
        <v>155</v>
      </c>
      <c r="K139" s="183">
        <v>241</v>
      </c>
      <c r="L139" s="191">
        <f t="shared" si="18"/>
        <v>-35.684647302904565</v>
      </c>
      <c r="M139" s="188">
        <f t="shared" si="19"/>
        <v>5.3510089241019798E-2</v>
      </c>
      <c r="N139" s="189">
        <f t="shared" si="20"/>
        <v>8.3655284688305964E-2</v>
      </c>
    </row>
    <row r="140" spans="1:14" hidden="1" outlineLevel="1">
      <c r="A140" s="180"/>
      <c r="B140" s="190" t="s">
        <v>810</v>
      </c>
      <c r="C140" s="186">
        <f t="shared" si="14"/>
        <v>10.638297872340425</v>
      </c>
      <c r="E140" s="182">
        <v>7</v>
      </c>
      <c r="F140" s="183">
        <v>5</v>
      </c>
      <c r="G140" s="191">
        <f t="shared" si="15"/>
        <v>40</v>
      </c>
      <c r="H140" s="188">
        <f t="shared" si="16"/>
        <v>2.3912003825920614E-2</v>
      </c>
      <c r="I140" s="188">
        <f t="shared" si="17"/>
        <v>1.4094035404216936E-2</v>
      </c>
      <c r="J140" s="182">
        <v>104</v>
      </c>
      <c r="K140" s="183">
        <v>94</v>
      </c>
      <c r="L140" s="191">
        <f t="shared" si="18"/>
        <v>10.638297872340425</v>
      </c>
      <c r="M140" s="188">
        <f t="shared" si="19"/>
        <v>3.5903543748813285E-2</v>
      </c>
      <c r="N140" s="189">
        <f t="shared" si="20"/>
        <v>3.2629032202077843E-2</v>
      </c>
    </row>
    <row r="141" spans="1:14" hidden="1" outlineLevel="1">
      <c r="A141" s="180"/>
      <c r="B141" s="190" t="s">
        <v>803</v>
      </c>
      <c r="C141" s="186">
        <f t="shared" si="14"/>
        <v>-47.179487179487175</v>
      </c>
      <c r="E141" s="182">
        <v>21</v>
      </c>
      <c r="F141" s="183">
        <v>9</v>
      </c>
      <c r="G141" s="191">
        <f t="shared" si="15"/>
        <v>133.33333333333331</v>
      </c>
      <c r="H141" s="188">
        <f t="shared" si="16"/>
        <v>7.1736011477761846E-2</v>
      </c>
      <c r="I141" s="188">
        <f t="shared" si="17"/>
        <v>2.536926372759048E-2</v>
      </c>
      <c r="J141" s="182">
        <v>103</v>
      </c>
      <c r="K141" s="183">
        <v>195</v>
      </c>
      <c r="L141" s="191">
        <f t="shared" si="18"/>
        <v>-47.179487179487175</v>
      </c>
      <c r="M141" s="188">
        <f t="shared" si="19"/>
        <v>3.5558317366613156E-2</v>
      </c>
      <c r="N141" s="189">
        <f t="shared" si="20"/>
        <v>6.7687885951118937E-2</v>
      </c>
    </row>
    <row r="142" spans="1:14" hidden="1" outlineLevel="1">
      <c r="A142" s="180"/>
      <c r="B142" s="190" t="s">
        <v>812</v>
      </c>
      <c r="C142" s="186">
        <f t="shared" si="14"/>
        <v>53.125</v>
      </c>
      <c r="E142" s="182">
        <v>8</v>
      </c>
      <c r="F142" s="183">
        <v>15</v>
      </c>
      <c r="G142" s="191">
        <f t="shared" si="15"/>
        <v>-46.666666666666664</v>
      </c>
      <c r="H142" s="188">
        <f t="shared" si="16"/>
        <v>2.7328004372480702E-2</v>
      </c>
      <c r="I142" s="188">
        <f t="shared" si="17"/>
        <v>4.2282106212650807E-2</v>
      </c>
      <c r="J142" s="182">
        <v>98</v>
      </c>
      <c r="K142" s="183">
        <v>64</v>
      </c>
      <c r="L142" s="191">
        <f t="shared" si="18"/>
        <v>53.125</v>
      </c>
      <c r="M142" s="188">
        <f t="shared" si="19"/>
        <v>3.3832185455612521E-2</v>
      </c>
      <c r="N142" s="189">
        <f t="shared" si="20"/>
        <v>2.2215511286521085E-2</v>
      </c>
    </row>
    <row r="143" spans="1:14" hidden="1" outlineLevel="1">
      <c r="A143" s="180"/>
      <c r="B143" s="190" t="s">
        <v>809</v>
      </c>
      <c r="C143" s="186">
        <f t="shared" si="14"/>
        <v>-31.03448275862069</v>
      </c>
      <c r="E143" s="182">
        <v>1</v>
      </c>
      <c r="F143" s="183">
        <v>6</v>
      </c>
      <c r="G143" s="191">
        <f t="shared" si="15"/>
        <v>-83.333333333333343</v>
      </c>
      <c r="H143" s="188">
        <f t="shared" si="16"/>
        <v>3.4160005465600878E-3</v>
      </c>
      <c r="I143" s="188">
        <f t="shared" si="17"/>
        <v>1.6912842485060323E-2</v>
      </c>
      <c r="J143" s="182">
        <v>80</v>
      </c>
      <c r="K143" s="183">
        <v>116</v>
      </c>
      <c r="L143" s="191">
        <f t="shared" si="18"/>
        <v>-31.03448275862069</v>
      </c>
      <c r="M143" s="188">
        <f t="shared" si="19"/>
        <v>2.761811057601022E-2</v>
      </c>
      <c r="N143" s="189">
        <f t="shared" si="20"/>
        <v>4.0265614206819463E-2</v>
      </c>
    </row>
    <row r="144" spans="1:14" hidden="1" outlineLevel="1">
      <c r="A144" s="180"/>
      <c r="B144" s="190" t="s">
        <v>811</v>
      </c>
      <c r="C144" s="186">
        <f t="shared" si="14"/>
        <v>-8.1081081081081088</v>
      </c>
      <c r="E144" s="182">
        <v>0</v>
      </c>
      <c r="F144" s="183">
        <v>1</v>
      </c>
      <c r="G144" s="191">
        <f t="shared" si="15"/>
        <v>-100</v>
      </c>
      <c r="H144" s="188" t="str">
        <f t="shared" si="16"/>
        <v/>
      </c>
      <c r="I144" s="188">
        <f t="shared" si="17"/>
        <v>2.8188070808433871E-3</v>
      </c>
      <c r="J144" s="182">
        <v>34</v>
      </c>
      <c r="K144" s="183">
        <v>37</v>
      </c>
      <c r="L144" s="191">
        <f t="shared" si="18"/>
        <v>-8.1081081081081088</v>
      </c>
      <c r="M144" s="188">
        <f t="shared" si="19"/>
        <v>1.1737696994804344E-2</v>
      </c>
      <c r="N144" s="189">
        <f t="shared" si="20"/>
        <v>1.2843342462520002E-2</v>
      </c>
    </row>
    <row r="145" spans="1:14" hidden="1" outlineLevel="1">
      <c r="A145" s="180"/>
      <c r="B145" s="190" t="s">
        <v>1285</v>
      </c>
      <c r="C145" s="186" t="str">
        <f t="shared" si="14"/>
        <v/>
      </c>
      <c r="E145" s="182">
        <v>11</v>
      </c>
      <c r="F145" s="183">
        <v>0</v>
      </c>
      <c r="G145" s="191" t="str">
        <f t="shared" si="15"/>
        <v/>
      </c>
      <c r="H145" s="188">
        <f t="shared" si="16"/>
        <v>3.7576006012160962E-2</v>
      </c>
      <c r="I145" s="188" t="str">
        <f t="shared" si="17"/>
        <v/>
      </c>
      <c r="J145" s="182">
        <v>29</v>
      </c>
      <c r="K145" s="183">
        <v>0</v>
      </c>
      <c r="L145" s="191" t="str">
        <f t="shared" si="18"/>
        <v/>
      </c>
      <c r="M145" s="188">
        <f t="shared" si="19"/>
        <v>1.0011565083803704E-2</v>
      </c>
      <c r="N145" s="189" t="str">
        <f t="shared" si="20"/>
        <v/>
      </c>
    </row>
    <row r="146" spans="1:14" hidden="1" outlineLevel="1">
      <c r="A146" s="180"/>
      <c r="B146" s="190" t="s">
        <v>807</v>
      </c>
      <c r="C146" s="186">
        <f t="shared" si="14"/>
        <v>-91.287878787878782</v>
      </c>
      <c r="E146" s="182">
        <v>0</v>
      </c>
      <c r="F146" s="183">
        <v>26</v>
      </c>
      <c r="G146" s="191">
        <f t="shared" si="15"/>
        <v>-100</v>
      </c>
      <c r="H146" s="188" t="str">
        <f t="shared" si="16"/>
        <v/>
      </c>
      <c r="I146" s="188">
        <f t="shared" si="17"/>
        <v>7.3288984101928065E-2</v>
      </c>
      <c r="J146" s="182">
        <v>23</v>
      </c>
      <c r="K146" s="183">
        <v>264</v>
      </c>
      <c r="L146" s="191">
        <f t="shared" si="18"/>
        <v>-91.287878787878782</v>
      </c>
      <c r="M146" s="188">
        <f t="shared" si="19"/>
        <v>7.9402067906029373E-3</v>
      </c>
      <c r="N146" s="189">
        <f t="shared" si="20"/>
        <v>9.1638984056899478E-2</v>
      </c>
    </row>
    <row r="147" spans="1:14" hidden="1" outlineLevel="1">
      <c r="A147" s="180"/>
      <c r="B147" s="190" t="s">
        <v>1259</v>
      </c>
      <c r="C147" s="186" t="str">
        <f t="shared" si="14"/>
        <v/>
      </c>
      <c r="E147" s="182">
        <v>1</v>
      </c>
      <c r="F147" s="183">
        <v>0</v>
      </c>
      <c r="G147" s="191" t="str">
        <f t="shared" si="15"/>
        <v/>
      </c>
      <c r="H147" s="188">
        <f t="shared" si="16"/>
        <v>3.4160005465600878E-3</v>
      </c>
      <c r="I147" s="188" t="str">
        <f t="shared" si="17"/>
        <v/>
      </c>
      <c r="J147" s="182">
        <v>21</v>
      </c>
      <c r="K147" s="183">
        <v>0</v>
      </c>
      <c r="L147" s="191" t="str">
        <f t="shared" si="18"/>
        <v/>
      </c>
      <c r="M147" s="188">
        <f t="shared" si="19"/>
        <v>7.249754026202683E-3</v>
      </c>
      <c r="N147" s="189" t="str">
        <f t="shared" si="20"/>
        <v/>
      </c>
    </row>
    <row r="148" spans="1:14" hidden="1" outlineLevel="1">
      <c r="A148" s="180"/>
      <c r="B148" s="190" t="s">
        <v>984</v>
      </c>
      <c r="C148" s="186">
        <f t="shared" si="14"/>
        <v>63.636363636363633</v>
      </c>
      <c r="E148" s="182">
        <v>1</v>
      </c>
      <c r="F148" s="183">
        <v>2</v>
      </c>
      <c r="G148" s="191">
        <f t="shared" si="15"/>
        <v>-50</v>
      </c>
      <c r="H148" s="188">
        <f t="shared" si="16"/>
        <v>3.4160005465600878E-3</v>
      </c>
      <c r="I148" s="188">
        <f t="shared" si="17"/>
        <v>5.6376141616867742E-3</v>
      </c>
      <c r="J148" s="182">
        <v>18</v>
      </c>
      <c r="K148" s="183">
        <v>11</v>
      </c>
      <c r="L148" s="191">
        <f t="shared" si="18"/>
        <v>63.636363636363633</v>
      </c>
      <c r="M148" s="188">
        <f t="shared" si="19"/>
        <v>6.214074879602299E-3</v>
      </c>
      <c r="N148" s="189">
        <f t="shared" si="20"/>
        <v>3.8182910023708116E-3</v>
      </c>
    </row>
    <row r="149" spans="1:14" collapsed="1">
      <c r="A149" s="180" t="s">
        <v>1235</v>
      </c>
      <c r="B149" s="179" t="s">
        <v>288</v>
      </c>
      <c r="C149" s="186">
        <f t="shared" si="14"/>
        <v>18.968456947996589</v>
      </c>
      <c r="E149" s="182">
        <v>1505</v>
      </c>
      <c r="F149" s="183">
        <v>1230</v>
      </c>
      <c r="G149" s="191">
        <f t="shared" si="15"/>
        <v>22.35772357723577</v>
      </c>
      <c r="H149" s="188">
        <f t="shared" si="16"/>
        <v>5.1410808225729321</v>
      </c>
      <c r="I149" s="188">
        <f t="shared" si="17"/>
        <v>3.4671327094373665</v>
      </c>
      <c r="J149" s="182">
        <v>13955</v>
      </c>
      <c r="K149" s="183">
        <v>11730</v>
      </c>
      <c r="L149" s="191">
        <f t="shared" si="18"/>
        <v>18.968456947996589</v>
      </c>
      <c r="M149" s="188">
        <f t="shared" si="19"/>
        <v>4.8176341636027828</v>
      </c>
      <c r="N149" s="189">
        <f t="shared" si="20"/>
        <v>4.0716866779826928</v>
      </c>
    </row>
    <row r="150" spans="1:14" hidden="1" outlineLevel="1">
      <c r="A150" s="180"/>
      <c r="B150" s="190" t="s">
        <v>834</v>
      </c>
      <c r="C150" s="186">
        <f t="shared" si="14"/>
        <v>44.918559302592335</v>
      </c>
      <c r="E150" s="182">
        <v>931</v>
      </c>
      <c r="F150" s="183">
        <v>575</v>
      </c>
      <c r="G150" s="191">
        <f t="shared" si="15"/>
        <v>61.913043478260867</v>
      </c>
      <c r="H150" s="188">
        <f t="shared" si="16"/>
        <v>3.1802965088474409</v>
      </c>
      <c r="I150" s="188">
        <f t="shared" si="17"/>
        <v>1.6208140714849475</v>
      </c>
      <c r="J150" s="182">
        <v>6317</v>
      </c>
      <c r="K150" s="183">
        <v>4359</v>
      </c>
      <c r="L150" s="191">
        <f t="shared" si="18"/>
        <v>44.918559302592335</v>
      </c>
      <c r="M150" s="188">
        <f t="shared" si="19"/>
        <v>2.1807950563582068</v>
      </c>
      <c r="N150" s="189">
        <f t="shared" si="20"/>
        <v>1.513084589030397</v>
      </c>
    </row>
    <row r="151" spans="1:14" hidden="1" outlineLevel="1">
      <c r="A151" s="180"/>
      <c r="B151" s="190" t="s">
        <v>835</v>
      </c>
      <c r="C151" s="186">
        <f t="shared" si="14"/>
        <v>-1.2350936967632027</v>
      </c>
      <c r="E151" s="182">
        <v>204</v>
      </c>
      <c r="F151" s="183">
        <v>187</v>
      </c>
      <c r="G151" s="191">
        <f t="shared" si="15"/>
        <v>9.0909090909090917</v>
      </c>
      <c r="H151" s="188">
        <f t="shared" si="16"/>
        <v>0.69686411149825789</v>
      </c>
      <c r="I151" s="188">
        <f t="shared" si="17"/>
        <v>0.52711692411771338</v>
      </c>
      <c r="J151" s="182">
        <v>2319</v>
      </c>
      <c r="K151" s="183">
        <v>2348</v>
      </c>
      <c r="L151" s="191">
        <f t="shared" si="18"/>
        <v>-1.2350936967632027</v>
      </c>
      <c r="M151" s="188">
        <f t="shared" si="19"/>
        <v>0.80057998032209632</v>
      </c>
      <c r="N151" s="189">
        <f t="shared" si="20"/>
        <v>0.81503157032424223</v>
      </c>
    </row>
    <row r="152" spans="1:14" hidden="1" outlineLevel="1">
      <c r="A152" s="180"/>
      <c r="B152" s="190" t="s">
        <v>836</v>
      </c>
      <c r="C152" s="186">
        <f t="shared" si="14"/>
        <v>-8.6624203821656049</v>
      </c>
      <c r="E152" s="182">
        <v>91</v>
      </c>
      <c r="F152" s="183">
        <v>134</v>
      </c>
      <c r="G152" s="191">
        <f t="shared" si="15"/>
        <v>-32.089552238805972</v>
      </c>
      <c r="H152" s="188">
        <f t="shared" si="16"/>
        <v>0.31085604973696795</v>
      </c>
      <c r="I152" s="188">
        <f t="shared" si="17"/>
        <v>0.37772014883301386</v>
      </c>
      <c r="J152" s="182">
        <v>1434</v>
      </c>
      <c r="K152" s="183">
        <v>1570</v>
      </c>
      <c r="L152" s="191">
        <f t="shared" si="18"/>
        <v>-8.6624203821656049</v>
      </c>
      <c r="M152" s="188">
        <f t="shared" si="19"/>
        <v>0.49505463207498313</v>
      </c>
      <c r="N152" s="189">
        <f t="shared" si="20"/>
        <v>0.54497426124747039</v>
      </c>
    </row>
    <row r="153" spans="1:14" hidden="1" outlineLevel="1">
      <c r="A153" s="180"/>
      <c r="B153" s="190" t="s">
        <v>838</v>
      </c>
      <c r="C153" s="186">
        <f t="shared" si="14"/>
        <v>20.038535645472059</v>
      </c>
      <c r="E153" s="182">
        <v>73</v>
      </c>
      <c r="F153" s="183">
        <v>95</v>
      </c>
      <c r="G153" s="191">
        <f t="shared" si="15"/>
        <v>-23.157894736842106</v>
      </c>
      <c r="H153" s="188">
        <f t="shared" si="16"/>
        <v>0.2493680398988864</v>
      </c>
      <c r="I153" s="188">
        <f t="shared" si="17"/>
        <v>0.2677866726801218</v>
      </c>
      <c r="J153" s="182">
        <v>1246</v>
      </c>
      <c r="K153" s="183">
        <v>1038</v>
      </c>
      <c r="L153" s="191">
        <f t="shared" si="18"/>
        <v>20.038535645472059</v>
      </c>
      <c r="M153" s="188">
        <f t="shared" si="19"/>
        <v>0.43015207222135915</v>
      </c>
      <c r="N153" s="189">
        <f t="shared" si="20"/>
        <v>0.36030782367826386</v>
      </c>
    </row>
    <row r="154" spans="1:14" hidden="1" outlineLevel="1">
      <c r="A154" s="180"/>
      <c r="B154" s="190" t="s">
        <v>837</v>
      </c>
      <c r="C154" s="186">
        <f t="shared" si="14"/>
        <v>-11.011011011011011</v>
      </c>
      <c r="E154" s="182">
        <v>93</v>
      </c>
      <c r="F154" s="183">
        <v>79</v>
      </c>
      <c r="G154" s="191">
        <f t="shared" si="15"/>
        <v>17.721518987341771</v>
      </c>
      <c r="H154" s="188">
        <f t="shared" si="16"/>
        <v>0.31768805083008816</v>
      </c>
      <c r="I154" s="188">
        <f t="shared" si="17"/>
        <v>0.22268575938662757</v>
      </c>
      <c r="J154" s="182">
        <v>889</v>
      </c>
      <c r="K154" s="183">
        <v>999</v>
      </c>
      <c r="L154" s="191">
        <f t="shared" si="18"/>
        <v>-11.011011011011011</v>
      </c>
      <c r="M154" s="188">
        <f t="shared" si="19"/>
        <v>0.30690625377591352</v>
      </c>
      <c r="N154" s="189">
        <f t="shared" si="20"/>
        <v>0.34677024648804006</v>
      </c>
    </row>
    <row r="155" spans="1:14" hidden="1" outlineLevel="1">
      <c r="A155" s="180"/>
      <c r="B155" s="190" t="s">
        <v>841</v>
      </c>
      <c r="C155" s="186">
        <f t="shared" si="14"/>
        <v>32.911392405063289</v>
      </c>
      <c r="E155" s="182">
        <v>60</v>
      </c>
      <c r="F155" s="183">
        <v>38</v>
      </c>
      <c r="G155" s="191">
        <f t="shared" si="15"/>
        <v>57.894736842105267</v>
      </c>
      <c r="H155" s="188">
        <f t="shared" si="16"/>
        <v>0.20496003279360525</v>
      </c>
      <c r="I155" s="188">
        <f t="shared" si="17"/>
        <v>0.10711466907204871</v>
      </c>
      <c r="J155" s="182">
        <v>735</v>
      </c>
      <c r="K155" s="183">
        <v>553</v>
      </c>
      <c r="L155" s="191">
        <f t="shared" si="18"/>
        <v>32.911392405063289</v>
      </c>
      <c r="M155" s="188">
        <f t="shared" si="19"/>
        <v>0.25374139091709386</v>
      </c>
      <c r="N155" s="189">
        <f t="shared" si="20"/>
        <v>0.19195590221009626</v>
      </c>
    </row>
    <row r="156" spans="1:14" hidden="1" outlineLevel="1">
      <c r="A156" s="180"/>
      <c r="B156" s="190" t="s">
        <v>839</v>
      </c>
      <c r="C156" s="186">
        <f t="shared" si="14"/>
        <v>37.236533957845438</v>
      </c>
      <c r="E156" s="182">
        <v>32</v>
      </c>
      <c r="F156" s="183">
        <v>90</v>
      </c>
      <c r="G156" s="191">
        <f t="shared" si="15"/>
        <v>-64.444444444444443</v>
      </c>
      <c r="H156" s="188">
        <f t="shared" si="16"/>
        <v>0.10931201748992281</v>
      </c>
      <c r="I156" s="188">
        <f t="shared" si="17"/>
        <v>0.25369263727590485</v>
      </c>
      <c r="J156" s="182">
        <v>586</v>
      </c>
      <c r="K156" s="183">
        <v>427</v>
      </c>
      <c r="L156" s="191">
        <f t="shared" si="18"/>
        <v>37.236533957845438</v>
      </c>
      <c r="M156" s="188">
        <f t="shared" si="19"/>
        <v>0.20230265996927485</v>
      </c>
      <c r="N156" s="189">
        <f t="shared" si="20"/>
        <v>0.14821911436475788</v>
      </c>
    </row>
    <row r="157" spans="1:14" hidden="1" outlineLevel="1">
      <c r="A157" s="180"/>
      <c r="B157" s="190" t="s">
        <v>840</v>
      </c>
      <c r="C157" s="186">
        <f t="shared" si="14"/>
        <v>-1.6055045871559634</v>
      </c>
      <c r="E157" s="182">
        <v>21</v>
      </c>
      <c r="F157" s="183">
        <v>32</v>
      </c>
      <c r="G157" s="191">
        <f t="shared" si="15"/>
        <v>-34.375</v>
      </c>
      <c r="H157" s="188">
        <f t="shared" si="16"/>
        <v>7.1736011477761846E-2</v>
      </c>
      <c r="I157" s="188">
        <f t="shared" si="17"/>
        <v>9.0201826586988387E-2</v>
      </c>
      <c r="J157" s="182">
        <v>429</v>
      </c>
      <c r="K157" s="183">
        <v>436</v>
      </c>
      <c r="L157" s="191">
        <f t="shared" si="18"/>
        <v>-1.6055045871559634</v>
      </c>
      <c r="M157" s="188">
        <f t="shared" si="19"/>
        <v>0.14810211796385481</v>
      </c>
      <c r="N157" s="189">
        <f t="shared" si="20"/>
        <v>0.1513431706394249</v>
      </c>
    </row>
    <row r="158" spans="1:14" collapsed="1">
      <c r="A158" s="180" t="s">
        <v>1327</v>
      </c>
      <c r="B158" s="179" t="s">
        <v>284</v>
      </c>
      <c r="C158" s="186">
        <f t="shared" si="14"/>
        <v>-1.8872736546799287</v>
      </c>
      <c r="E158" s="182">
        <v>474</v>
      </c>
      <c r="F158" s="183">
        <v>698</v>
      </c>
      <c r="G158" s="191">
        <f t="shared" si="15"/>
        <v>-32.091690544412607</v>
      </c>
      <c r="H158" s="188">
        <f t="shared" si="16"/>
        <v>1.6191842590694814</v>
      </c>
      <c r="I158" s="188">
        <f t="shared" si="17"/>
        <v>1.9675273424286841</v>
      </c>
      <c r="J158" s="182">
        <v>7694</v>
      </c>
      <c r="K158" s="183">
        <v>7842</v>
      </c>
      <c r="L158" s="191">
        <f t="shared" si="18"/>
        <v>-1.8872736546799287</v>
      </c>
      <c r="M158" s="188">
        <f t="shared" si="19"/>
        <v>2.6561717846477828</v>
      </c>
      <c r="N158" s="189">
        <f t="shared" si="20"/>
        <v>2.722094367326537</v>
      </c>
    </row>
    <row r="159" spans="1:14" hidden="1" outlineLevel="1">
      <c r="A159" s="180"/>
      <c r="B159" s="190">
        <v>3008</v>
      </c>
      <c r="C159" s="186">
        <f t="shared" si="14"/>
        <v>21.523915461624028</v>
      </c>
      <c r="E159" s="182">
        <v>146</v>
      </c>
      <c r="F159" s="183">
        <v>60</v>
      </c>
      <c r="G159" s="191">
        <f t="shared" si="15"/>
        <v>143.33333333333334</v>
      </c>
      <c r="H159" s="188">
        <f t="shared" si="16"/>
        <v>0.49873607979777279</v>
      </c>
      <c r="I159" s="188">
        <f t="shared" si="17"/>
        <v>0.16912842485060323</v>
      </c>
      <c r="J159" s="182">
        <v>2185</v>
      </c>
      <c r="K159" s="183">
        <v>1798</v>
      </c>
      <c r="L159" s="191">
        <f t="shared" si="18"/>
        <v>21.523915461624028</v>
      </c>
      <c r="M159" s="188">
        <f t="shared" si="19"/>
        <v>0.75431964510727911</v>
      </c>
      <c r="N159" s="189">
        <f t="shared" si="20"/>
        <v>0.62411702020570181</v>
      </c>
    </row>
    <row r="160" spans="1:14" hidden="1" outlineLevel="1">
      <c r="A160" s="180"/>
      <c r="B160" s="190">
        <v>2008</v>
      </c>
      <c r="C160" s="186">
        <f t="shared" si="14"/>
        <v>-34.929320565435482</v>
      </c>
      <c r="E160" s="182">
        <v>77</v>
      </c>
      <c r="F160" s="183">
        <v>381</v>
      </c>
      <c r="G160" s="191">
        <f t="shared" si="15"/>
        <v>-79.790026246719165</v>
      </c>
      <c r="H160" s="188">
        <f t="shared" si="16"/>
        <v>0.2630320420851267</v>
      </c>
      <c r="I160" s="188">
        <f t="shared" si="17"/>
        <v>1.0739654978013304</v>
      </c>
      <c r="J160" s="182">
        <v>1427</v>
      </c>
      <c r="K160" s="183">
        <v>2193</v>
      </c>
      <c r="L160" s="191">
        <f t="shared" si="18"/>
        <v>-34.929320565435482</v>
      </c>
      <c r="M160" s="188">
        <f t="shared" si="19"/>
        <v>0.49263804739958228</v>
      </c>
      <c r="N160" s="189">
        <f t="shared" si="20"/>
        <v>0.76122837892719908</v>
      </c>
    </row>
    <row r="161" spans="1:14" hidden="1" outlineLevel="1">
      <c r="A161" s="180"/>
      <c r="B161" s="190">
        <v>5008</v>
      </c>
      <c r="C161" s="186">
        <f t="shared" si="14"/>
        <v>207.48129675810475</v>
      </c>
      <c r="E161" s="182">
        <v>133</v>
      </c>
      <c r="F161" s="183">
        <v>23</v>
      </c>
      <c r="G161" s="191">
        <f t="shared" si="15"/>
        <v>478.26086956521738</v>
      </c>
      <c r="H161" s="188">
        <f t="shared" si="16"/>
        <v>0.45432807269249165</v>
      </c>
      <c r="I161" s="188">
        <f t="shared" si="17"/>
        <v>6.4832562859397896E-2</v>
      </c>
      <c r="J161" s="182">
        <v>1233</v>
      </c>
      <c r="K161" s="183">
        <v>401</v>
      </c>
      <c r="L161" s="191">
        <f t="shared" si="18"/>
        <v>207.48129675810475</v>
      </c>
      <c r="M161" s="188">
        <f t="shared" si="19"/>
        <v>0.42566412925275754</v>
      </c>
      <c r="N161" s="189">
        <f t="shared" si="20"/>
        <v>0.13919406290460867</v>
      </c>
    </row>
    <row r="162" spans="1:14" hidden="1" outlineLevel="1">
      <c r="A162" s="180"/>
      <c r="B162" s="190">
        <v>208</v>
      </c>
      <c r="C162" s="186">
        <f t="shared" si="14"/>
        <v>-49.125874125874127</v>
      </c>
      <c r="E162" s="182">
        <v>17</v>
      </c>
      <c r="F162" s="183">
        <v>101</v>
      </c>
      <c r="G162" s="191">
        <f t="shared" si="15"/>
        <v>-83.168316831683171</v>
      </c>
      <c r="H162" s="188">
        <f t="shared" si="16"/>
        <v>5.8072009291521488E-2</v>
      </c>
      <c r="I162" s="188">
        <f t="shared" si="17"/>
        <v>0.2846995151651821</v>
      </c>
      <c r="J162" s="182">
        <v>1164</v>
      </c>
      <c r="K162" s="183">
        <v>2288</v>
      </c>
      <c r="L162" s="191">
        <f t="shared" si="18"/>
        <v>-49.125874125874127</v>
      </c>
      <c r="M162" s="188">
        <f t="shared" si="19"/>
        <v>0.40184350888094866</v>
      </c>
      <c r="N162" s="189">
        <f t="shared" si="20"/>
        <v>0.79420452849312884</v>
      </c>
    </row>
    <row r="163" spans="1:14" hidden="1" outlineLevel="1">
      <c r="A163" s="180"/>
      <c r="B163" s="190">
        <v>308</v>
      </c>
      <c r="C163" s="186">
        <f t="shared" si="14"/>
        <v>47.549668874172184</v>
      </c>
      <c r="E163" s="182">
        <v>49</v>
      </c>
      <c r="F163" s="183">
        <v>95</v>
      </c>
      <c r="G163" s="191">
        <f t="shared" si="15"/>
        <v>-48.421052631578945</v>
      </c>
      <c r="H163" s="188">
        <f t="shared" si="16"/>
        <v>0.16738402678144429</v>
      </c>
      <c r="I163" s="188">
        <f t="shared" si="17"/>
        <v>0.2677866726801218</v>
      </c>
      <c r="J163" s="182">
        <v>1114</v>
      </c>
      <c r="K163" s="183">
        <v>755</v>
      </c>
      <c r="L163" s="191">
        <f t="shared" si="18"/>
        <v>47.549668874172184</v>
      </c>
      <c r="M163" s="188">
        <f t="shared" si="19"/>
        <v>0.38458218977094227</v>
      </c>
      <c r="N163" s="189">
        <f t="shared" si="20"/>
        <v>0.26207360970817845</v>
      </c>
    </row>
    <row r="164" spans="1:14" hidden="1" outlineLevel="1">
      <c r="A164" s="180"/>
      <c r="B164" s="190">
        <v>408</v>
      </c>
      <c r="C164" s="186">
        <f t="shared" si="14"/>
        <v>30800</v>
      </c>
      <c r="E164" s="182">
        <v>27</v>
      </c>
      <c r="F164" s="183">
        <v>1</v>
      </c>
      <c r="G164" s="191">
        <f t="shared" si="15"/>
        <v>2600</v>
      </c>
      <c r="H164" s="188">
        <f t="shared" si="16"/>
        <v>9.2232014757122366E-2</v>
      </c>
      <c r="I164" s="188">
        <f t="shared" si="17"/>
        <v>2.8188070808433871E-3</v>
      </c>
      <c r="J164" s="182">
        <v>309</v>
      </c>
      <c r="K164" s="183">
        <v>1</v>
      </c>
      <c r="L164" s="191">
        <f t="shared" si="18"/>
        <v>30800</v>
      </c>
      <c r="M164" s="188">
        <f t="shared" si="19"/>
        <v>0.10667495209983947</v>
      </c>
      <c r="N164" s="189">
        <f t="shared" si="20"/>
        <v>3.4711736385189195E-4</v>
      </c>
    </row>
    <row r="165" spans="1:14" hidden="1" outlineLevel="1">
      <c r="A165" s="180"/>
      <c r="B165" s="190" t="s">
        <v>858</v>
      </c>
      <c r="C165" s="186">
        <f t="shared" si="14"/>
        <v>-3.8461538461538463</v>
      </c>
      <c r="E165" s="182">
        <v>10</v>
      </c>
      <c r="F165" s="183">
        <v>10</v>
      </c>
      <c r="G165" s="191">
        <f t="shared" si="15"/>
        <v>0</v>
      </c>
      <c r="H165" s="188">
        <f t="shared" si="16"/>
        <v>3.4160005465600871E-2</v>
      </c>
      <c r="I165" s="188">
        <f t="shared" si="17"/>
        <v>2.8188070808433871E-2</v>
      </c>
      <c r="J165" s="182">
        <v>100</v>
      </c>
      <c r="K165" s="183">
        <v>104</v>
      </c>
      <c r="L165" s="191">
        <f t="shared" si="18"/>
        <v>-3.8461538461538463</v>
      </c>
      <c r="M165" s="188">
        <f t="shared" si="19"/>
        <v>3.4522638220012773E-2</v>
      </c>
      <c r="N165" s="189">
        <f t="shared" si="20"/>
        <v>3.6100205840596762E-2</v>
      </c>
    </row>
    <row r="166" spans="1:14" hidden="1" outlineLevel="1">
      <c r="A166" s="180"/>
      <c r="B166" s="190" t="s">
        <v>859</v>
      </c>
      <c r="C166" s="186">
        <f t="shared" si="14"/>
        <v>-10.588235294117647</v>
      </c>
      <c r="E166" s="182">
        <v>9</v>
      </c>
      <c r="F166" s="183">
        <v>8</v>
      </c>
      <c r="G166" s="191">
        <f t="shared" si="15"/>
        <v>12.5</v>
      </c>
      <c r="H166" s="188">
        <f t="shared" si="16"/>
        <v>3.0744004919040786E-2</v>
      </c>
      <c r="I166" s="188">
        <f t="shared" si="17"/>
        <v>2.2550456646747097E-2</v>
      </c>
      <c r="J166" s="182">
        <v>76</v>
      </c>
      <c r="K166" s="183">
        <v>85</v>
      </c>
      <c r="L166" s="191">
        <f t="shared" si="18"/>
        <v>-10.588235294117647</v>
      </c>
      <c r="M166" s="188">
        <f t="shared" si="19"/>
        <v>2.6237205047209708E-2</v>
      </c>
      <c r="N166" s="189">
        <f t="shared" si="20"/>
        <v>2.9504975927410818E-2</v>
      </c>
    </row>
    <row r="167" spans="1:14" hidden="1" outlineLevel="1">
      <c r="A167" s="180"/>
      <c r="B167" s="190" t="s">
        <v>860</v>
      </c>
      <c r="C167" s="186">
        <f t="shared" si="14"/>
        <v>12.5</v>
      </c>
      <c r="E167" s="182">
        <v>0</v>
      </c>
      <c r="F167" s="183">
        <v>3</v>
      </c>
      <c r="G167" s="191">
        <f t="shared" si="15"/>
        <v>-100</v>
      </c>
      <c r="H167" s="188" t="str">
        <f t="shared" si="16"/>
        <v/>
      </c>
      <c r="I167" s="188">
        <f t="shared" si="17"/>
        <v>8.4564212425301613E-3</v>
      </c>
      <c r="J167" s="182">
        <v>45</v>
      </c>
      <c r="K167" s="183">
        <v>40</v>
      </c>
      <c r="L167" s="191">
        <f t="shared" si="18"/>
        <v>12.5</v>
      </c>
      <c r="M167" s="188">
        <f t="shared" si="19"/>
        <v>1.5535187199005747E-2</v>
      </c>
      <c r="N167" s="189">
        <f t="shared" si="20"/>
        <v>1.3884694554075677E-2</v>
      </c>
    </row>
    <row r="168" spans="1:14" hidden="1" outlineLevel="1">
      <c r="A168" s="180"/>
      <c r="B168" s="190">
        <v>508</v>
      </c>
      <c r="C168" s="186">
        <f t="shared" si="14"/>
        <v>-74.050632911392398</v>
      </c>
      <c r="E168" s="182">
        <v>6</v>
      </c>
      <c r="F168" s="183">
        <v>16</v>
      </c>
      <c r="G168" s="191">
        <f t="shared" si="15"/>
        <v>-62.5</v>
      </c>
      <c r="H168" s="188">
        <f t="shared" si="16"/>
        <v>2.0496003279360527E-2</v>
      </c>
      <c r="I168" s="188">
        <f t="shared" si="17"/>
        <v>4.5100913293494194E-2</v>
      </c>
      <c r="J168" s="182">
        <v>41</v>
      </c>
      <c r="K168" s="183">
        <v>158</v>
      </c>
      <c r="L168" s="191">
        <f t="shared" si="18"/>
        <v>-74.050632911392398</v>
      </c>
      <c r="M168" s="188">
        <f t="shared" si="19"/>
        <v>1.4154281670205238E-2</v>
      </c>
      <c r="N168" s="189">
        <f t="shared" si="20"/>
        <v>5.4844543488598928E-2</v>
      </c>
    </row>
    <row r="169" spans="1:14" hidden="1" outlineLevel="1">
      <c r="A169" s="180"/>
      <c r="B169" s="190">
        <v>108</v>
      </c>
      <c r="C169" s="186">
        <f t="shared" si="14"/>
        <v>-100</v>
      </c>
      <c r="E169" s="182">
        <v>0</v>
      </c>
      <c r="F169" s="183">
        <v>0</v>
      </c>
      <c r="G169" s="191" t="str">
        <f t="shared" si="15"/>
        <v/>
      </c>
      <c r="H169" s="188" t="str">
        <f t="shared" si="16"/>
        <v/>
      </c>
      <c r="I169" s="188" t="str">
        <f t="shared" si="17"/>
        <v/>
      </c>
      <c r="J169" s="182">
        <v>0</v>
      </c>
      <c r="K169" s="183">
        <v>19</v>
      </c>
      <c r="L169" s="191">
        <f t="shared" si="18"/>
        <v>-100</v>
      </c>
      <c r="M169" s="188" t="str">
        <f t="shared" si="19"/>
        <v/>
      </c>
      <c r="N169" s="189">
        <f t="shared" si="20"/>
        <v>6.5952299131859472E-3</v>
      </c>
    </row>
    <row r="170" spans="1:14" collapsed="1">
      <c r="A170" s="180" t="s">
        <v>1328</v>
      </c>
      <c r="B170" s="179" t="s">
        <v>588</v>
      </c>
      <c r="C170" s="186">
        <f t="shared" si="14"/>
        <v>-18.531220435193944</v>
      </c>
      <c r="E170" s="182">
        <v>222</v>
      </c>
      <c r="F170" s="183">
        <v>1462</v>
      </c>
      <c r="G170" s="191">
        <f t="shared" si="15"/>
        <v>-84.815321477428185</v>
      </c>
      <c r="H170" s="188">
        <f t="shared" si="16"/>
        <v>0.75835212133633945</v>
      </c>
      <c r="I170" s="188">
        <f t="shared" si="17"/>
        <v>4.1210959521930315</v>
      </c>
      <c r="J170" s="182">
        <v>6889</v>
      </c>
      <c r="K170" s="183">
        <v>8456</v>
      </c>
      <c r="L170" s="191">
        <f t="shared" si="18"/>
        <v>-18.531220435193944</v>
      </c>
      <c r="M170" s="188">
        <f t="shared" si="19"/>
        <v>2.3782645469766801</v>
      </c>
      <c r="N170" s="189">
        <f t="shared" si="20"/>
        <v>2.9352244287315985</v>
      </c>
    </row>
    <row r="171" spans="1:14" hidden="1" outlineLevel="1">
      <c r="A171" s="180"/>
      <c r="B171" s="190" t="s">
        <v>1004</v>
      </c>
      <c r="C171" s="186">
        <f t="shared" si="14"/>
        <v>710.22364217252402</v>
      </c>
      <c r="E171" s="182">
        <v>106</v>
      </c>
      <c r="F171" s="183">
        <v>198</v>
      </c>
      <c r="G171" s="191">
        <f t="shared" si="15"/>
        <v>-46.464646464646464</v>
      </c>
      <c r="H171" s="188">
        <f t="shared" si="16"/>
        <v>0.36209605793536925</v>
      </c>
      <c r="I171" s="188">
        <f t="shared" si="17"/>
        <v>0.55812380200699063</v>
      </c>
      <c r="J171" s="182">
        <v>2536</v>
      </c>
      <c r="K171" s="183">
        <v>313</v>
      </c>
      <c r="L171" s="191">
        <f t="shared" si="18"/>
        <v>710.22364217252402</v>
      </c>
      <c r="M171" s="188">
        <f t="shared" si="19"/>
        <v>0.87549410525952398</v>
      </c>
      <c r="N171" s="189">
        <f t="shared" si="20"/>
        <v>0.10864773488564218</v>
      </c>
    </row>
    <row r="172" spans="1:14" hidden="1" outlineLevel="1">
      <c r="A172" s="180"/>
      <c r="B172" s="190" t="s">
        <v>864</v>
      </c>
      <c r="C172" s="186">
        <f t="shared" si="14"/>
        <v>17.071569271175314</v>
      </c>
      <c r="E172" s="182">
        <v>50</v>
      </c>
      <c r="F172" s="183">
        <v>403</v>
      </c>
      <c r="G172" s="191">
        <f t="shared" si="15"/>
        <v>-87.593052109181144</v>
      </c>
      <c r="H172" s="188">
        <f t="shared" si="16"/>
        <v>0.17080002732800437</v>
      </c>
      <c r="I172" s="188">
        <f t="shared" si="17"/>
        <v>1.1359792535798849</v>
      </c>
      <c r="J172" s="182">
        <v>1783</v>
      </c>
      <c r="K172" s="183">
        <v>1523</v>
      </c>
      <c r="L172" s="191">
        <f t="shared" si="18"/>
        <v>17.071569271175314</v>
      </c>
      <c r="M172" s="188">
        <f t="shared" si="19"/>
        <v>0.61553863946282772</v>
      </c>
      <c r="N172" s="189">
        <f t="shared" si="20"/>
        <v>0.52865974514643144</v>
      </c>
    </row>
    <row r="173" spans="1:14" hidden="1" outlineLevel="1">
      <c r="A173" s="180"/>
      <c r="B173" s="190" t="s">
        <v>863</v>
      </c>
      <c r="C173" s="186">
        <f t="shared" si="14"/>
        <v>-48.811544991511035</v>
      </c>
      <c r="E173" s="182">
        <v>7</v>
      </c>
      <c r="F173" s="183">
        <v>641</v>
      </c>
      <c r="G173" s="191">
        <f t="shared" si="15"/>
        <v>-98.907956318252729</v>
      </c>
      <c r="H173" s="188">
        <f t="shared" si="16"/>
        <v>2.3912003825920614E-2</v>
      </c>
      <c r="I173" s="188">
        <f t="shared" si="17"/>
        <v>1.806855338820611</v>
      </c>
      <c r="J173" s="182">
        <v>1206</v>
      </c>
      <c r="K173" s="183">
        <v>2356</v>
      </c>
      <c r="L173" s="191">
        <f t="shared" si="18"/>
        <v>-48.811544991511035</v>
      </c>
      <c r="M173" s="188">
        <f t="shared" si="19"/>
        <v>0.41634301693335402</v>
      </c>
      <c r="N173" s="189">
        <f t="shared" si="20"/>
        <v>0.81780850923505755</v>
      </c>
    </row>
    <row r="174" spans="1:14" hidden="1" outlineLevel="1">
      <c r="A174" s="180"/>
      <c r="B174" s="190" t="s">
        <v>862</v>
      </c>
      <c r="C174" s="186">
        <f t="shared" si="14"/>
        <v>-62.31484671029969</v>
      </c>
      <c r="E174" s="182">
        <v>55</v>
      </c>
      <c r="F174" s="183">
        <v>213</v>
      </c>
      <c r="G174" s="191">
        <f t="shared" si="15"/>
        <v>-74.178403755868544</v>
      </c>
      <c r="H174" s="188">
        <f t="shared" si="16"/>
        <v>0.18788003006080481</v>
      </c>
      <c r="I174" s="188">
        <f t="shared" si="17"/>
        <v>0.60040590821964146</v>
      </c>
      <c r="J174" s="182">
        <v>1094</v>
      </c>
      <c r="K174" s="183">
        <v>2903</v>
      </c>
      <c r="L174" s="191">
        <f t="shared" si="18"/>
        <v>-62.31484671029969</v>
      </c>
      <c r="M174" s="188">
        <f t="shared" si="19"/>
        <v>0.37767766212693976</v>
      </c>
      <c r="N174" s="189">
        <f t="shared" si="20"/>
        <v>1.0076817072620423</v>
      </c>
    </row>
    <row r="175" spans="1:14" hidden="1" outlineLevel="1">
      <c r="A175" s="180"/>
      <c r="B175" s="190" t="s">
        <v>861</v>
      </c>
      <c r="C175" s="186">
        <f t="shared" si="14"/>
        <v>-80.96987509184423</v>
      </c>
      <c r="E175" s="182">
        <v>4</v>
      </c>
      <c r="F175" s="183">
        <v>7</v>
      </c>
      <c r="G175" s="191">
        <f t="shared" si="15"/>
        <v>-42.857142857142854</v>
      </c>
      <c r="H175" s="188">
        <f t="shared" si="16"/>
        <v>1.3664002186240351E-2</v>
      </c>
      <c r="I175" s="188">
        <f t="shared" si="17"/>
        <v>1.973164956590371E-2</v>
      </c>
      <c r="J175" s="182">
        <v>259</v>
      </c>
      <c r="K175" s="183">
        <v>1361</v>
      </c>
      <c r="L175" s="191">
        <f t="shared" si="18"/>
        <v>-80.96987509184423</v>
      </c>
      <c r="M175" s="188">
        <f t="shared" si="19"/>
        <v>8.9413632989833083E-2</v>
      </c>
      <c r="N175" s="189">
        <f t="shared" si="20"/>
        <v>0.47242673220242498</v>
      </c>
    </row>
    <row r="176" spans="1:14" hidden="1" outlineLevel="1">
      <c r="A176" s="180"/>
      <c r="B176" s="190" t="s">
        <v>1307</v>
      </c>
      <c r="C176" s="186" t="str">
        <f t="shared" si="14"/>
        <v/>
      </c>
      <c r="E176" s="182">
        <v>0</v>
      </c>
      <c r="F176" s="183">
        <v>0</v>
      </c>
      <c r="G176" s="191" t="str">
        <f t="shared" si="15"/>
        <v/>
      </c>
      <c r="H176" s="188" t="str">
        <f t="shared" si="16"/>
        <v/>
      </c>
      <c r="I176" s="188" t="str">
        <f t="shared" si="17"/>
        <v/>
      </c>
      <c r="J176" s="182">
        <v>10</v>
      </c>
      <c r="K176" s="183">
        <v>0</v>
      </c>
      <c r="L176" s="191" t="str">
        <f t="shared" si="18"/>
        <v/>
      </c>
      <c r="M176" s="188">
        <f t="shared" si="19"/>
        <v>3.4522638220012775E-3</v>
      </c>
      <c r="N176" s="189" t="str">
        <f t="shared" si="20"/>
        <v/>
      </c>
    </row>
    <row r="177" spans="1:14" hidden="1" outlineLevel="1">
      <c r="A177" s="180"/>
      <c r="B177" s="190" t="s">
        <v>1286</v>
      </c>
      <c r="C177" s="186" t="str">
        <f t="shared" si="14"/>
        <v/>
      </c>
      <c r="E177" s="182">
        <v>0</v>
      </c>
      <c r="F177" s="183">
        <v>0</v>
      </c>
      <c r="G177" s="191" t="str">
        <f t="shared" si="15"/>
        <v/>
      </c>
      <c r="H177" s="188" t="str">
        <f t="shared" si="16"/>
        <v/>
      </c>
      <c r="I177" s="188" t="str">
        <f t="shared" si="17"/>
        <v/>
      </c>
      <c r="J177" s="182">
        <v>1</v>
      </c>
      <c r="K177" s="183">
        <v>0</v>
      </c>
      <c r="L177" s="191" t="str">
        <f t="shared" si="18"/>
        <v/>
      </c>
      <c r="M177" s="188">
        <f t="shared" si="19"/>
        <v>3.4522638220012774E-4</v>
      </c>
      <c r="N177" s="189" t="str">
        <f t="shared" si="20"/>
        <v/>
      </c>
    </row>
    <row r="178" spans="1:14" collapsed="1">
      <c r="A178" s="180" t="s">
        <v>1236</v>
      </c>
      <c r="B178" s="179" t="s">
        <v>266</v>
      </c>
      <c r="C178" s="186">
        <f t="shared" si="14"/>
        <v>-37.571441956338425</v>
      </c>
      <c r="E178" s="182">
        <v>674</v>
      </c>
      <c r="F178" s="183">
        <v>1170</v>
      </c>
      <c r="G178" s="191">
        <f t="shared" si="15"/>
        <v>-42.393162393162392</v>
      </c>
      <c r="H178" s="188">
        <f t="shared" si="16"/>
        <v>2.3023843683814991</v>
      </c>
      <c r="I178" s="188">
        <f t="shared" si="17"/>
        <v>3.2980042845867628</v>
      </c>
      <c r="J178" s="182">
        <v>6663</v>
      </c>
      <c r="K178" s="183">
        <v>10673</v>
      </c>
      <c r="L178" s="191">
        <f t="shared" si="18"/>
        <v>-37.571441956338425</v>
      </c>
      <c r="M178" s="188">
        <f t="shared" si="19"/>
        <v>2.300243384599451</v>
      </c>
      <c r="N178" s="189">
        <f t="shared" si="20"/>
        <v>3.7047836243912431</v>
      </c>
    </row>
    <row r="179" spans="1:14" hidden="1" outlineLevel="1">
      <c r="A179" s="180"/>
      <c r="B179" s="190" t="s">
        <v>845</v>
      </c>
      <c r="C179" s="186">
        <f t="shared" si="14"/>
        <v>-44.92278895648105</v>
      </c>
      <c r="E179" s="182">
        <v>480</v>
      </c>
      <c r="F179" s="183">
        <v>627</v>
      </c>
      <c r="G179" s="191">
        <f t="shared" si="15"/>
        <v>-23.444976076555022</v>
      </c>
      <c r="H179" s="188">
        <f t="shared" si="16"/>
        <v>1.639680262348842</v>
      </c>
      <c r="I179" s="188">
        <f t="shared" si="17"/>
        <v>1.7673920396888037</v>
      </c>
      <c r="J179" s="182">
        <v>2354</v>
      </c>
      <c r="K179" s="183">
        <v>4274</v>
      </c>
      <c r="L179" s="191">
        <f t="shared" si="18"/>
        <v>-44.92278895648105</v>
      </c>
      <c r="M179" s="188">
        <f t="shared" si="19"/>
        <v>0.81266290369910077</v>
      </c>
      <c r="N179" s="189">
        <f t="shared" si="20"/>
        <v>1.4835796131029861</v>
      </c>
    </row>
    <row r="180" spans="1:14" hidden="1" outlineLevel="1">
      <c r="A180" s="180"/>
      <c r="B180" s="190" t="s">
        <v>846</v>
      </c>
      <c r="C180" s="186">
        <f t="shared" si="14"/>
        <v>48.075412411626075</v>
      </c>
      <c r="E180" s="182">
        <v>70</v>
      </c>
      <c r="F180" s="183">
        <v>45</v>
      </c>
      <c r="G180" s="191">
        <f t="shared" si="15"/>
        <v>55.555555555555557</v>
      </c>
      <c r="H180" s="188">
        <f t="shared" si="16"/>
        <v>0.23912003825920614</v>
      </c>
      <c r="I180" s="188">
        <f t="shared" si="17"/>
        <v>0.12684631863795243</v>
      </c>
      <c r="J180" s="182">
        <v>1885</v>
      </c>
      <c r="K180" s="183">
        <v>1273</v>
      </c>
      <c r="L180" s="191">
        <f t="shared" si="18"/>
        <v>48.075412411626075</v>
      </c>
      <c r="M180" s="188">
        <f t="shared" si="19"/>
        <v>0.65075173044724077</v>
      </c>
      <c r="N180" s="189">
        <f t="shared" si="20"/>
        <v>0.44188040418345848</v>
      </c>
    </row>
    <row r="181" spans="1:14" hidden="1" outlineLevel="1">
      <c r="A181" s="180"/>
      <c r="B181" s="190" t="s">
        <v>850</v>
      </c>
      <c r="C181" s="186">
        <f t="shared" si="14"/>
        <v>-4.4359949302915087</v>
      </c>
      <c r="E181" s="182">
        <v>45</v>
      </c>
      <c r="F181" s="183">
        <v>77</v>
      </c>
      <c r="G181" s="191">
        <f t="shared" si="15"/>
        <v>-41.558441558441558</v>
      </c>
      <c r="H181" s="188">
        <f t="shared" si="16"/>
        <v>0.15372002459520395</v>
      </c>
      <c r="I181" s="188">
        <f t="shared" si="17"/>
        <v>0.21704814522494081</v>
      </c>
      <c r="J181" s="182">
        <v>754</v>
      </c>
      <c r="K181" s="183">
        <v>789</v>
      </c>
      <c r="L181" s="191">
        <f t="shared" si="18"/>
        <v>-4.4359949302915087</v>
      </c>
      <c r="M181" s="188">
        <f t="shared" si="19"/>
        <v>0.26030069217889629</v>
      </c>
      <c r="N181" s="189">
        <f t="shared" si="20"/>
        <v>0.27387560007914274</v>
      </c>
    </row>
    <row r="182" spans="1:14" hidden="1" outlineLevel="1">
      <c r="A182" s="180"/>
      <c r="B182" s="190" t="s">
        <v>849</v>
      </c>
      <c r="C182" s="186">
        <f t="shared" si="14"/>
        <v>-15.630885122410545</v>
      </c>
      <c r="E182" s="182">
        <v>40</v>
      </c>
      <c r="F182" s="183">
        <v>18</v>
      </c>
      <c r="G182" s="191">
        <f t="shared" si="15"/>
        <v>122.22222222222223</v>
      </c>
      <c r="H182" s="188">
        <f t="shared" si="16"/>
        <v>0.13664002186240348</v>
      </c>
      <c r="I182" s="188">
        <f t="shared" si="17"/>
        <v>5.0738527455180961E-2</v>
      </c>
      <c r="J182" s="182">
        <v>448</v>
      </c>
      <c r="K182" s="183">
        <v>531</v>
      </c>
      <c r="L182" s="191">
        <f t="shared" si="18"/>
        <v>-15.630885122410545</v>
      </c>
      <c r="M182" s="188">
        <f t="shared" si="19"/>
        <v>0.15466141922565721</v>
      </c>
      <c r="N182" s="189">
        <f t="shared" si="20"/>
        <v>0.18431932020535463</v>
      </c>
    </row>
    <row r="183" spans="1:14" hidden="1" outlineLevel="1">
      <c r="A183" s="180"/>
      <c r="B183" s="190" t="s">
        <v>847</v>
      </c>
      <c r="C183" s="186">
        <f t="shared" si="14"/>
        <v>-80.214381420276908</v>
      </c>
      <c r="E183" s="182">
        <v>12</v>
      </c>
      <c r="F183" s="183">
        <v>325</v>
      </c>
      <c r="G183" s="191">
        <f t="shared" si="15"/>
        <v>-96.307692307692307</v>
      </c>
      <c r="H183" s="188">
        <f t="shared" si="16"/>
        <v>4.0992006558721053E-2</v>
      </c>
      <c r="I183" s="188">
        <f t="shared" si="17"/>
        <v>0.91611230127410082</v>
      </c>
      <c r="J183" s="182">
        <v>443</v>
      </c>
      <c r="K183" s="183">
        <v>2239</v>
      </c>
      <c r="L183" s="191">
        <f t="shared" si="18"/>
        <v>-80.214381420276908</v>
      </c>
      <c r="M183" s="188">
        <f t="shared" si="19"/>
        <v>0.15293528731465658</v>
      </c>
      <c r="N183" s="189">
        <f t="shared" si="20"/>
        <v>0.77719577766438608</v>
      </c>
    </row>
    <row r="184" spans="1:14" hidden="1" outlineLevel="1">
      <c r="A184" s="180"/>
      <c r="B184" s="190" t="s">
        <v>856</v>
      </c>
      <c r="C184" s="186">
        <f t="shared" si="14"/>
        <v>19.875776397515526</v>
      </c>
      <c r="E184" s="182">
        <v>4</v>
      </c>
      <c r="F184" s="183">
        <v>19</v>
      </c>
      <c r="G184" s="191">
        <f t="shared" si="15"/>
        <v>-78.94736842105263</v>
      </c>
      <c r="H184" s="188">
        <f t="shared" si="16"/>
        <v>1.3664002186240351E-2</v>
      </c>
      <c r="I184" s="188">
        <f t="shared" si="17"/>
        <v>5.3557334536024355E-2</v>
      </c>
      <c r="J184" s="182">
        <v>193</v>
      </c>
      <c r="K184" s="183">
        <v>161</v>
      </c>
      <c r="L184" s="191">
        <f t="shared" si="18"/>
        <v>19.875776397515526</v>
      </c>
      <c r="M184" s="188">
        <f t="shared" si="19"/>
        <v>6.6628691764624645E-2</v>
      </c>
      <c r="N184" s="189">
        <f t="shared" si="20"/>
        <v>5.5885895580154603E-2</v>
      </c>
    </row>
    <row r="185" spans="1:14" hidden="1" outlineLevel="1">
      <c r="A185" s="180"/>
      <c r="B185" s="190" t="s">
        <v>851</v>
      </c>
      <c r="C185" s="186">
        <f t="shared" si="14"/>
        <v>-23.790322580645164</v>
      </c>
      <c r="E185" s="182">
        <v>13</v>
      </c>
      <c r="F185" s="183">
        <v>7</v>
      </c>
      <c r="G185" s="191">
        <f t="shared" si="15"/>
        <v>85.714285714285708</v>
      </c>
      <c r="H185" s="188">
        <f t="shared" si="16"/>
        <v>4.4408007105281137E-2</v>
      </c>
      <c r="I185" s="188">
        <f t="shared" si="17"/>
        <v>1.973164956590371E-2</v>
      </c>
      <c r="J185" s="182">
        <v>189</v>
      </c>
      <c r="K185" s="183">
        <v>248</v>
      </c>
      <c r="L185" s="191">
        <f t="shared" si="18"/>
        <v>-23.790322580645164</v>
      </c>
      <c r="M185" s="188">
        <f t="shared" si="19"/>
        <v>6.524778623582414E-2</v>
      </c>
      <c r="N185" s="189">
        <f t="shared" si="20"/>
        <v>8.6085106235269201E-2</v>
      </c>
    </row>
    <row r="186" spans="1:14" hidden="1" outlineLevel="1">
      <c r="A186" s="180"/>
      <c r="B186" s="190" t="s">
        <v>852</v>
      </c>
      <c r="C186" s="186">
        <f t="shared" si="14"/>
        <v>-50.420168067226889</v>
      </c>
      <c r="E186" s="182">
        <v>4</v>
      </c>
      <c r="F186" s="183">
        <v>8</v>
      </c>
      <c r="G186" s="191">
        <f t="shared" si="15"/>
        <v>-50</v>
      </c>
      <c r="H186" s="188">
        <f t="shared" si="16"/>
        <v>1.3664002186240351E-2</v>
      </c>
      <c r="I186" s="188">
        <f t="shared" si="17"/>
        <v>2.2550456646747097E-2</v>
      </c>
      <c r="J186" s="182">
        <v>118</v>
      </c>
      <c r="K186" s="183">
        <v>238</v>
      </c>
      <c r="L186" s="191">
        <f t="shared" si="18"/>
        <v>-50.420168067226889</v>
      </c>
      <c r="M186" s="188">
        <f t="shared" si="19"/>
        <v>4.0736713099615074E-2</v>
      </c>
      <c r="N186" s="189">
        <f t="shared" si="20"/>
        <v>8.2613932596750289E-2</v>
      </c>
    </row>
    <row r="187" spans="1:14" hidden="1" outlineLevel="1">
      <c r="A187" s="180"/>
      <c r="B187" s="190" t="s">
        <v>857</v>
      </c>
      <c r="C187" s="186">
        <f t="shared" si="14"/>
        <v>51.351351351351347</v>
      </c>
      <c r="E187" s="182">
        <v>5</v>
      </c>
      <c r="F187" s="183">
        <v>17</v>
      </c>
      <c r="G187" s="191">
        <f t="shared" si="15"/>
        <v>-70.588235294117652</v>
      </c>
      <c r="H187" s="188">
        <f t="shared" si="16"/>
        <v>1.7080002732800435E-2</v>
      </c>
      <c r="I187" s="188">
        <f t="shared" si="17"/>
        <v>4.7919720374337581E-2</v>
      </c>
      <c r="J187" s="182">
        <v>112</v>
      </c>
      <c r="K187" s="183">
        <v>74</v>
      </c>
      <c r="L187" s="191">
        <f t="shared" si="18"/>
        <v>51.351351351351347</v>
      </c>
      <c r="M187" s="188">
        <f t="shared" si="19"/>
        <v>3.8665354806414302E-2</v>
      </c>
      <c r="N187" s="189">
        <f t="shared" si="20"/>
        <v>2.5686684925040004E-2</v>
      </c>
    </row>
    <row r="188" spans="1:14" hidden="1" outlineLevel="1">
      <c r="A188" s="180"/>
      <c r="B188" s="190" t="s">
        <v>855</v>
      </c>
      <c r="C188" s="186">
        <f t="shared" si="14"/>
        <v>114.28571428571428</v>
      </c>
      <c r="E188" s="182">
        <v>0</v>
      </c>
      <c r="F188" s="183">
        <v>0</v>
      </c>
      <c r="G188" s="191" t="str">
        <f t="shared" si="15"/>
        <v/>
      </c>
      <c r="H188" s="188" t="str">
        <f t="shared" si="16"/>
        <v/>
      </c>
      <c r="I188" s="188" t="str">
        <f t="shared" si="17"/>
        <v/>
      </c>
      <c r="J188" s="182">
        <v>105</v>
      </c>
      <c r="K188" s="183">
        <v>49</v>
      </c>
      <c r="L188" s="191">
        <f t="shared" si="18"/>
        <v>114.28571428571428</v>
      </c>
      <c r="M188" s="188">
        <f t="shared" si="19"/>
        <v>3.6248770131013415E-2</v>
      </c>
      <c r="N188" s="189">
        <f t="shared" si="20"/>
        <v>1.7008750828742706E-2</v>
      </c>
    </row>
    <row r="189" spans="1:14" hidden="1" outlineLevel="1">
      <c r="A189" s="180"/>
      <c r="B189" s="190" t="s">
        <v>853</v>
      </c>
      <c r="C189" s="186">
        <f t="shared" si="14"/>
        <v>-90.760869565217391</v>
      </c>
      <c r="E189" s="182">
        <v>0</v>
      </c>
      <c r="F189" s="183">
        <v>24</v>
      </c>
      <c r="G189" s="191">
        <f t="shared" si="15"/>
        <v>-100</v>
      </c>
      <c r="H189" s="188" t="str">
        <f t="shared" si="16"/>
        <v/>
      </c>
      <c r="I189" s="188">
        <f t="shared" si="17"/>
        <v>6.765136994024129E-2</v>
      </c>
      <c r="J189" s="182">
        <v>34</v>
      </c>
      <c r="K189" s="183">
        <v>368</v>
      </c>
      <c r="L189" s="191">
        <f t="shared" si="18"/>
        <v>-90.760869565217391</v>
      </c>
      <c r="M189" s="188">
        <f t="shared" si="19"/>
        <v>1.1737696994804344E-2</v>
      </c>
      <c r="N189" s="189">
        <f t="shared" si="20"/>
        <v>0.12773918989749625</v>
      </c>
    </row>
    <row r="190" spans="1:14" hidden="1" outlineLevel="1">
      <c r="A190" s="180"/>
      <c r="B190" s="190" t="s">
        <v>854</v>
      </c>
      <c r="C190" s="186">
        <f t="shared" si="14"/>
        <v>-69.444444444444443</v>
      </c>
      <c r="E190" s="182">
        <v>0</v>
      </c>
      <c r="F190" s="183">
        <v>3</v>
      </c>
      <c r="G190" s="191">
        <f t="shared" si="15"/>
        <v>-100</v>
      </c>
      <c r="H190" s="188" t="str">
        <f t="shared" si="16"/>
        <v/>
      </c>
      <c r="I190" s="188">
        <f t="shared" si="17"/>
        <v>8.4564212425301613E-3</v>
      </c>
      <c r="J190" s="182">
        <v>22</v>
      </c>
      <c r="K190" s="183">
        <v>72</v>
      </c>
      <c r="L190" s="191">
        <f t="shared" si="18"/>
        <v>-69.444444444444443</v>
      </c>
      <c r="M190" s="188">
        <f t="shared" si="19"/>
        <v>7.594980408402811E-3</v>
      </c>
      <c r="N190" s="189">
        <f t="shared" si="20"/>
        <v>2.4992450197336223E-2</v>
      </c>
    </row>
    <row r="191" spans="1:14" hidden="1" outlineLevel="1">
      <c r="A191" s="180"/>
      <c r="B191" s="190" t="s">
        <v>1260</v>
      </c>
      <c r="C191" s="186" t="str">
        <f t="shared" si="14"/>
        <v/>
      </c>
      <c r="E191" s="182">
        <v>1</v>
      </c>
      <c r="F191" s="183">
        <v>0</v>
      </c>
      <c r="G191" s="191" t="str">
        <f t="shared" si="15"/>
        <v/>
      </c>
      <c r="H191" s="188">
        <f t="shared" si="16"/>
        <v>3.4160005465600878E-3</v>
      </c>
      <c r="I191" s="188" t="str">
        <f t="shared" si="17"/>
        <v/>
      </c>
      <c r="J191" s="182">
        <v>4</v>
      </c>
      <c r="K191" s="183">
        <v>0</v>
      </c>
      <c r="L191" s="191" t="str">
        <f t="shared" si="18"/>
        <v/>
      </c>
      <c r="M191" s="188">
        <f t="shared" si="19"/>
        <v>1.380905528800511E-3</v>
      </c>
      <c r="N191" s="189" t="str">
        <f t="shared" si="20"/>
        <v/>
      </c>
    </row>
    <row r="192" spans="1:14" hidden="1" outlineLevel="1">
      <c r="A192" s="180"/>
      <c r="B192" s="190" t="s">
        <v>1139</v>
      </c>
      <c r="C192" s="186">
        <f t="shared" si="14"/>
        <v>100</v>
      </c>
      <c r="E192" s="182">
        <v>0</v>
      </c>
      <c r="F192" s="183">
        <v>0</v>
      </c>
      <c r="G192" s="191" t="str">
        <f t="shared" si="15"/>
        <v/>
      </c>
      <c r="H192" s="188" t="str">
        <f t="shared" si="16"/>
        <v/>
      </c>
      <c r="I192" s="188" t="str">
        <f t="shared" si="17"/>
        <v/>
      </c>
      <c r="J192" s="182">
        <v>2</v>
      </c>
      <c r="K192" s="183">
        <v>1</v>
      </c>
      <c r="L192" s="191">
        <f t="shared" si="18"/>
        <v>100</v>
      </c>
      <c r="M192" s="188">
        <f t="shared" si="19"/>
        <v>6.9045276440025548E-4</v>
      </c>
      <c r="N192" s="189">
        <f t="shared" si="20"/>
        <v>3.4711736385189195E-4</v>
      </c>
    </row>
    <row r="193" spans="1:14" hidden="1" outlineLevel="1">
      <c r="A193" s="180"/>
      <c r="B193" s="190" t="s">
        <v>848</v>
      </c>
      <c r="C193" s="186">
        <f t="shared" si="14"/>
        <v>-100</v>
      </c>
      <c r="E193" s="182">
        <v>0</v>
      </c>
      <c r="F193" s="183">
        <v>0</v>
      </c>
      <c r="G193" s="191" t="str">
        <f t="shared" si="15"/>
        <v/>
      </c>
      <c r="H193" s="188" t="str">
        <f t="shared" si="16"/>
        <v/>
      </c>
      <c r="I193" s="188" t="str">
        <f t="shared" si="17"/>
        <v/>
      </c>
      <c r="J193" s="182">
        <v>0</v>
      </c>
      <c r="K193" s="183">
        <v>351</v>
      </c>
      <c r="L193" s="191">
        <f t="shared" si="18"/>
        <v>-100</v>
      </c>
      <c r="M193" s="188" t="str">
        <f t="shared" si="19"/>
        <v/>
      </c>
      <c r="N193" s="189">
        <f t="shared" si="20"/>
        <v>0.12183819471201407</v>
      </c>
    </row>
    <row r="194" spans="1:14" hidden="1" outlineLevel="1">
      <c r="A194" s="180"/>
      <c r="B194" s="190" t="s">
        <v>1107</v>
      </c>
      <c r="C194" s="186">
        <f t="shared" si="14"/>
        <v>-100</v>
      </c>
      <c r="E194" s="182">
        <v>0</v>
      </c>
      <c r="F194" s="183">
        <v>0</v>
      </c>
      <c r="G194" s="191" t="str">
        <f t="shared" si="15"/>
        <v/>
      </c>
      <c r="H194" s="188" t="str">
        <f t="shared" si="16"/>
        <v/>
      </c>
      <c r="I194" s="188" t="str">
        <f t="shared" si="17"/>
        <v/>
      </c>
      <c r="J194" s="182">
        <v>0</v>
      </c>
      <c r="K194" s="183">
        <v>4</v>
      </c>
      <c r="L194" s="191">
        <f t="shared" si="18"/>
        <v>-100</v>
      </c>
      <c r="M194" s="188" t="str">
        <f t="shared" si="19"/>
        <v/>
      </c>
      <c r="N194" s="189">
        <f t="shared" si="20"/>
        <v>1.3884694554075678E-3</v>
      </c>
    </row>
    <row r="195" spans="1:14" hidden="1" outlineLevel="1">
      <c r="A195" s="180"/>
      <c r="B195" s="190" t="s">
        <v>809</v>
      </c>
      <c r="C195" s="186">
        <f t="shared" si="14"/>
        <v>-100</v>
      </c>
      <c r="E195" s="182">
        <v>0</v>
      </c>
      <c r="F195" s="183">
        <v>0</v>
      </c>
      <c r="G195" s="191" t="str">
        <f t="shared" si="15"/>
        <v/>
      </c>
      <c r="H195" s="188" t="str">
        <f t="shared" si="16"/>
        <v/>
      </c>
      <c r="I195" s="188" t="str">
        <f t="shared" si="17"/>
        <v/>
      </c>
      <c r="J195" s="182">
        <v>0</v>
      </c>
      <c r="K195" s="183">
        <v>1</v>
      </c>
      <c r="L195" s="191">
        <f t="shared" si="18"/>
        <v>-100</v>
      </c>
      <c r="M195" s="188" t="str">
        <f t="shared" si="19"/>
        <v/>
      </c>
      <c r="N195" s="189">
        <f t="shared" si="20"/>
        <v>3.4711736385189195E-4</v>
      </c>
    </row>
    <row r="196" spans="1:14" collapsed="1">
      <c r="A196" s="180" t="s">
        <v>1329</v>
      </c>
      <c r="B196" s="179" t="s">
        <v>286</v>
      </c>
      <c r="C196" s="186">
        <f t="shared" si="14"/>
        <v>-4.462374444261485</v>
      </c>
      <c r="E196" s="182">
        <v>770</v>
      </c>
      <c r="F196" s="183">
        <v>718</v>
      </c>
      <c r="G196" s="191">
        <f t="shared" si="15"/>
        <v>7.2423398328690807</v>
      </c>
      <c r="H196" s="188">
        <f t="shared" si="16"/>
        <v>2.6303204208512674</v>
      </c>
      <c r="I196" s="188">
        <f t="shared" si="17"/>
        <v>2.0239034840455519</v>
      </c>
      <c r="J196" s="182">
        <v>5802</v>
      </c>
      <c r="K196" s="183">
        <v>6073</v>
      </c>
      <c r="L196" s="191">
        <f t="shared" si="18"/>
        <v>-4.462374444261485</v>
      </c>
      <c r="M196" s="188">
        <f t="shared" si="19"/>
        <v>2.0030034695251411</v>
      </c>
      <c r="N196" s="189">
        <f t="shared" si="20"/>
        <v>2.10804375067254</v>
      </c>
    </row>
    <row r="197" spans="1:14" hidden="1" outlineLevel="1">
      <c r="A197" s="180"/>
      <c r="B197" s="190" t="s">
        <v>866</v>
      </c>
      <c r="C197" s="186">
        <f t="shared" si="14"/>
        <v>19.384835479256079</v>
      </c>
      <c r="E197" s="182">
        <v>233</v>
      </c>
      <c r="F197" s="183">
        <v>70</v>
      </c>
      <c r="G197" s="191">
        <f t="shared" si="15"/>
        <v>232.85714285714286</v>
      </c>
      <c r="H197" s="188">
        <f t="shared" si="16"/>
        <v>0.79592812734850038</v>
      </c>
      <c r="I197" s="188">
        <f t="shared" si="17"/>
        <v>0.19731649565903711</v>
      </c>
      <c r="J197" s="182">
        <v>1669</v>
      </c>
      <c r="K197" s="183">
        <v>1398</v>
      </c>
      <c r="L197" s="191">
        <f t="shared" si="18"/>
        <v>19.384835479256079</v>
      </c>
      <c r="M197" s="188">
        <f t="shared" si="19"/>
        <v>0.57618283189201314</v>
      </c>
      <c r="N197" s="189">
        <f t="shared" si="20"/>
        <v>0.48527007466494493</v>
      </c>
    </row>
    <row r="198" spans="1:14" hidden="1" outlineLevel="1">
      <c r="A198" s="180"/>
      <c r="B198" s="190" t="s">
        <v>869</v>
      </c>
      <c r="C198" s="186">
        <f t="shared" si="14"/>
        <v>7.5745983167559299</v>
      </c>
      <c r="E198" s="182">
        <v>120</v>
      </c>
      <c r="F198" s="183">
        <v>399</v>
      </c>
      <c r="G198" s="191">
        <f t="shared" si="15"/>
        <v>-69.924812030075188</v>
      </c>
      <c r="H198" s="188">
        <f t="shared" si="16"/>
        <v>0.4099200655872105</v>
      </c>
      <c r="I198" s="188">
        <f t="shared" si="17"/>
        <v>1.1247040252565115</v>
      </c>
      <c r="J198" s="182">
        <v>1406</v>
      </c>
      <c r="K198" s="183">
        <v>1307</v>
      </c>
      <c r="L198" s="191">
        <f t="shared" si="18"/>
        <v>7.5745983167559299</v>
      </c>
      <c r="M198" s="188">
        <f t="shared" si="19"/>
        <v>0.48538829337337963</v>
      </c>
      <c r="N198" s="189">
        <f t="shared" si="20"/>
        <v>0.45368239455442277</v>
      </c>
    </row>
    <row r="199" spans="1:14" hidden="1" outlineLevel="1">
      <c r="A199" s="180"/>
      <c r="B199" s="190" t="s">
        <v>865</v>
      </c>
      <c r="C199" s="186">
        <f t="shared" si="14"/>
        <v>-8.7372013651877136</v>
      </c>
      <c r="E199" s="182">
        <v>191</v>
      </c>
      <c r="F199" s="183">
        <v>113</v>
      </c>
      <c r="G199" s="191">
        <f t="shared" si="15"/>
        <v>69.026548672566364</v>
      </c>
      <c r="H199" s="188">
        <f t="shared" si="16"/>
        <v>0.65245610439297663</v>
      </c>
      <c r="I199" s="188">
        <f t="shared" si="17"/>
        <v>0.31852520013530272</v>
      </c>
      <c r="J199" s="182">
        <v>1337</v>
      </c>
      <c r="K199" s="183">
        <v>1465</v>
      </c>
      <c r="L199" s="191">
        <f t="shared" si="18"/>
        <v>-8.7372013651877136</v>
      </c>
      <c r="M199" s="188">
        <f t="shared" si="19"/>
        <v>0.46156767300157076</v>
      </c>
      <c r="N199" s="189">
        <f t="shared" si="20"/>
        <v>0.50852693804302174</v>
      </c>
    </row>
    <row r="200" spans="1:14" hidden="1" outlineLevel="1">
      <c r="A200" s="180"/>
      <c r="B200" s="190" t="s">
        <v>867</v>
      </c>
      <c r="C200" s="186">
        <f t="shared" si="14"/>
        <v>-60.966981132075468</v>
      </c>
      <c r="E200" s="182">
        <v>36</v>
      </c>
      <c r="F200" s="183">
        <v>22</v>
      </c>
      <c r="G200" s="191">
        <f t="shared" si="15"/>
        <v>63.636363636363633</v>
      </c>
      <c r="H200" s="188">
        <f t="shared" si="16"/>
        <v>0.12297601967616315</v>
      </c>
      <c r="I200" s="188">
        <f t="shared" si="17"/>
        <v>6.2013755778554516E-2</v>
      </c>
      <c r="J200" s="182">
        <v>331</v>
      </c>
      <c r="K200" s="183">
        <v>848</v>
      </c>
      <c r="L200" s="191">
        <f t="shared" si="18"/>
        <v>-60.966981132075468</v>
      </c>
      <c r="M200" s="188">
        <f t="shared" si="19"/>
        <v>0.11426993250824229</v>
      </c>
      <c r="N200" s="189">
        <f t="shared" si="20"/>
        <v>0.29435552454640435</v>
      </c>
    </row>
    <row r="201" spans="1:14" hidden="1" outlineLevel="1">
      <c r="A201" s="180"/>
      <c r="B201" s="190" t="s">
        <v>1188</v>
      </c>
      <c r="C201" s="186" t="str">
        <f t="shared" si="14"/>
        <v/>
      </c>
      <c r="E201" s="182">
        <v>67</v>
      </c>
      <c r="F201" s="183">
        <v>0</v>
      </c>
      <c r="G201" s="191" t="str">
        <f t="shared" si="15"/>
        <v/>
      </c>
      <c r="H201" s="188">
        <f t="shared" si="16"/>
        <v>0.22887203661952588</v>
      </c>
      <c r="I201" s="188" t="str">
        <f t="shared" si="17"/>
        <v/>
      </c>
      <c r="J201" s="182">
        <v>254</v>
      </c>
      <c r="K201" s="183">
        <v>0</v>
      </c>
      <c r="L201" s="191" t="str">
        <f t="shared" si="18"/>
        <v/>
      </c>
      <c r="M201" s="188">
        <f t="shared" si="19"/>
        <v>8.7687501078832455E-2</v>
      </c>
      <c r="N201" s="189" t="str">
        <f t="shared" si="20"/>
        <v/>
      </c>
    </row>
    <row r="202" spans="1:14" hidden="1" outlineLevel="1">
      <c r="A202" s="180"/>
      <c r="B202" s="190" t="s">
        <v>872</v>
      </c>
      <c r="C202" s="186">
        <f t="shared" ref="C202:C265" si="21">IF(K202=0,"",SUM(((J202-K202)/K202)*100))</f>
        <v>100.84033613445378</v>
      </c>
      <c r="E202" s="182">
        <v>50</v>
      </c>
      <c r="F202" s="183">
        <v>16</v>
      </c>
      <c r="G202" s="191">
        <f t="shared" ref="G202:G265" si="22">IF(F202=0,"",SUM(((E202-F202)/F202)*100))</f>
        <v>212.5</v>
      </c>
      <c r="H202" s="188">
        <f t="shared" ref="H202:H265" si="23">IF(E202=0,"",SUM((E202/CntPeriod)*100))</f>
        <v>0.17080002732800437</v>
      </c>
      <c r="I202" s="188">
        <f t="shared" ref="I202:I265" si="24">IF(F202=0,"",SUM((F202/CntPeriodPrevYear)*100))</f>
        <v>4.5100913293494194E-2</v>
      </c>
      <c r="J202" s="182">
        <v>239</v>
      </c>
      <c r="K202" s="183">
        <v>119</v>
      </c>
      <c r="L202" s="191">
        <f t="shared" ref="L202:L265" si="25">IF(K202=0,"",SUM(((J202-K202)/K202)*100))</f>
        <v>100.84033613445378</v>
      </c>
      <c r="M202" s="188">
        <f t="shared" ref="M202:M265" si="26">IF(J202=0,"",SUM((J202/CntYearAck)*100))</f>
        <v>8.250910534583053E-2</v>
      </c>
      <c r="N202" s="189">
        <f t="shared" ref="N202:N265" si="27">IF(K202=0,"",SUM((K202/CntPrevYearAck)*100))</f>
        <v>4.1306966298375145E-2</v>
      </c>
    </row>
    <row r="203" spans="1:14" hidden="1" outlineLevel="1">
      <c r="A203" s="180"/>
      <c r="B203" s="190" t="s">
        <v>1042</v>
      </c>
      <c r="C203" s="186">
        <f t="shared" si="21"/>
        <v>2175</v>
      </c>
      <c r="E203" s="182">
        <v>18</v>
      </c>
      <c r="F203" s="183">
        <v>8</v>
      </c>
      <c r="G203" s="191">
        <f t="shared" si="22"/>
        <v>125</v>
      </c>
      <c r="H203" s="188">
        <f t="shared" si="23"/>
        <v>6.1488009838081573E-2</v>
      </c>
      <c r="I203" s="188">
        <f t="shared" si="24"/>
        <v>2.2550456646747097E-2</v>
      </c>
      <c r="J203" s="182">
        <v>182</v>
      </c>
      <c r="K203" s="183">
        <v>8</v>
      </c>
      <c r="L203" s="191">
        <f t="shared" si="25"/>
        <v>2175</v>
      </c>
      <c r="M203" s="188">
        <f t="shared" si="26"/>
        <v>6.2831201560423239E-2</v>
      </c>
      <c r="N203" s="189">
        <f t="shared" si="27"/>
        <v>2.7769389108151356E-3</v>
      </c>
    </row>
    <row r="204" spans="1:14" hidden="1" outlineLevel="1">
      <c r="A204" s="180"/>
      <c r="B204" s="190" t="s">
        <v>870</v>
      </c>
      <c r="C204" s="186">
        <f t="shared" si="21"/>
        <v>10.344827586206897</v>
      </c>
      <c r="E204" s="182">
        <v>33</v>
      </c>
      <c r="F204" s="183">
        <v>6</v>
      </c>
      <c r="G204" s="191">
        <f t="shared" si="22"/>
        <v>450</v>
      </c>
      <c r="H204" s="188">
        <f t="shared" si="23"/>
        <v>0.11272801803648289</v>
      </c>
      <c r="I204" s="188">
        <f t="shared" si="24"/>
        <v>1.6912842485060323E-2</v>
      </c>
      <c r="J204" s="182">
        <v>160</v>
      </c>
      <c r="K204" s="183">
        <v>145</v>
      </c>
      <c r="L204" s="191">
        <f t="shared" si="25"/>
        <v>10.344827586206897</v>
      </c>
      <c r="M204" s="188">
        <f t="shared" si="26"/>
        <v>5.523622115202044E-2</v>
      </c>
      <c r="N204" s="189">
        <f t="shared" si="27"/>
        <v>5.0332017758524333E-2</v>
      </c>
    </row>
    <row r="205" spans="1:14" hidden="1" outlineLevel="1">
      <c r="A205" s="180"/>
      <c r="B205" s="190" t="s">
        <v>868</v>
      </c>
      <c r="C205" s="186">
        <f t="shared" si="21"/>
        <v>-76.415094339622641</v>
      </c>
      <c r="E205" s="182">
        <v>4</v>
      </c>
      <c r="F205" s="183">
        <v>80</v>
      </c>
      <c r="G205" s="191">
        <f t="shared" si="22"/>
        <v>-95</v>
      </c>
      <c r="H205" s="188">
        <f t="shared" si="23"/>
        <v>1.3664002186240351E-2</v>
      </c>
      <c r="I205" s="188">
        <f t="shared" si="24"/>
        <v>0.22550456646747097</v>
      </c>
      <c r="J205" s="182">
        <v>150</v>
      </c>
      <c r="K205" s="183">
        <v>636</v>
      </c>
      <c r="L205" s="191">
        <f t="shared" si="25"/>
        <v>-76.415094339622641</v>
      </c>
      <c r="M205" s="188">
        <f t="shared" si="26"/>
        <v>5.1783957330019156E-2</v>
      </c>
      <c r="N205" s="189">
        <f t="shared" si="27"/>
        <v>0.22076664340980329</v>
      </c>
    </row>
    <row r="206" spans="1:14" hidden="1" outlineLevel="1">
      <c r="A206" s="180"/>
      <c r="B206" s="190" t="s">
        <v>1239</v>
      </c>
      <c r="C206" s="186" t="str">
        <f t="shared" si="21"/>
        <v/>
      </c>
      <c r="E206" s="182">
        <v>18</v>
      </c>
      <c r="F206" s="183">
        <v>0</v>
      </c>
      <c r="G206" s="191" t="str">
        <f t="shared" si="22"/>
        <v/>
      </c>
      <c r="H206" s="188">
        <f t="shared" si="23"/>
        <v>6.1488009838081573E-2</v>
      </c>
      <c r="I206" s="188" t="str">
        <f t="shared" si="24"/>
        <v/>
      </c>
      <c r="J206" s="182">
        <v>60</v>
      </c>
      <c r="K206" s="183">
        <v>0</v>
      </c>
      <c r="L206" s="191" t="str">
        <f t="shared" si="25"/>
        <v/>
      </c>
      <c r="M206" s="188">
        <f t="shared" si="26"/>
        <v>2.0713582932007663E-2</v>
      </c>
      <c r="N206" s="189" t="str">
        <f t="shared" si="27"/>
        <v/>
      </c>
    </row>
    <row r="207" spans="1:14" hidden="1" outlineLevel="1">
      <c r="A207" s="180"/>
      <c r="B207" s="190" t="s">
        <v>871</v>
      </c>
      <c r="C207" s="186">
        <f t="shared" si="21"/>
        <v>-87.931034482758619</v>
      </c>
      <c r="E207" s="182">
        <v>0</v>
      </c>
      <c r="F207" s="183">
        <v>3</v>
      </c>
      <c r="G207" s="191">
        <f t="shared" si="22"/>
        <v>-100</v>
      </c>
      <c r="H207" s="188" t="str">
        <f t="shared" si="23"/>
        <v/>
      </c>
      <c r="I207" s="188">
        <f t="shared" si="24"/>
        <v>8.4564212425301613E-3</v>
      </c>
      <c r="J207" s="182">
        <v>14</v>
      </c>
      <c r="K207" s="183">
        <v>116</v>
      </c>
      <c r="L207" s="191">
        <f t="shared" si="25"/>
        <v>-87.931034482758619</v>
      </c>
      <c r="M207" s="188">
        <f t="shared" si="26"/>
        <v>4.8331693508017878E-3</v>
      </c>
      <c r="N207" s="189">
        <f t="shared" si="27"/>
        <v>4.0265614206819463E-2</v>
      </c>
    </row>
    <row r="208" spans="1:14" hidden="1" outlineLevel="1">
      <c r="A208" s="180"/>
      <c r="B208" s="190" t="s">
        <v>1106</v>
      </c>
      <c r="C208" s="186">
        <f t="shared" si="21"/>
        <v>-100</v>
      </c>
      <c r="E208" s="182">
        <v>0</v>
      </c>
      <c r="F208" s="183">
        <v>1</v>
      </c>
      <c r="G208" s="191">
        <f t="shared" si="22"/>
        <v>-100</v>
      </c>
      <c r="H208" s="188" t="str">
        <f t="shared" si="23"/>
        <v/>
      </c>
      <c r="I208" s="188">
        <f t="shared" si="24"/>
        <v>2.8188070808433871E-3</v>
      </c>
      <c r="J208" s="182">
        <v>0</v>
      </c>
      <c r="K208" s="183">
        <v>31</v>
      </c>
      <c r="L208" s="191">
        <f t="shared" si="25"/>
        <v>-100</v>
      </c>
      <c r="M208" s="188" t="str">
        <f t="shared" si="26"/>
        <v/>
      </c>
      <c r="N208" s="189">
        <f t="shared" si="27"/>
        <v>1.076063827940865E-2</v>
      </c>
    </row>
    <row r="209" spans="1:14" collapsed="1">
      <c r="A209" s="180" t="s">
        <v>1330</v>
      </c>
      <c r="B209" s="179" t="s">
        <v>268</v>
      </c>
      <c r="C209" s="186">
        <f t="shared" si="21"/>
        <v>-5.2658486707566459</v>
      </c>
      <c r="E209" s="182">
        <v>468</v>
      </c>
      <c r="F209" s="183">
        <v>666</v>
      </c>
      <c r="G209" s="191">
        <f t="shared" si="22"/>
        <v>-29.72972972972973</v>
      </c>
      <c r="H209" s="188">
        <f t="shared" si="23"/>
        <v>1.598688255790121</v>
      </c>
      <c r="I209" s="188">
        <f t="shared" si="24"/>
        <v>1.8773255158416959</v>
      </c>
      <c r="J209" s="182">
        <v>5559</v>
      </c>
      <c r="K209" s="183">
        <v>5868</v>
      </c>
      <c r="L209" s="191">
        <f t="shared" si="25"/>
        <v>-5.2658486707566459</v>
      </c>
      <c r="M209" s="188">
        <f t="shared" si="26"/>
        <v>1.9191134586505101</v>
      </c>
      <c r="N209" s="189">
        <f t="shared" si="27"/>
        <v>2.0368846910829017</v>
      </c>
    </row>
    <row r="210" spans="1:14" hidden="1" outlineLevel="1">
      <c r="A210" s="180"/>
      <c r="B210" s="190" t="s">
        <v>873</v>
      </c>
      <c r="C210" s="186">
        <f t="shared" si="21"/>
        <v>-17.31066460587326</v>
      </c>
      <c r="E210" s="182">
        <v>65</v>
      </c>
      <c r="F210" s="183">
        <v>211</v>
      </c>
      <c r="G210" s="191">
        <f t="shared" si="22"/>
        <v>-69.194312796208536</v>
      </c>
      <c r="H210" s="188">
        <f t="shared" si="23"/>
        <v>0.22204003552640569</v>
      </c>
      <c r="I210" s="188">
        <f t="shared" si="24"/>
        <v>0.59476829405795462</v>
      </c>
      <c r="J210" s="182">
        <v>1605</v>
      </c>
      <c r="K210" s="183">
        <v>1941</v>
      </c>
      <c r="L210" s="191">
        <f t="shared" si="25"/>
        <v>-17.31066460587326</v>
      </c>
      <c r="M210" s="188">
        <f t="shared" si="26"/>
        <v>0.55408834343120494</v>
      </c>
      <c r="N210" s="189">
        <f t="shared" si="27"/>
        <v>0.67375480323652226</v>
      </c>
    </row>
    <row r="211" spans="1:14" hidden="1" outlineLevel="1">
      <c r="A211" s="180"/>
      <c r="B211" s="190" t="s">
        <v>876</v>
      </c>
      <c r="C211" s="186">
        <f t="shared" si="21"/>
        <v>99.457504520795652</v>
      </c>
      <c r="E211" s="182">
        <v>159</v>
      </c>
      <c r="F211" s="183">
        <v>155</v>
      </c>
      <c r="G211" s="191">
        <f t="shared" si="22"/>
        <v>2.5806451612903225</v>
      </c>
      <c r="H211" s="188">
        <f t="shared" si="23"/>
        <v>0.54314408690305394</v>
      </c>
      <c r="I211" s="188">
        <f t="shared" si="24"/>
        <v>0.43691509753072505</v>
      </c>
      <c r="J211" s="182">
        <v>1103</v>
      </c>
      <c r="K211" s="183">
        <v>553</v>
      </c>
      <c r="L211" s="191">
        <f t="shared" si="25"/>
        <v>99.457504520795652</v>
      </c>
      <c r="M211" s="188">
        <f t="shared" si="26"/>
        <v>0.38078469956674088</v>
      </c>
      <c r="N211" s="189">
        <f t="shared" si="27"/>
        <v>0.19195590221009626</v>
      </c>
    </row>
    <row r="212" spans="1:14" hidden="1" outlineLevel="1">
      <c r="A212" s="180"/>
      <c r="B212" s="190" t="s">
        <v>874</v>
      </c>
      <c r="C212" s="186">
        <f t="shared" si="21"/>
        <v>-29.411764705882355</v>
      </c>
      <c r="E212" s="182">
        <v>82</v>
      </c>
      <c r="F212" s="183">
        <v>65</v>
      </c>
      <c r="G212" s="191">
        <f t="shared" si="22"/>
        <v>26.153846153846157</v>
      </c>
      <c r="H212" s="188">
        <f t="shared" si="23"/>
        <v>0.28011204481792717</v>
      </c>
      <c r="I212" s="188">
        <f t="shared" si="24"/>
        <v>0.18322246025482017</v>
      </c>
      <c r="J212" s="182">
        <v>864</v>
      </c>
      <c r="K212" s="183">
        <v>1224</v>
      </c>
      <c r="L212" s="191">
        <f t="shared" si="25"/>
        <v>-29.411764705882355</v>
      </c>
      <c r="M212" s="188">
        <f t="shared" si="26"/>
        <v>0.29827559422091038</v>
      </c>
      <c r="N212" s="189">
        <f t="shared" si="27"/>
        <v>0.42487165335471577</v>
      </c>
    </row>
    <row r="213" spans="1:14" hidden="1" outlineLevel="1">
      <c r="A213" s="180"/>
      <c r="B213" s="190" t="s">
        <v>877</v>
      </c>
      <c r="C213" s="186">
        <f t="shared" si="21"/>
        <v>22.008547008547009</v>
      </c>
      <c r="E213" s="182">
        <v>41</v>
      </c>
      <c r="F213" s="183">
        <v>68</v>
      </c>
      <c r="G213" s="191">
        <f t="shared" si="22"/>
        <v>-39.705882352941174</v>
      </c>
      <c r="H213" s="188">
        <f t="shared" si="23"/>
        <v>0.14005602240896359</v>
      </c>
      <c r="I213" s="188">
        <f t="shared" si="24"/>
        <v>0.19167888149735032</v>
      </c>
      <c r="J213" s="182">
        <v>571</v>
      </c>
      <c r="K213" s="183">
        <v>468</v>
      </c>
      <c r="L213" s="191">
        <f t="shared" si="25"/>
        <v>22.008547008547009</v>
      </c>
      <c r="M213" s="188">
        <f t="shared" si="26"/>
        <v>0.19712426423627291</v>
      </c>
      <c r="N213" s="189">
        <f t="shared" si="27"/>
        <v>0.16245092628268543</v>
      </c>
    </row>
    <row r="214" spans="1:14" hidden="1" outlineLevel="1">
      <c r="A214" s="180"/>
      <c r="B214" s="190" t="s">
        <v>879</v>
      </c>
      <c r="C214" s="186">
        <f t="shared" si="21"/>
        <v>23.142857142857142</v>
      </c>
      <c r="E214" s="182">
        <v>43</v>
      </c>
      <c r="F214" s="183">
        <v>52</v>
      </c>
      <c r="G214" s="191">
        <f t="shared" si="22"/>
        <v>-17.307692307692307</v>
      </c>
      <c r="H214" s="188">
        <f t="shared" si="23"/>
        <v>0.14688802350208374</v>
      </c>
      <c r="I214" s="188">
        <f t="shared" si="24"/>
        <v>0.14657796820385613</v>
      </c>
      <c r="J214" s="182">
        <v>431</v>
      </c>
      <c r="K214" s="183">
        <v>350</v>
      </c>
      <c r="L214" s="191">
        <f t="shared" si="25"/>
        <v>23.142857142857142</v>
      </c>
      <c r="M214" s="188">
        <f t="shared" si="26"/>
        <v>0.14879257072825505</v>
      </c>
      <c r="N214" s="189">
        <f t="shared" si="27"/>
        <v>0.12149107734816218</v>
      </c>
    </row>
    <row r="215" spans="1:14" hidden="1" outlineLevel="1">
      <c r="A215" s="180"/>
      <c r="B215" s="190" t="s">
        <v>875</v>
      </c>
      <c r="C215" s="186">
        <f t="shared" si="21"/>
        <v>-42.389758179231862</v>
      </c>
      <c r="E215" s="182">
        <v>31</v>
      </c>
      <c r="F215" s="183">
        <v>78</v>
      </c>
      <c r="G215" s="191">
        <f t="shared" si="22"/>
        <v>-60.256410256410255</v>
      </c>
      <c r="H215" s="188">
        <f t="shared" si="23"/>
        <v>0.10589601694336272</v>
      </c>
      <c r="I215" s="188">
        <f t="shared" si="24"/>
        <v>0.21986695230578418</v>
      </c>
      <c r="J215" s="182">
        <v>405</v>
      </c>
      <c r="K215" s="183">
        <v>703</v>
      </c>
      <c r="L215" s="191">
        <f t="shared" si="25"/>
        <v>-42.389758179231862</v>
      </c>
      <c r="M215" s="188">
        <f t="shared" si="26"/>
        <v>0.13981668479105175</v>
      </c>
      <c r="N215" s="189">
        <f t="shared" si="27"/>
        <v>0.24402350678788004</v>
      </c>
    </row>
    <row r="216" spans="1:14" hidden="1" outlineLevel="1">
      <c r="A216" s="180"/>
      <c r="B216" s="190" t="s">
        <v>878</v>
      </c>
      <c r="C216" s="186">
        <f t="shared" si="21"/>
        <v>-34.862385321100916</v>
      </c>
      <c r="E216" s="182">
        <v>19</v>
      </c>
      <c r="F216" s="183">
        <v>34</v>
      </c>
      <c r="G216" s="191">
        <f t="shared" si="22"/>
        <v>-44.117647058823529</v>
      </c>
      <c r="H216" s="188">
        <f t="shared" si="23"/>
        <v>6.4904010384641664E-2</v>
      </c>
      <c r="I216" s="188">
        <f t="shared" si="24"/>
        <v>9.5839440748675161E-2</v>
      </c>
      <c r="J216" s="182">
        <v>284</v>
      </c>
      <c r="K216" s="183">
        <v>436</v>
      </c>
      <c r="L216" s="191">
        <f t="shared" si="25"/>
        <v>-34.862385321100916</v>
      </c>
      <c r="M216" s="188">
        <f t="shared" si="26"/>
        <v>9.8044292544836265E-2</v>
      </c>
      <c r="N216" s="189">
        <f t="shared" si="27"/>
        <v>0.1513431706394249</v>
      </c>
    </row>
    <row r="217" spans="1:14" hidden="1" outlineLevel="1">
      <c r="A217" s="180"/>
      <c r="B217" s="190" t="s">
        <v>880</v>
      </c>
      <c r="C217" s="186">
        <f t="shared" si="21"/>
        <v>-22.797927461139896</v>
      </c>
      <c r="E217" s="182">
        <v>16</v>
      </c>
      <c r="F217" s="183">
        <v>3</v>
      </c>
      <c r="G217" s="191">
        <f t="shared" si="22"/>
        <v>433.33333333333331</v>
      </c>
      <c r="H217" s="188">
        <f t="shared" si="23"/>
        <v>5.4656008744961404E-2</v>
      </c>
      <c r="I217" s="188">
        <f t="shared" si="24"/>
        <v>8.4564212425301613E-3</v>
      </c>
      <c r="J217" s="182">
        <v>149</v>
      </c>
      <c r="K217" s="183">
        <v>193</v>
      </c>
      <c r="L217" s="191">
        <f t="shared" si="25"/>
        <v>-22.797927461139896</v>
      </c>
      <c r="M217" s="188">
        <f t="shared" si="26"/>
        <v>5.1438730947819034E-2</v>
      </c>
      <c r="N217" s="189">
        <f t="shared" si="27"/>
        <v>6.6993651223415149E-2</v>
      </c>
    </row>
    <row r="218" spans="1:14" hidden="1" outlineLevel="1">
      <c r="A218" s="180"/>
      <c r="B218" s="190" t="s">
        <v>1237</v>
      </c>
      <c r="C218" s="186" t="str">
        <f t="shared" si="21"/>
        <v/>
      </c>
      <c r="E218" s="182">
        <v>12</v>
      </c>
      <c r="F218" s="183">
        <v>0</v>
      </c>
      <c r="G218" s="191" t="str">
        <f t="shared" si="22"/>
        <v/>
      </c>
      <c r="H218" s="188">
        <f t="shared" si="23"/>
        <v>4.0992006558721053E-2</v>
      </c>
      <c r="I218" s="188" t="str">
        <f t="shared" si="24"/>
        <v/>
      </c>
      <c r="J218" s="182">
        <v>146</v>
      </c>
      <c r="K218" s="183">
        <v>0</v>
      </c>
      <c r="L218" s="191" t="str">
        <f t="shared" si="25"/>
        <v/>
      </c>
      <c r="M218" s="188">
        <f t="shared" si="26"/>
        <v>5.0403051801218644E-2</v>
      </c>
      <c r="N218" s="189" t="str">
        <f t="shared" si="27"/>
        <v/>
      </c>
    </row>
    <row r="219" spans="1:14" hidden="1" outlineLevel="1">
      <c r="A219" s="180"/>
      <c r="B219" s="190" t="s">
        <v>1238</v>
      </c>
      <c r="C219" s="186" t="str">
        <f t="shared" si="21"/>
        <v/>
      </c>
      <c r="E219" s="182">
        <v>0</v>
      </c>
      <c r="F219" s="183">
        <v>0</v>
      </c>
      <c r="G219" s="191" t="str">
        <f t="shared" si="22"/>
        <v/>
      </c>
      <c r="H219" s="188" t="str">
        <f t="shared" si="23"/>
        <v/>
      </c>
      <c r="I219" s="188" t="str">
        <f t="shared" si="24"/>
        <v/>
      </c>
      <c r="J219" s="182">
        <v>1</v>
      </c>
      <c r="K219" s="183">
        <v>0</v>
      </c>
      <c r="L219" s="191" t="str">
        <f t="shared" si="25"/>
        <v/>
      </c>
      <c r="M219" s="188">
        <f t="shared" si="26"/>
        <v>3.4522638220012774E-4</v>
      </c>
      <c r="N219" s="189" t="str">
        <f t="shared" si="27"/>
        <v/>
      </c>
    </row>
    <row r="220" spans="1:14" collapsed="1">
      <c r="A220" s="180" t="s">
        <v>1240</v>
      </c>
      <c r="B220" s="179" t="s">
        <v>282</v>
      </c>
      <c r="C220" s="186">
        <f t="shared" si="21"/>
        <v>-14.788069073783362</v>
      </c>
      <c r="E220" s="182">
        <v>644</v>
      </c>
      <c r="F220" s="183">
        <v>729</v>
      </c>
      <c r="G220" s="191">
        <f t="shared" si="22"/>
        <v>-11.659807956104252</v>
      </c>
      <c r="H220" s="188">
        <f t="shared" si="23"/>
        <v>2.1999043519846961</v>
      </c>
      <c r="I220" s="188">
        <f t="shared" si="24"/>
        <v>2.0549103619348292</v>
      </c>
      <c r="J220" s="182">
        <v>5428</v>
      </c>
      <c r="K220" s="183">
        <v>6370</v>
      </c>
      <c r="L220" s="191">
        <f t="shared" si="25"/>
        <v>-14.788069073783362</v>
      </c>
      <c r="M220" s="188">
        <f t="shared" si="26"/>
        <v>1.8738888025822933</v>
      </c>
      <c r="N220" s="189">
        <f t="shared" si="27"/>
        <v>2.2111376077365517</v>
      </c>
    </row>
    <row r="221" spans="1:14" hidden="1" outlineLevel="1">
      <c r="A221" s="180"/>
      <c r="B221" s="190" t="s">
        <v>881</v>
      </c>
      <c r="C221" s="186">
        <f t="shared" si="21"/>
        <v>-41.080238898987275</v>
      </c>
      <c r="E221" s="182">
        <v>320</v>
      </c>
      <c r="F221" s="183">
        <v>535</v>
      </c>
      <c r="G221" s="191">
        <f t="shared" si="22"/>
        <v>-40.186915887850468</v>
      </c>
      <c r="H221" s="188">
        <f t="shared" si="23"/>
        <v>1.0931201748992279</v>
      </c>
      <c r="I221" s="188">
        <f t="shared" si="24"/>
        <v>1.5080617882512122</v>
      </c>
      <c r="J221" s="182">
        <v>2269</v>
      </c>
      <c r="K221" s="183">
        <v>3851</v>
      </c>
      <c r="L221" s="191">
        <f t="shared" si="25"/>
        <v>-41.080238898987275</v>
      </c>
      <c r="M221" s="188">
        <f t="shared" si="26"/>
        <v>0.78331866121208982</v>
      </c>
      <c r="N221" s="189">
        <f t="shared" si="27"/>
        <v>1.336748968193636</v>
      </c>
    </row>
    <row r="222" spans="1:14" hidden="1" outlineLevel="1">
      <c r="A222" s="180"/>
      <c r="B222" s="190" t="s">
        <v>882</v>
      </c>
      <c r="C222" s="186">
        <f t="shared" si="21"/>
        <v>5.6775575790037491</v>
      </c>
      <c r="E222" s="182">
        <v>175</v>
      </c>
      <c r="F222" s="183">
        <v>61</v>
      </c>
      <c r="G222" s="191">
        <f t="shared" si="22"/>
        <v>186.88524590163937</v>
      </c>
      <c r="H222" s="188">
        <f t="shared" si="23"/>
        <v>0.59780009564801528</v>
      </c>
      <c r="I222" s="188">
        <f t="shared" si="24"/>
        <v>0.17194723193144659</v>
      </c>
      <c r="J222" s="182">
        <v>1973</v>
      </c>
      <c r="K222" s="183">
        <v>1867</v>
      </c>
      <c r="L222" s="191">
        <f t="shared" si="25"/>
        <v>5.6775575790037491</v>
      </c>
      <c r="M222" s="188">
        <f t="shared" si="26"/>
        <v>0.68113165208085202</v>
      </c>
      <c r="N222" s="189">
        <f t="shared" si="27"/>
        <v>0.64806811831148226</v>
      </c>
    </row>
    <row r="223" spans="1:14" hidden="1" outlineLevel="1">
      <c r="A223" s="180"/>
      <c r="B223" s="190" t="s">
        <v>885</v>
      </c>
      <c r="C223" s="186">
        <f t="shared" si="21"/>
        <v>331.31313131313129</v>
      </c>
      <c r="E223" s="182">
        <v>52</v>
      </c>
      <c r="F223" s="183">
        <v>24</v>
      </c>
      <c r="G223" s="191">
        <f t="shared" si="22"/>
        <v>116.66666666666667</v>
      </c>
      <c r="H223" s="188">
        <f t="shared" si="23"/>
        <v>0.17763202842112455</v>
      </c>
      <c r="I223" s="188">
        <f t="shared" si="24"/>
        <v>6.765136994024129E-2</v>
      </c>
      <c r="J223" s="182">
        <v>427</v>
      </c>
      <c r="K223" s="183">
        <v>99</v>
      </c>
      <c r="L223" s="191">
        <f t="shared" si="25"/>
        <v>331.31313131313129</v>
      </c>
      <c r="M223" s="188">
        <f t="shared" si="26"/>
        <v>0.14741166519945456</v>
      </c>
      <c r="N223" s="189">
        <f t="shared" si="27"/>
        <v>3.4364619021337306E-2</v>
      </c>
    </row>
    <row r="224" spans="1:14" hidden="1" outlineLevel="1">
      <c r="A224" s="180"/>
      <c r="B224" s="190" t="s">
        <v>1005</v>
      </c>
      <c r="C224" s="186">
        <f t="shared" si="21"/>
        <v>88.571428571428569</v>
      </c>
      <c r="E224" s="182">
        <v>56</v>
      </c>
      <c r="F224" s="183">
        <v>96</v>
      </c>
      <c r="G224" s="191">
        <f t="shared" si="22"/>
        <v>-41.666666666666671</v>
      </c>
      <c r="H224" s="188">
        <f t="shared" si="23"/>
        <v>0.19129603060736491</v>
      </c>
      <c r="I224" s="188">
        <f t="shared" si="24"/>
        <v>0.27060547976096516</v>
      </c>
      <c r="J224" s="182">
        <v>396</v>
      </c>
      <c r="K224" s="183">
        <v>210</v>
      </c>
      <c r="L224" s="191">
        <f t="shared" si="25"/>
        <v>88.571428571428569</v>
      </c>
      <c r="M224" s="188">
        <f t="shared" si="26"/>
        <v>0.13670964735125057</v>
      </c>
      <c r="N224" s="189">
        <f t="shared" si="27"/>
        <v>7.2894646408897312E-2</v>
      </c>
    </row>
    <row r="225" spans="1:14" hidden="1" outlineLevel="1">
      <c r="A225" s="180"/>
      <c r="B225" s="190" t="s">
        <v>883</v>
      </c>
      <c r="C225" s="186">
        <f t="shared" si="21"/>
        <v>-1.5544041450777202</v>
      </c>
      <c r="E225" s="182">
        <v>36</v>
      </c>
      <c r="F225" s="183">
        <v>8</v>
      </c>
      <c r="G225" s="191">
        <f t="shared" si="22"/>
        <v>350</v>
      </c>
      <c r="H225" s="188">
        <f t="shared" si="23"/>
        <v>0.12297601967616315</v>
      </c>
      <c r="I225" s="188">
        <f t="shared" si="24"/>
        <v>2.2550456646747097E-2</v>
      </c>
      <c r="J225" s="182">
        <v>190</v>
      </c>
      <c r="K225" s="183">
        <v>193</v>
      </c>
      <c r="L225" s="191">
        <f t="shared" si="25"/>
        <v>-1.5544041450777202</v>
      </c>
      <c r="M225" s="188">
        <f t="shared" si="26"/>
        <v>6.5593012618024263E-2</v>
      </c>
      <c r="N225" s="189">
        <f t="shared" si="27"/>
        <v>6.6993651223415149E-2</v>
      </c>
    </row>
    <row r="226" spans="1:14" hidden="1" outlineLevel="1">
      <c r="A226" s="180"/>
      <c r="B226" s="190" t="s">
        <v>1108</v>
      </c>
      <c r="C226" s="186" t="str">
        <f t="shared" si="21"/>
        <v/>
      </c>
      <c r="E226" s="182">
        <v>0</v>
      </c>
      <c r="F226" s="183">
        <v>0</v>
      </c>
      <c r="G226" s="191" t="str">
        <f t="shared" si="22"/>
        <v/>
      </c>
      <c r="H226" s="188" t="str">
        <f t="shared" si="23"/>
        <v/>
      </c>
      <c r="I226" s="188" t="str">
        <f t="shared" si="24"/>
        <v/>
      </c>
      <c r="J226" s="182">
        <v>66</v>
      </c>
      <c r="K226" s="183">
        <v>0</v>
      </c>
      <c r="L226" s="191" t="str">
        <f t="shared" si="25"/>
        <v/>
      </c>
      <c r="M226" s="188">
        <f t="shared" si="26"/>
        <v>2.2784941225208431E-2</v>
      </c>
      <c r="N226" s="189" t="str">
        <f t="shared" si="27"/>
        <v/>
      </c>
    </row>
    <row r="227" spans="1:14" hidden="1" outlineLevel="1">
      <c r="A227" s="180"/>
      <c r="B227" s="190" t="s">
        <v>886</v>
      </c>
      <c r="C227" s="186">
        <f t="shared" si="21"/>
        <v>286.66666666666669</v>
      </c>
      <c r="E227" s="182">
        <v>5</v>
      </c>
      <c r="F227" s="183">
        <v>2</v>
      </c>
      <c r="G227" s="191">
        <f t="shared" si="22"/>
        <v>150</v>
      </c>
      <c r="H227" s="188">
        <f t="shared" si="23"/>
        <v>1.7080002732800435E-2</v>
      </c>
      <c r="I227" s="188">
        <f t="shared" si="24"/>
        <v>5.6376141616867742E-3</v>
      </c>
      <c r="J227" s="182">
        <v>58</v>
      </c>
      <c r="K227" s="183">
        <v>15</v>
      </c>
      <c r="L227" s="191">
        <f t="shared" si="25"/>
        <v>286.66666666666669</v>
      </c>
      <c r="M227" s="188">
        <f t="shared" si="26"/>
        <v>2.0023130167607407E-2</v>
      </c>
      <c r="N227" s="189">
        <f t="shared" si="27"/>
        <v>5.206760457778379E-3</v>
      </c>
    </row>
    <row r="228" spans="1:14" hidden="1" outlineLevel="1">
      <c r="A228" s="180"/>
      <c r="B228" s="190" t="s">
        <v>884</v>
      </c>
      <c r="C228" s="186">
        <f t="shared" si="21"/>
        <v>-63.432835820895527</v>
      </c>
      <c r="E228" s="182">
        <v>0</v>
      </c>
      <c r="F228" s="183">
        <v>3</v>
      </c>
      <c r="G228" s="191">
        <f t="shared" si="22"/>
        <v>-100</v>
      </c>
      <c r="H228" s="188" t="str">
        <f t="shared" si="23"/>
        <v/>
      </c>
      <c r="I228" s="188">
        <f t="shared" si="24"/>
        <v>8.4564212425301613E-3</v>
      </c>
      <c r="J228" s="182">
        <v>49</v>
      </c>
      <c r="K228" s="183">
        <v>134</v>
      </c>
      <c r="L228" s="191">
        <f t="shared" si="25"/>
        <v>-63.432835820895527</v>
      </c>
      <c r="M228" s="188">
        <f t="shared" si="26"/>
        <v>1.691609272780626E-2</v>
      </c>
      <c r="N228" s="189">
        <f t="shared" si="27"/>
        <v>4.651372675615352E-2</v>
      </c>
    </row>
    <row r="229" spans="1:14" hidden="1" outlineLevel="1">
      <c r="A229" s="180"/>
      <c r="B229" s="190" t="s">
        <v>1241</v>
      </c>
      <c r="C229" s="186">
        <f t="shared" si="21"/>
        <v>-100</v>
      </c>
      <c r="E229" s="182">
        <v>0</v>
      </c>
      <c r="F229" s="183">
        <v>0</v>
      </c>
      <c r="G229" s="191" t="str">
        <f t="shared" si="22"/>
        <v/>
      </c>
      <c r="H229" s="188" t="str">
        <f t="shared" si="23"/>
        <v/>
      </c>
      <c r="I229" s="188" t="str">
        <f t="shared" si="24"/>
        <v/>
      </c>
      <c r="J229" s="182">
        <v>0</v>
      </c>
      <c r="K229" s="183">
        <v>1</v>
      </c>
      <c r="L229" s="191">
        <f t="shared" si="25"/>
        <v>-100</v>
      </c>
      <c r="M229" s="188" t="str">
        <f t="shared" si="26"/>
        <v/>
      </c>
      <c r="N229" s="189">
        <f t="shared" si="27"/>
        <v>3.4711736385189195E-4</v>
      </c>
    </row>
    <row r="230" spans="1:14" collapsed="1">
      <c r="A230" s="180" t="s">
        <v>1331</v>
      </c>
      <c r="B230" s="179" t="s">
        <v>1067</v>
      </c>
      <c r="C230" s="186" t="str">
        <f t="shared" si="21"/>
        <v/>
      </c>
      <c r="E230" s="182">
        <v>584</v>
      </c>
      <c r="F230" s="183">
        <v>0</v>
      </c>
      <c r="G230" s="191" t="str">
        <f t="shared" si="22"/>
        <v/>
      </c>
      <c r="H230" s="188">
        <f t="shared" si="23"/>
        <v>1.9949443191910912</v>
      </c>
      <c r="I230" s="188" t="str">
        <f t="shared" si="24"/>
        <v/>
      </c>
      <c r="J230" s="182">
        <v>3822</v>
      </c>
      <c r="K230" s="183">
        <v>0</v>
      </c>
      <c r="L230" s="191" t="str">
        <f t="shared" si="25"/>
        <v/>
      </c>
      <c r="M230" s="188">
        <f t="shared" si="26"/>
        <v>1.3194552327688882</v>
      </c>
      <c r="N230" s="189" t="str">
        <f t="shared" si="27"/>
        <v/>
      </c>
    </row>
    <row r="231" spans="1:14" hidden="1" outlineLevel="1">
      <c r="A231" s="180"/>
      <c r="B231" s="190" t="s">
        <v>1068</v>
      </c>
      <c r="C231" s="186" t="str">
        <f t="shared" si="21"/>
        <v/>
      </c>
      <c r="E231" s="182">
        <v>128</v>
      </c>
      <c r="F231" s="183">
        <v>0</v>
      </c>
      <c r="G231" s="191" t="str">
        <f t="shared" si="22"/>
        <v/>
      </c>
      <c r="H231" s="188">
        <f t="shared" si="23"/>
        <v>0.43724806995969123</v>
      </c>
      <c r="I231" s="188" t="str">
        <f t="shared" si="24"/>
        <v/>
      </c>
      <c r="J231" s="182">
        <v>1414</v>
      </c>
      <c r="K231" s="183">
        <v>0</v>
      </c>
      <c r="L231" s="191" t="str">
        <f t="shared" si="25"/>
        <v/>
      </c>
      <c r="M231" s="188">
        <f t="shared" si="26"/>
        <v>0.48815010443098067</v>
      </c>
      <c r="N231" s="189" t="str">
        <f t="shared" si="27"/>
        <v/>
      </c>
    </row>
    <row r="232" spans="1:14" hidden="1" outlineLevel="1">
      <c r="A232" s="180"/>
      <c r="B232" s="190" t="s">
        <v>1069</v>
      </c>
      <c r="C232" s="186" t="str">
        <f t="shared" si="21"/>
        <v/>
      </c>
      <c r="E232" s="182">
        <v>189</v>
      </c>
      <c r="F232" s="183">
        <v>0</v>
      </c>
      <c r="G232" s="191" t="str">
        <f t="shared" si="22"/>
        <v/>
      </c>
      <c r="H232" s="188">
        <f t="shared" si="23"/>
        <v>0.64562410329985653</v>
      </c>
      <c r="I232" s="188" t="str">
        <f t="shared" si="24"/>
        <v/>
      </c>
      <c r="J232" s="182">
        <v>1233</v>
      </c>
      <c r="K232" s="183">
        <v>0</v>
      </c>
      <c r="L232" s="191" t="str">
        <f t="shared" si="25"/>
        <v/>
      </c>
      <c r="M232" s="188">
        <f t="shared" si="26"/>
        <v>0.42566412925275754</v>
      </c>
      <c r="N232" s="189" t="str">
        <f t="shared" si="27"/>
        <v/>
      </c>
    </row>
    <row r="233" spans="1:14" hidden="1" outlineLevel="1">
      <c r="A233" s="180"/>
      <c r="B233" s="190" t="s">
        <v>889</v>
      </c>
      <c r="C233" s="186" t="str">
        <f t="shared" si="21"/>
        <v/>
      </c>
      <c r="E233" s="182">
        <v>245</v>
      </c>
      <c r="F233" s="183">
        <v>0</v>
      </c>
      <c r="G233" s="191" t="str">
        <f t="shared" si="22"/>
        <v/>
      </c>
      <c r="H233" s="188">
        <f t="shared" si="23"/>
        <v>0.83692013390722142</v>
      </c>
      <c r="I233" s="188" t="str">
        <f t="shared" si="24"/>
        <v/>
      </c>
      <c r="J233" s="182">
        <v>1018</v>
      </c>
      <c r="K233" s="183">
        <v>0</v>
      </c>
      <c r="L233" s="191" t="str">
        <f t="shared" si="25"/>
        <v/>
      </c>
      <c r="M233" s="188">
        <f t="shared" si="26"/>
        <v>0.35144045707973004</v>
      </c>
      <c r="N233" s="189" t="str">
        <f t="shared" si="27"/>
        <v/>
      </c>
    </row>
    <row r="234" spans="1:14" hidden="1" outlineLevel="1">
      <c r="A234" s="180"/>
      <c r="B234" s="190" t="s">
        <v>892</v>
      </c>
      <c r="C234" s="186" t="str">
        <f t="shared" si="21"/>
        <v/>
      </c>
      <c r="E234" s="182">
        <v>22</v>
      </c>
      <c r="F234" s="183">
        <v>0</v>
      </c>
      <c r="G234" s="191" t="str">
        <f t="shared" si="22"/>
        <v/>
      </c>
      <c r="H234" s="188">
        <f t="shared" si="23"/>
        <v>7.5152012024321924E-2</v>
      </c>
      <c r="I234" s="188" t="str">
        <f t="shared" si="24"/>
        <v/>
      </c>
      <c r="J234" s="182">
        <v>157</v>
      </c>
      <c r="K234" s="183">
        <v>0</v>
      </c>
      <c r="L234" s="191" t="str">
        <f t="shared" si="25"/>
        <v/>
      </c>
      <c r="M234" s="188">
        <f t="shared" si="26"/>
        <v>5.4200542005420058E-2</v>
      </c>
      <c r="N234" s="189" t="str">
        <f t="shared" si="27"/>
        <v/>
      </c>
    </row>
    <row r="235" spans="1:14" collapsed="1">
      <c r="A235" s="180" t="s">
        <v>1332</v>
      </c>
      <c r="B235" s="179" t="s">
        <v>263</v>
      </c>
      <c r="C235" s="186">
        <f t="shared" si="21"/>
        <v>9.994033412887827</v>
      </c>
      <c r="E235" s="182">
        <v>272</v>
      </c>
      <c r="F235" s="183">
        <v>139</v>
      </c>
      <c r="G235" s="191">
        <f t="shared" si="22"/>
        <v>95.683453237410077</v>
      </c>
      <c r="H235" s="188">
        <f t="shared" si="23"/>
        <v>0.92915214866434381</v>
      </c>
      <c r="I235" s="188">
        <f t="shared" si="24"/>
        <v>0.3918141842372308</v>
      </c>
      <c r="J235" s="182">
        <v>3687</v>
      </c>
      <c r="K235" s="183">
        <v>3352</v>
      </c>
      <c r="L235" s="191">
        <f t="shared" si="25"/>
        <v>9.994033412887827</v>
      </c>
      <c r="M235" s="188">
        <f t="shared" si="26"/>
        <v>1.2728496711718709</v>
      </c>
      <c r="N235" s="189">
        <f t="shared" si="27"/>
        <v>1.1635374036315418</v>
      </c>
    </row>
    <row r="236" spans="1:14" hidden="1" outlineLevel="1">
      <c r="A236" s="180"/>
      <c r="B236" s="190" t="s">
        <v>894</v>
      </c>
      <c r="C236" s="186">
        <f t="shared" si="21"/>
        <v>28.459734167318217</v>
      </c>
      <c r="E236" s="182">
        <v>136</v>
      </c>
      <c r="F236" s="183">
        <v>66</v>
      </c>
      <c r="G236" s="191">
        <f t="shared" si="22"/>
        <v>106.06060606060606</v>
      </c>
      <c r="H236" s="188">
        <f t="shared" si="23"/>
        <v>0.46457607433217191</v>
      </c>
      <c r="I236" s="188">
        <f t="shared" si="24"/>
        <v>0.18604126733566356</v>
      </c>
      <c r="J236" s="182">
        <v>1643</v>
      </c>
      <c r="K236" s="183">
        <v>1279</v>
      </c>
      <c r="L236" s="191">
        <f t="shared" si="25"/>
        <v>28.459734167318217</v>
      </c>
      <c r="M236" s="188">
        <f t="shared" si="26"/>
        <v>0.5672069459548098</v>
      </c>
      <c r="N236" s="189">
        <f t="shared" si="27"/>
        <v>0.44396310836656977</v>
      </c>
    </row>
    <row r="237" spans="1:14" hidden="1" outlineLevel="1">
      <c r="A237" s="180"/>
      <c r="B237" s="190" t="s">
        <v>896</v>
      </c>
      <c r="C237" s="186">
        <f t="shared" si="21"/>
        <v>193.65482233502539</v>
      </c>
      <c r="E237" s="182">
        <v>87</v>
      </c>
      <c r="F237" s="183">
        <v>13</v>
      </c>
      <c r="G237" s="191">
        <f t="shared" si="22"/>
        <v>569.23076923076928</v>
      </c>
      <c r="H237" s="188">
        <f t="shared" si="23"/>
        <v>0.29719204755072764</v>
      </c>
      <c r="I237" s="188">
        <f t="shared" si="24"/>
        <v>3.6644492050964032E-2</v>
      </c>
      <c r="J237" s="182">
        <v>1157</v>
      </c>
      <c r="K237" s="183">
        <v>394</v>
      </c>
      <c r="L237" s="191">
        <f t="shared" si="25"/>
        <v>193.65482233502539</v>
      </c>
      <c r="M237" s="188">
        <f t="shared" si="26"/>
        <v>0.39942692420554782</v>
      </c>
      <c r="N237" s="189">
        <f t="shared" si="27"/>
        <v>0.13676424135764545</v>
      </c>
    </row>
    <row r="238" spans="1:14" hidden="1" outlineLevel="1">
      <c r="A238" s="180"/>
      <c r="B238" s="190" t="s">
        <v>895</v>
      </c>
      <c r="C238" s="186">
        <f t="shared" si="21"/>
        <v>-26.791620727673649</v>
      </c>
      <c r="E238" s="182">
        <v>47</v>
      </c>
      <c r="F238" s="183">
        <v>33</v>
      </c>
      <c r="G238" s="191">
        <f t="shared" si="22"/>
        <v>42.424242424242422</v>
      </c>
      <c r="H238" s="188">
        <f t="shared" si="23"/>
        <v>0.16055202568832411</v>
      </c>
      <c r="I238" s="188">
        <f t="shared" si="24"/>
        <v>9.3020633667831781E-2</v>
      </c>
      <c r="J238" s="182">
        <v>664</v>
      </c>
      <c r="K238" s="183">
        <v>907</v>
      </c>
      <c r="L238" s="191">
        <f t="shared" si="25"/>
        <v>-26.791620727673649</v>
      </c>
      <c r="M238" s="188">
        <f t="shared" si="26"/>
        <v>0.22923031778088482</v>
      </c>
      <c r="N238" s="189">
        <f t="shared" si="27"/>
        <v>0.314835449013666</v>
      </c>
    </row>
    <row r="239" spans="1:14" hidden="1" outlineLevel="1">
      <c r="A239" s="180"/>
      <c r="B239" s="190" t="s">
        <v>898</v>
      </c>
      <c r="C239" s="186">
        <f t="shared" si="21"/>
        <v>-7.3770491803278686</v>
      </c>
      <c r="E239" s="182">
        <v>2</v>
      </c>
      <c r="F239" s="183">
        <v>3</v>
      </c>
      <c r="G239" s="191">
        <f t="shared" si="22"/>
        <v>-33.333333333333329</v>
      </c>
      <c r="H239" s="188">
        <f t="shared" si="23"/>
        <v>6.8320010931201755E-3</v>
      </c>
      <c r="I239" s="188">
        <f t="shared" si="24"/>
        <v>8.4564212425301613E-3</v>
      </c>
      <c r="J239" s="182">
        <v>113</v>
      </c>
      <c r="K239" s="183">
        <v>122</v>
      </c>
      <c r="L239" s="191">
        <f t="shared" si="25"/>
        <v>-7.3770491803278686</v>
      </c>
      <c r="M239" s="188">
        <f t="shared" si="26"/>
        <v>3.9010581188614432E-2</v>
      </c>
      <c r="N239" s="189">
        <f t="shared" si="27"/>
        <v>4.234831838993082E-2</v>
      </c>
    </row>
    <row r="240" spans="1:14" hidden="1" outlineLevel="1">
      <c r="A240" s="180"/>
      <c r="B240" s="190" t="s">
        <v>902</v>
      </c>
      <c r="C240" s="186">
        <f t="shared" si="21"/>
        <v>-35.443037974683541</v>
      </c>
      <c r="E240" s="182">
        <v>0</v>
      </c>
      <c r="F240" s="183">
        <v>12</v>
      </c>
      <c r="G240" s="191">
        <f t="shared" si="22"/>
        <v>-100</v>
      </c>
      <c r="H240" s="188" t="str">
        <f t="shared" si="23"/>
        <v/>
      </c>
      <c r="I240" s="188">
        <f t="shared" si="24"/>
        <v>3.3825684970120645E-2</v>
      </c>
      <c r="J240" s="182">
        <v>51</v>
      </c>
      <c r="K240" s="183">
        <v>79</v>
      </c>
      <c r="L240" s="191">
        <f t="shared" si="25"/>
        <v>-35.443037974683541</v>
      </c>
      <c r="M240" s="188">
        <f t="shared" si="26"/>
        <v>1.7606545492206516E-2</v>
      </c>
      <c r="N240" s="189">
        <f t="shared" si="27"/>
        <v>2.7422271744299464E-2</v>
      </c>
    </row>
    <row r="241" spans="1:14" hidden="1" outlineLevel="1">
      <c r="A241" s="180"/>
      <c r="B241" s="190" t="s">
        <v>899</v>
      </c>
      <c r="C241" s="186">
        <f t="shared" si="21"/>
        <v>-74.522292993630572</v>
      </c>
      <c r="E241" s="182">
        <v>0</v>
      </c>
      <c r="F241" s="183">
        <v>12</v>
      </c>
      <c r="G241" s="191">
        <f t="shared" si="22"/>
        <v>-100</v>
      </c>
      <c r="H241" s="188" t="str">
        <f t="shared" si="23"/>
        <v/>
      </c>
      <c r="I241" s="188">
        <f t="shared" si="24"/>
        <v>3.3825684970120645E-2</v>
      </c>
      <c r="J241" s="182">
        <v>40</v>
      </c>
      <c r="K241" s="183">
        <v>157</v>
      </c>
      <c r="L241" s="191">
        <f t="shared" si="25"/>
        <v>-74.522292993630572</v>
      </c>
      <c r="M241" s="188">
        <f t="shared" si="26"/>
        <v>1.380905528800511E-2</v>
      </c>
      <c r="N241" s="189">
        <f t="shared" si="27"/>
        <v>5.4497426124747041E-2</v>
      </c>
    </row>
    <row r="242" spans="1:14" hidden="1" outlineLevel="1">
      <c r="A242" s="180"/>
      <c r="B242" s="190" t="s">
        <v>1109</v>
      </c>
      <c r="C242" s="186" t="str">
        <f t="shared" si="21"/>
        <v/>
      </c>
      <c r="E242" s="182">
        <v>0</v>
      </c>
      <c r="F242" s="183">
        <v>0</v>
      </c>
      <c r="G242" s="191" t="str">
        <f t="shared" si="22"/>
        <v/>
      </c>
      <c r="H242" s="188" t="str">
        <f t="shared" si="23"/>
        <v/>
      </c>
      <c r="I242" s="188" t="str">
        <f t="shared" si="24"/>
        <v/>
      </c>
      <c r="J242" s="182">
        <v>19</v>
      </c>
      <c r="K242" s="183">
        <v>0</v>
      </c>
      <c r="L242" s="191" t="str">
        <f t="shared" si="25"/>
        <v/>
      </c>
      <c r="M242" s="188">
        <f t="shared" si="26"/>
        <v>6.559301261802427E-3</v>
      </c>
      <c r="N242" s="189" t="str">
        <f t="shared" si="27"/>
        <v/>
      </c>
    </row>
    <row r="243" spans="1:14" hidden="1" outlineLevel="1">
      <c r="A243" s="180"/>
      <c r="B243" s="190" t="s">
        <v>897</v>
      </c>
      <c r="C243" s="186">
        <f t="shared" si="21"/>
        <v>-100</v>
      </c>
      <c r="E243" s="182">
        <v>0</v>
      </c>
      <c r="F243" s="183">
        <v>0</v>
      </c>
      <c r="G243" s="191" t="str">
        <f t="shared" si="22"/>
        <v/>
      </c>
      <c r="H243" s="188" t="str">
        <f t="shared" si="23"/>
        <v/>
      </c>
      <c r="I243" s="188" t="str">
        <f t="shared" si="24"/>
        <v/>
      </c>
      <c r="J243" s="182">
        <v>0</v>
      </c>
      <c r="K243" s="183">
        <v>305</v>
      </c>
      <c r="L243" s="191">
        <f t="shared" si="25"/>
        <v>-100</v>
      </c>
      <c r="M243" s="188" t="str">
        <f t="shared" si="26"/>
        <v/>
      </c>
      <c r="N243" s="189">
        <f t="shared" si="27"/>
        <v>0.10587079597482706</v>
      </c>
    </row>
    <row r="244" spans="1:14" hidden="1" outlineLevel="1">
      <c r="A244" s="180"/>
      <c r="B244" s="190" t="s">
        <v>900</v>
      </c>
      <c r="C244" s="186">
        <f t="shared" si="21"/>
        <v>-100</v>
      </c>
      <c r="E244" s="182">
        <v>0</v>
      </c>
      <c r="F244" s="183">
        <v>0</v>
      </c>
      <c r="G244" s="191" t="str">
        <f t="shared" si="22"/>
        <v/>
      </c>
      <c r="H244" s="188" t="str">
        <f t="shared" si="23"/>
        <v/>
      </c>
      <c r="I244" s="188" t="str">
        <f t="shared" si="24"/>
        <v/>
      </c>
      <c r="J244" s="182">
        <v>0</v>
      </c>
      <c r="K244" s="183">
        <v>49</v>
      </c>
      <c r="L244" s="191">
        <f t="shared" si="25"/>
        <v>-100</v>
      </c>
      <c r="M244" s="188" t="str">
        <f t="shared" si="26"/>
        <v/>
      </c>
      <c r="N244" s="189">
        <f t="shared" si="27"/>
        <v>1.7008750828742706E-2</v>
      </c>
    </row>
    <row r="245" spans="1:14" hidden="1" outlineLevel="1">
      <c r="A245" s="180"/>
      <c r="B245" s="190" t="s">
        <v>1140</v>
      </c>
      <c r="C245" s="186">
        <f t="shared" si="21"/>
        <v>-100</v>
      </c>
      <c r="E245" s="182">
        <v>0</v>
      </c>
      <c r="F245" s="183">
        <v>0</v>
      </c>
      <c r="G245" s="191" t="str">
        <f t="shared" si="22"/>
        <v/>
      </c>
      <c r="H245" s="188" t="str">
        <f t="shared" si="23"/>
        <v/>
      </c>
      <c r="I245" s="188" t="str">
        <f t="shared" si="24"/>
        <v/>
      </c>
      <c r="J245" s="182">
        <v>0</v>
      </c>
      <c r="K245" s="183">
        <v>38</v>
      </c>
      <c r="L245" s="191">
        <f t="shared" si="25"/>
        <v>-100</v>
      </c>
      <c r="M245" s="188" t="str">
        <f t="shared" si="26"/>
        <v/>
      </c>
      <c r="N245" s="189">
        <f t="shared" si="27"/>
        <v>1.3190459826371894E-2</v>
      </c>
    </row>
    <row r="246" spans="1:14" hidden="1" outlineLevel="1">
      <c r="A246" s="180"/>
      <c r="B246" s="190" t="s">
        <v>901</v>
      </c>
      <c r="C246" s="186">
        <f t="shared" si="21"/>
        <v>-100</v>
      </c>
      <c r="E246" s="182">
        <v>0</v>
      </c>
      <c r="F246" s="183">
        <v>0</v>
      </c>
      <c r="G246" s="191" t="str">
        <f t="shared" si="22"/>
        <v/>
      </c>
      <c r="H246" s="188" t="str">
        <f t="shared" si="23"/>
        <v/>
      </c>
      <c r="I246" s="188" t="str">
        <f t="shared" si="24"/>
        <v/>
      </c>
      <c r="J246" s="182">
        <v>0</v>
      </c>
      <c r="K246" s="183">
        <v>22</v>
      </c>
      <c r="L246" s="191">
        <f t="shared" si="25"/>
        <v>-100</v>
      </c>
      <c r="M246" s="188" t="str">
        <f t="shared" si="26"/>
        <v/>
      </c>
      <c r="N246" s="189">
        <f t="shared" si="27"/>
        <v>7.6365820047416232E-3</v>
      </c>
    </row>
    <row r="247" spans="1:14" collapsed="1">
      <c r="A247" s="180" t="s">
        <v>1333</v>
      </c>
      <c r="B247" s="179" t="s">
        <v>322</v>
      </c>
      <c r="C247" s="186">
        <f t="shared" si="21"/>
        <v>-18.66756092108205</v>
      </c>
      <c r="E247" s="182">
        <v>358</v>
      </c>
      <c r="F247" s="183">
        <v>604</v>
      </c>
      <c r="G247" s="191">
        <f t="shared" si="22"/>
        <v>-40.728476821192054</v>
      </c>
      <c r="H247" s="188">
        <f t="shared" si="23"/>
        <v>1.2229281956685112</v>
      </c>
      <c r="I247" s="188">
        <f t="shared" si="24"/>
        <v>1.7025594768294059</v>
      </c>
      <c r="J247" s="182">
        <v>3638</v>
      </c>
      <c r="K247" s="183">
        <v>4473</v>
      </c>
      <c r="L247" s="191">
        <f t="shared" si="25"/>
        <v>-18.66756092108205</v>
      </c>
      <c r="M247" s="188">
        <f t="shared" si="26"/>
        <v>1.2559335784440648</v>
      </c>
      <c r="N247" s="189">
        <f t="shared" si="27"/>
        <v>1.5526559685095127</v>
      </c>
    </row>
    <row r="248" spans="1:14" hidden="1" outlineLevel="1">
      <c r="A248" s="180"/>
      <c r="B248" s="190">
        <v>2</v>
      </c>
      <c r="C248" s="186">
        <f t="shared" si="21"/>
        <v>-18.521836506159016</v>
      </c>
      <c r="E248" s="182">
        <v>358</v>
      </c>
      <c r="F248" s="183">
        <v>604</v>
      </c>
      <c r="G248" s="191">
        <f t="shared" si="22"/>
        <v>-40.728476821192054</v>
      </c>
      <c r="H248" s="188">
        <f t="shared" si="23"/>
        <v>1.2229281956685112</v>
      </c>
      <c r="I248" s="188">
        <f t="shared" si="24"/>
        <v>1.7025594768294059</v>
      </c>
      <c r="J248" s="182">
        <v>3638</v>
      </c>
      <c r="K248" s="183">
        <v>4465</v>
      </c>
      <c r="L248" s="191">
        <f t="shared" si="25"/>
        <v>-18.521836506159016</v>
      </c>
      <c r="M248" s="188">
        <f t="shared" si="26"/>
        <v>1.2559335784440648</v>
      </c>
      <c r="N248" s="189">
        <f t="shared" si="27"/>
        <v>1.5498790295986977</v>
      </c>
    </row>
    <row r="249" spans="1:14" hidden="1" outlineLevel="1">
      <c r="A249" s="180"/>
      <c r="B249" s="190">
        <v>1</v>
      </c>
      <c r="C249" s="186">
        <f t="shared" si="21"/>
        <v>-100</v>
      </c>
      <c r="E249" s="182">
        <v>0</v>
      </c>
      <c r="F249" s="183">
        <v>0</v>
      </c>
      <c r="G249" s="191" t="str">
        <f t="shared" si="22"/>
        <v/>
      </c>
      <c r="H249" s="188" t="str">
        <f t="shared" si="23"/>
        <v/>
      </c>
      <c r="I249" s="188" t="str">
        <f t="shared" si="24"/>
        <v/>
      </c>
      <c r="J249" s="182">
        <v>0</v>
      </c>
      <c r="K249" s="183">
        <v>8</v>
      </c>
      <c r="L249" s="191">
        <f t="shared" si="25"/>
        <v>-100</v>
      </c>
      <c r="M249" s="188" t="str">
        <f t="shared" si="26"/>
        <v/>
      </c>
      <c r="N249" s="189">
        <f t="shared" si="27"/>
        <v>2.7769389108151356E-3</v>
      </c>
    </row>
    <row r="250" spans="1:14" collapsed="1">
      <c r="A250" s="180" t="s">
        <v>1334</v>
      </c>
      <c r="B250" s="179" t="s">
        <v>504</v>
      </c>
      <c r="C250" s="186">
        <f t="shared" si="21"/>
        <v>217.09558823529412</v>
      </c>
      <c r="E250" s="182">
        <v>234</v>
      </c>
      <c r="F250" s="183">
        <v>983</v>
      </c>
      <c r="G250" s="191">
        <f t="shared" si="22"/>
        <v>-76.195320447609362</v>
      </c>
      <c r="H250" s="188">
        <f t="shared" si="23"/>
        <v>0.79934412789506049</v>
      </c>
      <c r="I250" s="188">
        <f t="shared" si="24"/>
        <v>2.7708873604690494</v>
      </c>
      <c r="J250" s="182">
        <v>3450</v>
      </c>
      <c r="K250" s="183">
        <v>1088</v>
      </c>
      <c r="L250" s="191">
        <f t="shared" si="25"/>
        <v>217.09558823529412</v>
      </c>
      <c r="M250" s="188">
        <f t="shared" si="26"/>
        <v>1.1910310185904407</v>
      </c>
      <c r="N250" s="189">
        <f t="shared" si="27"/>
        <v>0.37766369187085841</v>
      </c>
    </row>
    <row r="251" spans="1:14" hidden="1" outlineLevel="1">
      <c r="A251" s="180"/>
      <c r="B251" s="190" t="s">
        <v>1028</v>
      </c>
      <c r="C251" s="186">
        <f t="shared" si="21"/>
        <v>202.25776105362181</v>
      </c>
      <c r="E251" s="182">
        <v>211</v>
      </c>
      <c r="F251" s="183">
        <v>980</v>
      </c>
      <c r="G251" s="191">
        <f t="shared" si="22"/>
        <v>-78.469387755102034</v>
      </c>
      <c r="H251" s="188">
        <f t="shared" si="23"/>
        <v>0.72077611532417851</v>
      </c>
      <c r="I251" s="188">
        <f t="shared" si="24"/>
        <v>2.7624309392265194</v>
      </c>
      <c r="J251" s="182">
        <v>3213</v>
      </c>
      <c r="K251" s="183">
        <v>1063</v>
      </c>
      <c r="L251" s="191">
        <f t="shared" si="25"/>
        <v>202.25776105362181</v>
      </c>
      <c r="M251" s="188">
        <f t="shared" si="26"/>
        <v>1.1092123660090105</v>
      </c>
      <c r="N251" s="189">
        <f t="shared" si="27"/>
        <v>0.36898575777456116</v>
      </c>
    </row>
    <row r="252" spans="1:14" hidden="1" outlineLevel="1">
      <c r="A252" s="180"/>
      <c r="B252" s="190" t="s">
        <v>1070</v>
      </c>
      <c r="C252" s="186" t="str">
        <f t="shared" si="21"/>
        <v/>
      </c>
      <c r="E252" s="182">
        <v>2</v>
      </c>
      <c r="F252" s="183">
        <v>0</v>
      </c>
      <c r="G252" s="191" t="str">
        <f t="shared" si="22"/>
        <v/>
      </c>
      <c r="H252" s="188">
        <f t="shared" si="23"/>
        <v>6.8320010931201755E-3</v>
      </c>
      <c r="I252" s="188" t="str">
        <f t="shared" si="24"/>
        <v/>
      </c>
      <c r="J252" s="182">
        <v>112</v>
      </c>
      <c r="K252" s="183">
        <v>0</v>
      </c>
      <c r="L252" s="191" t="str">
        <f t="shared" si="25"/>
        <v/>
      </c>
      <c r="M252" s="188">
        <f t="shared" si="26"/>
        <v>3.8665354806414302E-2</v>
      </c>
      <c r="N252" s="189" t="str">
        <f t="shared" si="27"/>
        <v/>
      </c>
    </row>
    <row r="253" spans="1:14" hidden="1" outlineLevel="1">
      <c r="A253" s="180"/>
      <c r="B253" s="190" t="s">
        <v>1335</v>
      </c>
      <c r="C253" s="186">
        <f t="shared" si="21"/>
        <v>256</v>
      </c>
      <c r="E253" s="182">
        <v>12</v>
      </c>
      <c r="F253" s="183">
        <v>3</v>
      </c>
      <c r="G253" s="191">
        <f t="shared" si="22"/>
        <v>300</v>
      </c>
      <c r="H253" s="188">
        <f t="shared" si="23"/>
        <v>4.0992006558721053E-2</v>
      </c>
      <c r="I253" s="188">
        <f t="shared" si="24"/>
        <v>8.4564212425301613E-3</v>
      </c>
      <c r="J253" s="182">
        <v>89</v>
      </c>
      <c r="K253" s="183">
        <v>25</v>
      </c>
      <c r="L253" s="191">
        <f t="shared" si="25"/>
        <v>256</v>
      </c>
      <c r="M253" s="188">
        <f t="shared" si="26"/>
        <v>3.0725148015811367E-2</v>
      </c>
      <c r="N253" s="189">
        <f t="shared" si="27"/>
        <v>8.6779340962972983E-3</v>
      </c>
    </row>
    <row r="254" spans="1:14" hidden="1" outlineLevel="1">
      <c r="A254" s="180"/>
      <c r="B254" s="190" t="s">
        <v>1287</v>
      </c>
      <c r="C254" s="186" t="str">
        <f t="shared" si="21"/>
        <v/>
      </c>
      <c r="E254" s="182">
        <v>7</v>
      </c>
      <c r="F254" s="183">
        <v>0</v>
      </c>
      <c r="G254" s="191" t="str">
        <f t="shared" si="22"/>
        <v/>
      </c>
      <c r="H254" s="188">
        <f t="shared" si="23"/>
        <v>2.3912003825920614E-2</v>
      </c>
      <c r="I254" s="188" t="str">
        <f t="shared" si="24"/>
        <v/>
      </c>
      <c r="J254" s="182">
        <v>34</v>
      </c>
      <c r="K254" s="183">
        <v>0</v>
      </c>
      <c r="L254" s="191" t="str">
        <f t="shared" si="25"/>
        <v/>
      </c>
      <c r="M254" s="188">
        <f t="shared" si="26"/>
        <v>1.1737696994804344E-2</v>
      </c>
      <c r="N254" s="189" t="str">
        <f t="shared" si="27"/>
        <v/>
      </c>
    </row>
    <row r="255" spans="1:14" hidden="1" outlineLevel="1">
      <c r="A255" s="180"/>
      <c r="B255" s="190" t="s">
        <v>1017</v>
      </c>
      <c r="C255" s="186" t="str">
        <f t="shared" si="21"/>
        <v/>
      </c>
      <c r="E255" s="182">
        <v>2</v>
      </c>
      <c r="F255" s="183">
        <v>0</v>
      </c>
      <c r="G255" s="191" t="str">
        <f t="shared" si="22"/>
        <v/>
      </c>
      <c r="H255" s="188">
        <f t="shared" si="23"/>
        <v>6.8320010931201755E-3</v>
      </c>
      <c r="I255" s="188" t="str">
        <f t="shared" si="24"/>
        <v/>
      </c>
      <c r="J255" s="182">
        <v>2</v>
      </c>
      <c r="K255" s="183">
        <v>0</v>
      </c>
      <c r="L255" s="191" t="str">
        <f t="shared" si="25"/>
        <v/>
      </c>
      <c r="M255" s="188">
        <f t="shared" si="26"/>
        <v>6.9045276440025548E-4</v>
      </c>
      <c r="N255" s="189" t="str">
        <f t="shared" si="27"/>
        <v/>
      </c>
    </row>
    <row r="256" spans="1:14" collapsed="1">
      <c r="A256" s="180" t="s">
        <v>1336</v>
      </c>
      <c r="B256" s="179" t="s">
        <v>277</v>
      </c>
      <c r="C256" s="186">
        <f t="shared" si="21"/>
        <v>13.25044404973357</v>
      </c>
      <c r="E256" s="182">
        <v>235</v>
      </c>
      <c r="F256" s="183">
        <v>392</v>
      </c>
      <c r="G256" s="191">
        <f t="shared" si="22"/>
        <v>-40.051020408163261</v>
      </c>
      <c r="H256" s="188">
        <f t="shared" si="23"/>
        <v>0.80276012844162048</v>
      </c>
      <c r="I256" s="188">
        <f t="shared" si="24"/>
        <v>1.1049723756906076</v>
      </c>
      <c r="J256" s="182">
        <v>3188</v>
      </c>
      <c r="K256" s="183">
        <v>2815</v>
      </c>
      <c r="L256" s="191">
        <f t="shared" si="25"/>
        <v>13.25044404973357</v>
      </c>
      <c r="M256" s="188">
        <f t="shared" si="26"/>
        <v>1.1005817064540073</v>
      </c>
      <c r="N256" s="189">
        <f t="shared" si="27"/>
        <v>0.97713537924307581</v>
      </c>
    </row>
    <row r="257" spans="1:14" hidden="1" outlineLevel="1">
      <c r="A257" s="180"/>
      <c r="B257" s="190" t="s">
        <v>985</v>
      </c>
      <c r="C257" s="186">
        <f t="shared" si="21"/>
        <v>43.933463796477497</v>
      </c>
      <c r="E257" s="182">
        <v>139</v>
      </c>
      <c r="F257" s="183">
        <v>316</v>
      </c>
      <c r="G257" s="191">
        <f t="shared" si="22"/>
        <v>-56.0126582278481</v>
      </c>
      <c r="H257" s="188">
        <f t="shared" si="23"/>
        <v>0.47482407597185217</v>
      </c>
      <c r="I257" s="188">
        <f t="shared" si="24"/>
        <v>0.8907430375465103</v>
      </c>
      <c r="J257" s="182">
        <v>1471</v>
      </c>
      <c r="K257" s="183">
        <v>1022</v>
      </c>
      <c r="L257" s="191">
        <f t="shared" si="25"/>
        <v>43.933463796477497</v>
      </c>
      <c r="M257" s="188">
        <f t="shared" si="26"/>
        <v>0.50782800821638796</v>
      </c>
      <c r="N257" s="189">
        <f t="shared" si="27"/>
        <v>0.35475394585663356</v>
      </c>
    </row>
    <row r="258" spans="1:14" hidden="1" outlineLevel="1">
      <c r="A258" s="180"/>
      <c r="B258" s="190" t="s">
        <v>935</v>
      </c>
      <c r="C258" s="186">
        <f t="shared" si="21"/>
        <v>-16.518650088809945</v>
      </c>
      <c r="E258" s="182">
        <v>10</v>
      </c>
      <c r="F258" s="183">
        <v>33</v>
      </c>
      <c r="G258" s="191">
        <f t="shared" si="22"/>
        <v>-69.696969696969703</v>
      </c>
      <c r="H258" s="188">
        <f t="shared" si="23"/>
        <v>3.4160005465600871E-2</v>
      </c>
      <c r="I258" s="188">
        <f t="shared" si="24"/>
        <v>9.3020633667831781E-2</v>
      </c>
      <c r="J258" s="182">
        <v>470</v>
      </c>
      <c r="K258" s="183">
        <v>563</v>
      </c>
      <c r="L258" s="191">
        <f t="shared" si="25"/>
        <v>-16.518650088809945</v>
      </c>
      <c r="M258" s="188">
        <f t="shared" si="26"/>
        <v>0.16225639963406002</v>
      </c>
      <c r="N258" s="189">
        <f t="shared" si="27"/>
        <v>0.19542707584861516</v>
      </c>
    </row>
    <row r="259" spans="1:14" hidden="1" outlineLevel="1">
      <c r="A259" s="180"/>
      <c r="B259" s="190" t="s">
        <v>938</v>
      </c>
      <c r="C259" s="186">
        <f t="shared" si="21"/>
        <v>87.398373983739845</v>
      </c>
      <c r="E259" s="182">
        <v>23</v>
      </c>
      <c r="F259" s="183">
        <v>23</v>
      </c>
      <c r="G259" s="191">
        <f t="shared" si="22"/>
        <v>0</v>
      </c>
      <c r="H259" s="188">
        <f t="shared" si="23"/>
        <v>7.8568012570882001E-2</v>
      </c>
      <c r="I259" s="188">
        <f t="shared" si="24"/>
        <v>6.4832562859397896E-2</v>
      </c>
      <c r="J259" s="182">
        <v>461</v>
      </c>
      <c r="K259" s="183">
        <v>246</v>
      </c>
      <c r="L259" s="191">
        <f t="shared" si="25"/>
        <v>87.398373983739845</v>
      </c>
      <c r="M259" s="188">
        <f t="shared" si="26"/>
        <v>0.15914936219425888</v>
      </c>
      <c r="N259" s="189">
        <f t="shared" si="27"/>
        <v>8.5390871507565413E-2</v>
      </c>
    </row>
    <row r="260" spans="1:14" hidden="1" outlineLevel="1">
      <c r="A260" s="180"/>
      <c r="B260" s="190" t="s">
        <v>936</v>
      </c>
      <c r="C260" s="186">
        <f t="shared" si="21"/>
        <v>-29.794520547945208</v>
      </c>
      <c r="E260" s="182">
        <v>51</v>
      </c>
      <c r="F260" s="183">
        <v>1</v>
      </c>
      <c r="G260" s="191">
        <f t="shared" si="22"/>
        <v>5000</v>
      </c>
      <c r="H260" s="188">
        <f t="shared" si="23"/>
        <v>0.17421602787456447</v>
      </c>
      <c r="I260" s="188">
        <f t="shared" si="24"/>
        <v>2.8188070808433871E-3</v>
      </c>
      <c r="J260" s="182">
        <v>410</v>
      </c>
      <c r="K260" s="183">
        <v>584</v>
      </c>
      <c r="L260" s="191">
        <f t="shared" si="25"/>
        <v>-29.794520547945208</v>
      </c>
      <c r="M260" s="188">
        <f t="shared" si="26"/>
        <v>0.14154281670205238</v>
      </c>
      <c r="N260" s="189">
        <f t="shared" si="27"/>
        <v>0.20271654048950488</v>
      </c>
    </row>
    <row r="261" spans="1:14" hidden="1" outlineLevel="1">
      <c r="A261" s="180"/>
      <c r="B261" s="190" t="s">
        <v>937</v>
      </c>
      <c r="C261" s="186">
        <f t="shared" si="21"/>
        <v>-10</v>
      </c>
      <c r="E261" s="182">
        <v>11</v>
      </c>
      <c r="F261" s="183">
        <v>9</v>
      </c>
      <c r="G261" s="191">
        <f t="shared" si="22"/>
        <v>22.222222222222221</v>
      </c>
      <c r="H261" s="188">
        <f t="shared" si="23"/>
        <v>3.7576006012160962E-2</v>
      </c>
      <c r="I261" s="188">
        <f t="shared" si="24"/>
        <v>2.536926372759048E-2</v>
      </c>
      <c r="J261" s="182">
        <v>153</v>
      </c>
      <c r="K261" s="183">
        <v>170</v>
      </c>
      <c r="L261" s="191">
        <f t="shared" si="25"/>
        <v>-10</v>
      </c>
      <c r="M261" s="188">
        <f t="shared" si="26"/>
        <v>5.2819636476619539E-2</v>
      </c>
      <c r="N261" s="189">
        <f t="shared" si="27"/>
        <v>5.9009951854821635E-2</v>
      </c>
    </row>
    <row r="262" spans="1:14" hidden="1" outlineLevel="1">
      <c r="A262" s="180"/>
      <c r="B262" s="190" t="s">
        <v>939</v>
      </c>
      <c r="C262" s="186">
        <f t="shared" si="21"/>
        <v>-8.9285714285714288</v>
      </c>
      <c r="E262" s="182">
        <v>1</v>
      </c>
      <c r="F262" s="183">
        <v>7</v>
      </c>
      <c r="G262" s="191">
        <f t="shared" si="22"/>
        <v>-85.714285714285708</v>
      </c>
      <c r="H262" s="188">
        <f t="shared" si="23"/>
        <v>3.4160005465600878E-3</v>
      </c>
      <c r="I262" s="188">
        <f t="shared" si="24"/>
        <v>1.973164956590371E-2</v>
      </c>
      <c r="J262" s="182">
        <v>153</v>
      </c>
      <c r="K262" s="183">
        <v>168</v>
      </c>
      <c r="L262" s="191">
        <f t="shared" si="25"/>
        <v>-8.9285714285714288</v>
      </c>
      <c r="M262" s="188">
        <f t="shared" si="26"/>
        <v>5.2819636476619539E-2</v>
      </c>
      <c r="N262" s="189">
        <f t="shared" si="27"/>
        <v>5.8315717127117847E-2</v>
      </c>
    </row>
    <row r="263" spans="1:14" hidden="1" outlineLevel="1">
      <c r="A263" s="180"/>
      <c r="B263" s="190" t="s">
        <v>940</v>
      </c>
      <c r="C263" s="186">
        <f t="shared" si="21"/>
        <v>51.162790697674424</v>
      </c>
      <c r="E263" s="182">
        <v>0</v>
      </c>
      <c r="F263" s="183">
        <v>2</v>
      </c>
      <c r="G263" s="191">
        <f t="shared" si="22"/>
        <v>-100</v>
      </c>
      <c r="H263" s="188" t="str">
        <f t="shared" si="23"/>
        <v/>
      </c>
      <c r="I263" s="188">
        <f t="shared" si="24"/>
        <v>5.6376141616867742E-3</v>
      </c>
      <c r="J263" s="182">
        <v>65</v>
      </c>
      <c r="K263" s="183">
        <v>43</v>
      </c>
      <c r="L263" s="191">
        <f t="shared" si="25"/>
        <v>51.162790697674424</v>
      </c>
      <c r="M263" s="188">
        <f t="shared" si="26"/>
        <v>2.2439714843008302E-2</v>
      </c>
      <c r="N263" s="189">
        <f t="shared" si="27"/>
        <v>1.4926046645631354E-2</v>
      </c>
    </row>
    <row r="264" spans="1:14" hidden="1" outlineLevel="1">
      <c r="A264" s="180"/>
      <c r="B264" s="190" t="s">
        <v>941</v>
      </c>
      <c r="C264" s="186">
        <f t="shared" si="21"/>
        <v>-61.53846153846154</v>
      </c>
      <c r="E264" s="182">
        <v>0</v>
      </c>
      <c r="F264" s="183">
        <v>1</v>
      </c>
      <c r="G264" s="191">
        <f t="shared" si="22"/>
        <v>-100</v>
      </c>
      <c r="H264" s="188" t="str">
        <f t="shared" si="23"/>
        <v/>
      </c>
      <c r="I264" s="188">
        <f t="shared" si="24"/>
        <v>2.8188070808433871E-3</v>
      </c>
      <c r="J264" s="182">
        <v>5</v>
      </c>
      <c r="K264" s="183">
        <v>13</v>
      </c>
      <c r="L264" s="191">
        <f t="shared" si="25"/>
        <v>-61.53846153846154</v>
      </c>
      <c r="M264" s="188">
        <f t="shared" si="26"/>
        <v>1.7261319110006387E-3</v>
      </c>
      <c r="N264" s="189">
        <f t="shared" si="27"/>
        <v>4.5125257300745953E-3</v>
      </c>
    </row>
    <row r="265" spans="1:14" hidden="1" outlineLevel="1">
      <c r="A265" s="180"/>
      <c r="B265" s="190" t="s">
        <v>942</v>
      </c>
      <c r="C265" s="186">
        <f t="shared" si="21"/>
        <v>-100</v>
      </c>
      <c r="E265" s="182">
        <v>0</v>
      </c>
      <c r="F265" s="183">
        <v>0</v>
      </c>
      <c r="G265" s="191" t="str">
        <f t="shared" si="22"/>
        <v/>
      </c>
      <c r="H265" s="188" t="str">
        <f t="shared" si="23"/>
        <v/>
      </c>
      <c r="I265" s="188" t="str">
        <f t="shared" si="24"/>
        <v/>
      </c>
      <c r="J265" s="182">
        <v>0</v>
      </c>
      <c r="K265" s="183">
        <v>6</v>
      </c>
      <c r="L265" s="191">
        <f t="shared" si="25"/>
        <v>-100</v>
      </c>
      <c r="M265" s="188" t="str">
        <f t="shared" si="26"/>
        <v/>
      </c>
      <c r="N265" s="189">
        <f t="shared" si="27"/>
        <v>2.0827041831113515E-3</v>
      </c>
    </row>
    <row r="266" spans="1:14" collapsed="1">
      <c r="A266" s="180" t="s">
        <v>1337</v>
      </c>
      <c r="B266" s="179" t="s">
        <v>264</v>
      </c>
      <c r="C266" s="186">
        <f t="shared" ref="C266:C329" si="28">IF(K266=0,"",SUM(((J266-K266)/K266)*100))</f>
        <v>2.2905982905982905</v>
      </c>
      <c r="E266" s="182">
        <v>462</v>
      </c>
      <c r="F266" s="183">
        <v>260</v>
      </c>
      <c r="G266" s="191">
        <f t="shared" ref="G266:G329" si="29">IF(F266=0,"",SUM(((E266-F266)/F266)*100))</f>
        <v>77.692307692307693</v>
      </c>
      <c r="H266" s="188">
        <f t="shared" ref="H266:H329" si="30">IF(E266=0,"",SUM((E266/CntPeriod)*100))</f>
        <v>1.5781922525107603</v>
      </c>
      <c r="I266" s="188">
        <f t="shared" ref="I266:I329" si="31">IF(F266=0,"",SUM((F266/CntPeriodPrevYear)*100))</f>
        <v>0.73288984101928067</v>
      </c>
      <c r="J266" s="182">
        <v>2992</v>
      </c>
      <c r="K266" s="183">
        <v>2925</v>
      </c>
      <c r="L266" s="191">
        <f t="shared" ref="L266:L329" si="32">IF(K266=0,"",SUM(((J266-K266)/K266)*100))</f>
        <v>2.2905982905982905</v>
      </c>
      <c r="M266" s="188">
        <f t="shared" ref="M266:M329" si="33">IF(J266=0,"",SUM((J266/CntYearAck)*100))</f>
        <v>1.0329173355427821</v>
      </c>
      <c r="N266" s="189">
        <f t="shared" ref="N266:N329" si="34">IF(K266=0,"",SUM((K266/CntPrevYearAck)*100))</f>
        <v>1.015318289266784</v>
      </c>
    </row>
    <row r="267" spans="1:14" hidden="1" outlineLevel="1">
      <c r="A267" s="180"/>
      <c r="B267" s="190" t="s">
        <v>914</v>
      </c>
      <c r="C267" s="186">
        <f t="shared" si="28"/>
        <v>-10.910354412786658</v>
      </c>
      <c r="E267" s="182">
        <v>224</v>
      </c>
      <c r="F267" s="183">
        <v>41</v>
      </c>
      <c r="G267" s="191">
        <f t="shared" si="29"/>
        <v>446.34146341463418</v>
      </c>
      <c r="H267" s="188">
        <f t="shared" si="30"/>
        <v>0.76518412242945966</v>
      </c>
      <c r="I267" s="188">
        <f t="shared" si="31"/>
        <v>0.11557109031457888</v>
      </c>
      <c r="J267" s="182">
        <v>1282</v>
      </c>
      <c r="K267" s="183">
        <v>1439</v>
      </c>
      <c r="L267" s="191">
        <f t="shared" si="32"/>
        <v>-10.910354412786658</v>
      </c>
      <c r="M267" s="188">
        <f t="shared" si="33"/>
        <v>0.44258022198056374</v>
      </c>
      <c r="N267" s="189">
        <f t="shared" si="34"/>
        <v>0.49950188658287253</v>
      </c>
    </row>
    <row r="268" spans="1:14" hidden="1" outlineLevel="1">
      <c r="A268" s="180"/>
      <c r="B268" s="190" t="s">
        <v>915</v>
      </c>
      <c r="C268" s="186">
        <f t="shared" si="28"/>
        <v>11.949685534591195</v>
      </c>
      <c r="E268" s="182">
        <v>170</v>
      </c>
      <c r="F268" s="183">
        <v>196</v>
      </c>
      <c r="G268" s="191">
        <f t="shared" si="29"/>
        <v>-13.26530612244898</v>
      </c>
      <c r="H268" s="188">
        <f t="shared" si="30"/>
        <v>0.58072009291521487</v>
      </c>
      <c r="I268" s="188">
        <f t="shared" si="31"/>
        <v>0.55248618784530379</v>
      </c>
      <c r="J268" s="182">
        <v>1246</v>
      </c>
      <c r="K268" s="183">
        <v>1113</v>
      </c>
      <c r="L268" s="191">
        <f t="shared" si="32"/>
        <v>11.949685534591195</v>
      </c>
      <c r="M268" s="188">
        <f t="shared" si="33"/>
        <v>0.43015207222135915</v>
      </c>
      <c r="N268" s="189">
        <f t="shared" si="34"/>
        <v>0.38634162596715577</v>
      </c>
    </row>
    <row r="269" spans="1:14" hidden="1" outlineLevel="1">
      <c r="A269" s="180"/>
      <c r="B269" s="190" t="s">
        <v>916</v>
      </c>
      <c r="C269" s="186">
        <f t="shared" si="28"/>
        <v>24.128686327077748</v>
      </c>
      <c r="E269" s="182">
        <v>68</v>
      </c>
      <c r="F269" s="183">
        <v>23</v>
      </c>
      <c r="G269" s="191">
        <f t="shared" si="29"/>
        <v>195.65217391304347</v>
      </c>
      <c r="H269" s="188">
        <f t="shared" si="30"/>
        <v>0.23228803716608595</v>
      </c>
      <c r="I269" s="188">
        <f t="shared" si="31"/>
        <v>6.4832562859397896E-2</v>
      </c>
      <c r="J269" s="182">
        <v>463</v>
      </c>
      <c r="K269" s="183">
        <v>373</v>
      </c>
      <c r="L269" s="191">
        <f t="shared" si="32"/>
        <v>24.128686327077748</v>
      </c>
      <c r="M269" s="188">
        <f t="shared" si="33"/>
        <v>0.15983981495865915</v>
      </c>
      <c r="N269" s="189">
        <f t="shared" si="34"/>
        <v>0.1294747767167557</v>
      </c>
    </row>
    <row r="270" spans="1:14" hidden="1" outlineLevel="1">
      <c r="A270" s="180"/>
      <c r="B270" s="190" t="s">
        <v>1289</v>
      </c>
      <c r="C270" s="186" t="str">
        <f t="shared" si="28"/>
        <v/>
      </c>
      <c r="E270" s="182">
        <v>0</v>
      </c>
      <c r="F270" s="183">
        <v>0</v>
      </c>
      <c r="G270" s="191" t="str">
        <f t="shared" si="29"/>
        <v/>
      </c>
      <c r="H270" s="188" t="str">
        <f t="shared" si="30"/>
        <v/>
      </c>
      <c r="I270" s="188" t="str">
        <f t="shared" si="31"/>
        <v/>
      </c>
      <c r="J270" s="182">
        <v>1</v>
      </c>
      <c r="K270" s="183">
        <v>0</v>
      </c>
      <c r="L270" s="191" t="str">
        <f t="shared" si="32"/>
        <v/>
      </c>
      <c r="M270" s="188">
        <f t="shared" si="33"/>
        <v>3.4522638220012774E-4</v>
      </c>
      <c r="N270" s="189" t="str">
        <f t="shared" si="34"/>
        <v/>
      </c>
    </row>
    <row r="271" spans="1:14" collapsed="1">
      <c r="A271" s="180" t="s">
        <v>1338</v>
      </c>
      <c r="B271" s="179" t="s">
        <v>285</v>
      </c>
      <c r="C271" s="186">
        <f t="shared" si="28"/>
        <v>10.378418883476957</v>
      </c>
      <c r="E271" s="182">
        <v>206</v>
      </c>
      <c r="F271" s="183">
        <v>368</v>
      </c>
      <c r="G271" s="191">
        <f t="shared" si="29"/>
        <v>-44.021739130434781</v>
      </c>
      <c r="H271" s="188">
        <f t="shared" si="30"/>
        <v>0.70369611259137799</v>
      </c>
      <c r="I271" s="188">
        <f t="shared" si="31"/>
        <v>1.0373210057503663</v>
      </c>
      <c r="J271" s="182">
        <v>2946</v>
      </c>
      <c r="K271" s="183">
        <v>2669</v>
      </c>
      <c r="L271" s="191">
        <f t="shared" si="32"/>
        <v>10.378418883476957</v>
      </c>
      <c r="M271" s="188">
        <f t="shared" si="33"/>
        <v>1.0170369219615762</v>
      </c>
      <c r="N271" s="189">
        <f t="shared" si="34"/>
        <v>0.92645624412069971</v>
      </c>
    </row>
    <row r="272" spans="1:14" hidden="1" outlineLevel="1">
      <c r="A272" s="180"/>
      <c r="B272" s="190" t="s">
        <v>918</v>
      </c>
      <c r="C272" s="186">
        <f t="shared" si="28"/>
        <v>21.913580246913579</v>
      </c>
      <c r="E272" s="182">
        <v>2</v>
      </c>
      <c r="F272" s="183">
        <v>113</v>
      </c>
      <c r="G272" s="191">
        <f t="shared" si="29"/>
        <v>-98.230088495575217</v>
      </c>
      <c r="H272" s="188">
        <f t="shared" si="30"/>
        <v>6.8320010931201755E-3</v>
      </c>
      <c r="I272" s="188">
        <f t="shared" si="31"/>
        <v>0.31852520013530272</v>
      </c>
      <c r="J272" s="182">
        <v>790</v>
      </c>
      <c r="K272" s="183">
        <v>648</v>
      </c>
      <c r="L272" s="191">
        <f t="shared" si="32"/>
        <v>21.913580246913579</v>
      </c>
      <c r="M272" s="188">
        <f t="shared" si="33"/>
        <v>0.27272884193810093</v>
      </c>
      <c r="N272" s="189">
        <f t="shared" si="34"/>
        <v>0.22493205177602599</v>
      </c>
    </row>
    <row r="273" spans="1:14" hidden="1" outlineLevel="1">
      <c r="A273" s="180"/>
      <c r="B273" s="190" t="s">
        <v>917</v>
      </c>
      <c r="C273" s="186">
        <f t="shared" si="28"/>
        <v>-18.226002430133658</v>
      </c>
      <c r="E273" s="182">
        <v>73</v>
      </c>
      <c r="F273" s="183">
        <v>142</v>
      </c>
      <c r="G273" s="191">
        <f t="shared" si="29"/>
        <v>-48.591549295774648</v>
      </c>
      <c r="H273" s="188">
        <f t="shared" si="30"/>
        <v>0.2493680398988864</v>
      </c>
      <c r="I273" s="188">
        <f t="shared" si="31"/>
        <v>0.40027060547976101</v>
      </c>
      <c r="J273" s="182">
        <v>673</v>
      </c>
      <c r="K273" s="183">
        <v>823</v>
      </c>
      <c r="L273" s="191">
        <f t="shared" si="32"/>
        <v>-18.226002430133658</v>
      </c>
      <c r="M273" s="188">
        <f t="shared" si="33"/>
        <v>0.23233735522068596</v>
      </c>
      <c r="N273" s="189">
        <f t="shared" si="34"/>
        <v>0.2856775904501071</v>
      </c>
    </row>
    <row r="274" spans="1:14" hidden="1" outlineLevel="1">
      <c r="A274" s="180"/>
      <c r="B274" s="190">
        <v>911</v>
      </c>
      <c r="C274" s="186">
        <f t="shared" si="28"/>
        <v>44.036697247706428</v>
      </c>
      <c r="E274" s="182">
        <v>45</v>
      </c>
      <c r="F274" s="183">
        <v>30</v>
      </c>
      <c r="G274" s="191">
        <f t="shared" si="29"/>
        <v>50</v>
      </c>
      <c r="H274" s="188">
        <f t="shared" si="30"/>
        <v>0.15372002459520395</v>
      </c>
      <c r="I274" s="188">
        <f t="shared" si="31"/>
        <v>8.4564212425301613E-2</v>
      </c>
      <c r="J274" s="182">
        <v>628</v>
      </c>
      <c r="K274" s="183">
        <v>436</v>
      </c>
      <c r="L274" s="191">
        <f t="shared" si="32"/>
        <v>44.036697247706428</v>
      </c>
      <c r="M274" s="188">
        <f t="shared" si="33"/>
        <v>0.21680216802168023</v>
      </c>
      <c r="N274" s="189">
        <f t="shared" si="34"/>
        <v>0.1513431706394249</v>
      </c>
    </row>
    <row r="275" spans="1:14" hidden="1" outlineLevel="1">
      <c r="A275" s="180"/>
      <c r="B275" s="190" t="s">
        <v>919</v>
      </c>
      <c r="C275" s="186">
        <f t="shared" si="28"/>
        <v>24.678663239074549</v>
      </c>
      <c r="E275" s="182">
        <v>47</v>
      </c>
      <c r="F275" s="183">
        <v>52</v>
      </c>
      <c r="G275" s="191">
        <f t="shared" si="29"/>
        <v>-9.6153846153846168</v>
      </c>
      <c r="H275" s="188">
        <f t="shared" si="30"/>
        <v>0.16055202568832411</v>
      </c>
      <c r="I275" s="188">
        <f t="shared" si="31"/>
        <v>0.14657796820385613</v>
      </c>
      <c r="J275" s="182">
        <v>485</v>
      </c>
      <c r="K275" s="183">
        <v>389</v>
      </c>
      <c r="L275" s="191">
        <f t="shared" si="32"/>
        <v>24.678663239074549</v>
      </c>
      <c r="M275" s="188">
        <f t="shared" si="33"/>
        <v>0.16743479536706196</v>
      </c>
      <c r="N275" s="189">
        <f t="shared" si="34"/>
        <v>0.13502865453838597</v>
      </c>
    </row>
    <row r="276" spans="1:14" hidden="1" outlineLevel="1">
      <c r="A276" s="180"/>
      <c r="B276" s="190" t="s">
        <v>920</v>
      </c>
      <c r="C276" s="186">
        <f t="shared" si="28"/>
        <v>4.4776119402985071</v>
      </c>
      <c r="E276" s="182">
        <v>23</v>
      </c>
      <c r="F276" s="183">
        <v>18</v>
      </c>
      <c r="G276" s="191">
        <f t="shared" si="29"/>
        <v>27.777777777777779</v>
      </c>
      <c r="H276" s="188">
        <f t="shared" si="30"/>
        <v>7.8568012570882001E-2</v>
      </c>
      <c r="I276" s="188">
        <f t="shared" si="31"/>
        <v>5.0738527455180961E-2</v>
      </c>
      <c r="J276" s="182">
        <v>210</v>
      </c>
      <c r="K276" s="183">
        <v>201</v>
      </c>
      <c r="L276" s="191">
        <f t="shared" si="32"/>
        <v>4.4776119402985071</v>
      </c>
      <c r="M276" s="188">
        <f t="shared" si="33"/>
        <v>7.249754026202683E-2</v>
      </c>
      <c r="N276" s="189">
        <f t="shared" si="34"/>
        <v>6.9770590134230287E-2</v>
      </c>
    </row>
    <row r="277" spans="1:14" hidden="1" outlineLevel="1">
      <c r="A277" s="180"/>
      <c r="B277" s="190">
        <v>718</v>
      </c>
      <c r="C277" s="186">
        <f t="shared" si="28"/>
        <v>-6.9767441860465116</v>
      </c>
      <c r="E277" s="182">
        <v>16</v>
      </c>
      <c r="F277" s="183">
        <v>13</v>
      </c>
      <c r="G277" s="191">
        <f t="shared" si="29"/>
        <v>23.076923076923077</v>
      </c>
      <c r="H277" s="188">
        <f t="shared" si="30"/>
        <v>5.4656008744961404E-2</v>
      </c>
      <c r="I277" s="188">
        <f t="shared" si="31"/>
        <v>3.6644492050964032E-2</v>
      </c>
      <c r="J277" s="182">
        <v>160</v>
      </c>
      <c r="K277" s="183">
        <v>172</v>
      </c>
      <c r="L277" s="191">
        <f t="shared" si="32"/>
        <v>-6.9767441860465116</v>
      </c>
      <c r="M277" s="188">
        <f t="shared" si="33"/>
        <v>5.523622115202044E-2</v>
      </c>
      <c r="N277" s="189">
        <f t="shared" si="34"/>
        <v>5.9704186582525416E-2</v>
      </c>
    </row>
    <row r="278" spans="1:14" collapsed="1">
      <c r="A278" s="180" t="s">
        <v>1339</v>
      </c>
      <c r="B278" s="179" t="s">
        <v>289</v>
      </c>
      <c r="C278" s="186">
        <f t="shared" si="28"/>
        <v>40.346653827636011</v>
      </c>
      <c r="E278" s="182">
        <v>247</v>
      </c>
      <c r="F278" s="183">
        <v>127</v>
      </c>
      <c r="G278" s="191">
        <f t="shared" si="29"/>
        <v>94.488188976377955</v>
      </c>
      <c r="H278" s="188">
        <f t="shared" si="30"/>
        <v>0.84375213500034163</v>
      </c>
      <c r="I278" s="188">
        <f t="shared" si="31"/>
        <v>0.35798849926711018</v>
      </c>
      <c r="J278" s="182">
        <v>2915</v>
      </c>
      <c r="K278" s="183">
        <v>2077</v>
      </c>
      <c r="L278" s="191">
        <f t="shared" si="32"/>
        <v>40.346653827636011</v>
      </c>
      <c r="M278" s="188">
        <f t="shared" si="33"/>
        <v>1.0063349041133725</v>
      </c>
      <c r="N278" s="189">
        <f t="shared" si="34"/>
        <v>0.72096276472037968</v>
      </c>
    </row>
    <row r="279" spans="1:14" hidden="1" outlineLevel="1">
      <c r="A279" s="180"/>
      <c r="B279" s="190" t="s">
        <v>926</v>
      </c>
      <c r="C279" s="186">
        <f t="shared" si="28"/>
        <v>37.774902975420439</v>
      </c>
      <c r="E279" s="182">
        <v>199</v>
      </c>
      <c r="F279" s="183">
        <v>84</v>
      </c>
      <c r="G279" s="191">
        <f t="shared" si="29"/>
        <v>136.9047619047619</v>
      </c>
      <c r="H279" s="188">
        <f t="shared" si="30"/>
        <v>0.67978410876545747</v>
      </c>
      <c r="I279" s="188">
        <f t="shared" si="31"/>
        <v>0.23677979479084454</v>
      </c>
      <c r="J279" s="182">
        <v>2130</v>
      </c>
      <c r="K279" s="183">
        <v>1546</v>
      </c>
      <c r="L279" s="191">
        <f t="shared" si="32"/>
        <v>37.774902975420439</v>
      </c>
      <c r="M279" s="188">
        <f t="shared" si="33"/>
        <v>0.73533219408627204</v>
      </c>
      <c r="N279" s="189">
        <f t="shared" si="34"/>
        <v>0.53664344451502499</v>
      </c>
    </row>
    <row r="280" spans="1:14" hidden="1" outlineLevel="1">
      <c r="A280" s="180"/>
      <c r="B280" s="190" t="s">
        <v>928</v>
      </c>
      <c r="C280" s="186">
        <f t="shared" si="28"/>
        <v>72.058823529411768</v>
      </c>
      <c r="E280" s="182">
        <v>25</v>
      </c>
      <c r="F280" s="183">
        <v>12</v>
      </c>
      <c r="G280" s="191">
        <f t="shared" si="29"/>
        <v>108.33333333333333</v>
      </c>
      <c r="H280" s="188">
        <f t="shared" si="30"/>
        <v>8.5400013664002183E-2</v>
      </c>
      <c r="I280" s="188">
        <f t="shared" si="31"/>
        <v>3.3825684970120645E-2</v>
      </c>
      <c r="J280" s="182">
        <v>351</v>
      </c>
      <c r="K280" s="183">
        <v>204</v>
      </c>
      <c r="L280" s="191">
        <f t="shared" si="32"/>
        <v>72.058823529411768</v>
      </c>
      <c r="M280" s="188">
        <f t="shared" si="33"/>
        <v>0.12117446015224484</v>
      </c>
      <c r="N280" s="189">
        <f t="shared" si="34"/>
        <v>7.0811942225785962E-2</v>
      </c>
    </row>
    <row r="281" spans="1:14" hidden="1" outlineLevel="1">
      <c r="A281" s="180"/>
      <c r="B281" s="190" t="s">
        <v>927</v>
      </c>
      <c r="C281" s="186">
        <f t="shared" si="28"/>
        <v>23.144104803493452</v>
      </c>
      <c r="E281" s="182">
        <v>20</v>
      </c>
      <c r="F281" s="183">
        <v>17</v>
      </c>
      <c r="G281" s="191">
        <f t="shared" si="29"/>
        <v>17.647058823529413</v>
      </c>
      <c r="H281" s="188">
        <f t="shared" si="30"/>
        <v>6.8320010931201741E-2</v>
      </c>
      <c r="I281" s="188">
        <f t="shared" si="31"/>
        <v>4.7919720374337581E-2</v>
      </c>
      <c r="J281" s="182">
        <v>282</v>
      </c>
      <c r="K281" s="183">
        <v>229</v>
      </c>
      <c r="L281" s="191">
        <f t="shared" si="32"/>
        <v>23.144104803493452</v>
      </c>
      <c r="M281" s="188">
        <f t="shared" si="33"/>
        <v>9.7353839780436019E-2</v>
      </c>
      <c r="N281" s="189">
        <f t="shared" si="34"/>
        <v>7.9489876322083264E-2</v>
      </c>
    </row>
    <row r="282" spans="1:14" hidden="1" outlineLevel="1">
      <c r="A282" s="180"/>
      <c r="B282" s="190" t="s">
        <v>929</v>
      </c>
      <c r="C282" s="186">
        <f t="shared" si="28"/>
        <v>53.061224489795919</v>
      </c>
      <c r="E282" s="182">
        <v>3</v>
      </c>
      <c r="F282" s="183">
        <v>14</v>
      </c>
      <c r="G282" s="191">
        <f t="shared" si="29"/>
        <v>-78.571428571428569</v>
      </c>
      <c r="H282" s="188">
        <f t="shared" si="30"/>
        <v>1.0248001639680263E-2</v>
      </c>
      <c r="I282" s="188">
        <f t="shared" si="31"/>
        <v>3.9463299131807419E-2</v>
      </c>
      <c r="J282" s="182">
        <v>150</v>
      </c>
      <c r="K282" s="183">
        <v>98</v>
      </c>
      <c r="L282" s="191">
        <f t="shared" si="32"/>
        <v>53.061224489795919</v>
      </c>
      <c r="M282" s="188">
        <f t="shared" si="33"/>
        <v>5.1783957330019156E-2</v>
      </c>
      <c r="N282" s="189">
        <f t="shared" si="34"/>
        <v>3.4017501657485412E-2</v>
      </c>
    </row>
    <row r="283" spans="1:14" hidden="1" outlineLevel="1">
      <c r="A283" s="180"/>
      <c r="B283" s="190" t="s">
        <v>1288</v>
      </c>
      <c r="C283" s="186" t="str">
        <f t="shared" si="28"/>
        <v/>
      </c>
      <c r="E283" s="182">
        <v>0</v>
      </c>
      <c r="F283" s="183">
        <v>0</v>
      </c>
      <c r="G283" s="191" t="str">
        <f t="shared" si="29"/>
        <v/>
      </c>
      <c r="H283" s="188" t="str">
        <f t="shared" si="30"/>
        <v/>
      </c>
      <c r="I283" s="188" t="str">
        <f t="shared" si="31"/>
        <v/>
      </c>
      <c r="J283" s="182">
        <v>2</v>
      </c>
      <c r="K283" s="183">
        <v>0</v>
      </c>
      <c r="L283" s="191" t="str">
        <f t="shared" si="32"/>
        <v/>
      </c>
      <c r="M283" s="188">
        <f t="shared" si="33"/>
        <v>6.9045276440025548E-4</v>
      </c>
      <c r="N283" s="189" t="str">
        <f t="shared" si="34"/>
        <v/>
      </c>
    </row>
    <row r="284" spans="1:14" collapsed="1">
      <c r="A284" s="180" t="s">
        <v>1340</v>
      </c>
      <c r="B284" s="179" t="s">
        <v>283</v>
      </c>
      <c r="C284" s="186">
        <f t="shared" si="28"/>
        <v>3.7701317715959006</v>
      </c>
      <c r="E284" s="182">
        <v>279</v>
      </c>
      <c r="F284" s="183">
        <v>154</v>
      </c>
      <c r="G284" s="191">
        <f t="shared" si="29"/>
        <v>81.168831168831161</v>
      </c>
      <c r="H284" s="188">
        <f t="shared" si="30"/>
        <v>0.95306415249026433</v>
      </c>
      <c r="I284" s="188">
        <f t="shared" si="31"/>
        <v>0.43409629044988163</v>
      </c>
      <c r="J284" s="182">
        <v>2835</v>
      </c>
      <c r="K284" s="183">
        <v>2732</v>
      </c>
      <c r="L284" s="191">
        <f t="shared" si="32"/>
        <v>3.7701317715959006</v>
      </c>
      <c r="M284" s="188">
        <f t="shared" si="33"/>
        <v>0.97871679353736218</v>
      </c>
      <c r="N284" s="189">
        <f t="shared" si="34"/>
        <v>0.94832463804336886</v>
      </c>
    </row>
    <row r="285" spans="1:14" hidden="1" outlineLevel="1">
      <c r="A285" s="180"/>
      <c r="B285" s="190" t="s">
        <v>903</v>
      </c>
      <c r="C285" s="186">
        <f t="shared" si="28"/>
        <v>13.153724247226625</v>
      </c>
      <c r="E285" s="182">
        <v>187</v>
      </c>
      <c r="F285" s="183">
        <v>44</v>
      </c>
      <c r="G285" s="191">
        <f t="shared" si="29"/>
        <v>325</v>
      </c>
      <c r="H285" s="188">
        <f t="shared" si="30"/>
        <v>0.63879210220673643</v>
      </c>
      <c r="I285" s="188">
        <f t="shared" si="31"/>
        <v>0.12402751155710903</v>
      </c>
      <c r="J285" s="182">
        <v>1428</v>
      </c>
      <c r="K285" s="183">
        <v>1262</v>
      </c>
      <c r="L285" s="191">
        <f t="shared" si="32"/>
        <v>13.153724247226625</v>
      </c>
      <c r="M285" s="188">
        <f t="shared" si="33"/>
        <v>0.49298327378178236</v>
      </c>
      <c r="N285" s="189">
        <f t="shared" si="34"/>
        <v>0.43806211318108768</v>
      </c>
    </row>
    <row r="286" spans="1:14" hidden="1" outlineLevel="1">
      <c r="A286" s="180"/>
      <c r="B286" s="190" t="s">
        <v>904</v>
      </c>
      <c r="C286" s="186">
        <f t="shared" si="28"/>
        <v>-20.821114369501466</v>
      </c>
      <c r="E286" s="182">
        <v>3</v>
      </c>
      <c r="F286" s="183">
        <v>15</v>
      </c>
      <c r="G286" s="191">
        <f t="shared" si="29"/>
        <v>-80</v>
      </c>
      <c r="H286" s="188">
        <f t="shared" si="30"/>
        <v>1.0248001639680263E-2</v>
      </c>
      <c r="I286" s="188">
        <f t="shared" si="31"/>
        <v>4.2282106212650807E-2</v>
      </c>
      <c r="J286" s="182">
        <v>540</v>
      </c>
      <c r="K286" s="183">
        <v>682</v>
      </c>
      <c r="L286" s="191">
        <f t="shared" si="32"/>
        <v>-20.821114369501466</v>
      </c>
      <c r="M286" s="188">
        <f t="shared" si="33"/>
        <v>0.18642224638806898</v>
      </c>
      <c r="N286" s="189">
        <f t="shared" si="34"/>
        <v>0.23673404214699031</v>
      </c>
    </row>
    <row r="287" spans="1:14" hidden="1" outlineLevel="1">
      <c r="A287" s="180"/>
      <c r="B287" s="190" t="s">
        <v>905</v>
      </c>
      <c r="C287" s="186">
        <f t="shared" si="28"/>
        <v>27.093596059113302</v>
      </c>
      <c r="E287" s="182">
        <v>71</v>
      </c>
      <c r="F287" s="183">
        <v>80</v>
      </c>
      <c r="G287" s="191">
        <f t="shared" si="29"/>
        <v>-11.25</v>
      </c>
      <c r="H287" s="188">
        <f t="shared" si="30"/>
        <v>0.24253603880576621</v>
      </c>
      <c r="I287" s="188">
        <f t="shared" si="31"/>
        <v>0.22550456646747097</v>
      </c>
      <c r="J287" s="182">
        <v>516</v>
      </c>
      <c r="K287" s="183">
        <v>406</v>
      </c>
      <c r="L287" s="191">
        <f t="shared" si="32"/>
        <v>27.093596059113302</v>
      </c>
      <c r="M287" s="188">
        <f t="shared" si="33"/>
        <v>0.17813681321526589</v>
      </c>
      <c r="N287" s="189">
        <f t="shared" si="34"/>
        <v>0.14092964972386815</v>
      </c>
    </row>
    <row r="288" spans="1:14" hidden="1" outlineLevel="1">
      <c r="A288" s="180"/>
      <c r="B288" s="190" t="s">
        <v>907</v>
      </c>
      <c r="C288" s="186">
        <f t="shared" si="28"/>
        <v>9.6654275092936803</v>
      </c>
      <c r="E288" s="182">
        <v>13</v>
      </c>
      <c r="F288" s="183">
        <v>10</v>
      </c>
      <c r="G288" s="191">
        <f t="shared" si="29"/>
        <v>30</v>
      </c>
      <c r="H288" s="188">
        <f t="shared" si="30"/>
        <v>4.4408007105281137E-2</v>
      </c>
      <c r="I288" s="188">
        <f t="shared" si="31"/>
        <v>2.8188070808433871E-2</v>
      </c>
      <c r="J288" s="182">
        <v>295</v>
      </c>
      <c r="K288" s="183">
        <v>269</v>
      </c>
      <c r="L288" s="191">
        <f t="shared" si="32"/>
        <v>9.6654275092936803</v>
      </c>
      <c r="M288" s="188">
        <f t="shared" si="33"/>
        <v>0.10184178274903767</v>
      </c>
      <c r="N288" s="189">
        <f t="shared" si="34"/>
        <v>9.3374570876158941E-2</v>
      </c>
    </row>
    <row r="289" spans="1:14" hidden="1" outlineLevel="1">
      <c r="A289" s="180"/>
      <c r="B289" s="190" t="s">
        <v>909</v>
      </c>
      <c r="C289" s="186">
        <f t="shared" si="28"/>
        <v>56.000000000000007</v>
      </c>
      <c r="E289" s="182">
        <v>4</v>
      </c>
      <c r="F289" s="183">
        <v>3</v>
      </c>
      <c r="G289" s="191">
        <f t="shared" si="29"/>
        <v>33.333333333333329</v>
      </c>
      <c r="H289" s="188">
        <f t="shared" si="30"/>
        <v>1.3664002186240351E-2</v>
      </c>
      <c r="I289" s="188">
        <f t="shared" si="31"/>
        <v>8.4564212425301613E-3</v>
      </c>
      <c r="J289" s="182">
        <v>39</v>
      </c>
      <c r="K289" s="183">
        <v>25</v>
      </c>
      <c r="L289" s="191">
        <f t="shared" si="32"/>
        <v>56.000000000000007</v>
      </c>
      <c r="M289" s="188">
        <f t="shared" si="33"/>
        <v>1.3463828905804982E-2</v>
      </c>
      <c r="N289" s="189">
        <f t="shared" si="34"/>
        <v>8.6779340962972983E-3</v>
      </c>
    </row>
    <row r="290" spans="1:14" hidden="1" outlineLevel="1">
      <c r="A290" s="180"/>
      <c r="B290" s="190" t="s">
        <v>910</v>
      </c>
      <c r="C290" s="186">
        <f t="shared" si="28"/>
        <v>-5.5555555555555554</v>
      </c>
      <c r="E290" s="182">
        <v>1</v>
      </c>
      <c r="F290" s="183">
        <v>2</v>
      </c>
      <c r="G290" s="191">
        <f t="shared" si="29"/>
        <v>-50</v>
      </c>
      <c r="H290" s="188">
        <f t="shared" si="30"/>
        <v>3.4160005465600878E-3</v>
      </c>
      <c r="I290" s="188">
        <f t="shared" si="31"/>
        <v>5.6376141616867742E-3</v>
      </c>
      <c r="J290" s="182">
        <v>17</v>
      </c>
      <c r="K290" s="183">
        <v>18</v>
      </c>
      <c r="L290" s="191">
        <f t="shared" si="32"/>
        <v>-5.5555555555555554</v>
      </c>
      <c r="M290" s="188">
        <f t="shared" si="33"/>
        <v>5.8688484974021718E-3</v>
      </c>
      <c r="N290" s="189">
        <f t="shared" si="34"/>
        <v>6.2481125493340558E-3</v>
      </c>
    </row>
    <row r="291" spans="1:14" hidden="1" outlineLevel="1">
      <c r="A291" s="180"/>
      <c r="B291" s="190" t="s">
        <v>906</v>
      </c>
      <c r="C291" s="186">
        <f t="shared" si="28"/>
        <v>-100</v>
      </c>
      <c r="E291" s="182">
        <v>0</v>
      </c>
      <c r="F291" s="183">
        <v>0</v>
      </c>
      <c r="G291" s="191" t="str">
        <f t="shared" si="29"/>
        <v/>
      </c>
      <c r="H291" s="188" t="str">
        <f t="shared" si="30"/>
        <v/>
      </c>
      <c r="I291" s="188" t="str">
        <f t="shared" si="31"/>
        <v/>
      </c>
      <c r="J291" s="182">
        <v>0</v>
      </c>
      <c r="K291" s="183">
        <v>50</v>
      </c>
      <c r="L291" s="191">
        <f t="shared" si="32"/>
        <v>-100</v>
      </c>
      <c r="M291" s="188" t="str">
        <f t="shared" si="33"/>
        <v/>
      </c>
      <c r="N291" s="189">
        <f t="shared" si="34"/>
        <v>1.7355868192594597E-2</v>
      </c>
    </row>
    <row r="292" spans="1:14" hidden="1" outlineLevel="1">
      <c r="A292" s="180"/>
      <c r="B292" s="190" t="s">
        <v>908</v>
      </c>
      <c r="C292" s="186">
        <f t="shared" si="28"/>
        <v>-100</v>
      </c>
      <c r="E292" s="182">
        <v>0</v>
      </c>
      <c r="F292" s="183">
        <v>0</v>
      </c>
      <c r="G292" s="191" t="str">
        <f t="shared" si="29"/>
        <v/>
      </c>
      <c r="H292" s="188" t="str">
        <f t="shared" si="30"/>
        <v/>
      </c>
      <c r="I292" s="188" t="str">
        <f t="shared" si="31"/>
        <v/>
      </c>
      <c r="J292" s="182">
        <v>0</v>
      </c>
      <c r="K292" s="183">
        <v>19</v>
      </c>
      <c r="L292" s="191">
        <f t="shared" si="32"/>
        <v>-100</v>
      </c>
      <c r="M292" s="188" t="str">
        <f t="shared" si="33"/>
        <v/>
      </c>
      <c r="N292" s="189">
        <f t="shared" si="34"/>
        <v>6.5952299131859472E-3</v>
      </c>
    </row>
    <row r="293" spans="1:14" hidden="1" outlineLevel="1">
      <c r="A293" s="180"/>
      <c r="B293" s="190" t="s">
        <v>1189</v>
      </c>
      <c r="C293" s="186">
        <f t="shared" si="28"/>
        <v>-100</v>
      </c>
      <c r="E293" s="182">
        <v>0</v>
      </c>
      <c r="F293" s="183">
        <v>0</v>
      </c>
      <c r="G293" s="191" t="str">
        <f t="shared" si="29"/>
        <v/>
      </c>
      <c r="H293" s="188" t="str">
        <f t="shared" si="30"/>
        <v/>
      </c>
      <c r="I293" s="188" t="str">
        <f t="shared" si="31"/>
        <v/>
      </c>
      <c r="J293" s="182">
        <v>0</v>
      </c>
      <c r="K293" s="183">
        <v>1</v>
      </c>
      <c r="L293" s="191">
        <f t="shared" si="32"/>
        <v>-100</v>
      </c>
      <c r="M293" s="188" t="str">
        <f t="shared" si="33"/>
        <v/>
      </c>
      <c r="N293" s="189">
        <f t="shared" si="34"/>
        <v>3.4711736385189195E-4</v>
      </c>
    </row>
    <row r="294" spans="1:14" collapsed="1">
      <c r="A294" s="180" t="s">
        <v>1341</v>
      </c>
      <c r="B294" s="179" t="s">
        <v>275</v>
      </c>
      <c r="C294" s="186">
        <f t="shared" si="28"/>
        <v>111.58238172920065</v>
      </c>
      <c r="E294" s="182">
        <v>285</v>
      </c>
      <c r="F294" s="183">
        <v>178</v>
      </c>
      <c r="G294" s="191">
        <f t="shared" si="29"/>
        <v>60.112359550561798</v>
      </c>
      <c r="H294" s="188">
        <f t="shared" si="30"/>
        <v>0.97356015576962485</v>
      </c>
      <c r="I294" s="188">
        <f t="shared" si="31"/>
        <v>0.50174766039012297</v>
      </c>
      <c r="J294" s="182">
        <v>2594</v>
      </c>
      <c r="K294" s="183">
        <v>1226</v>
      </c>
      <c r="L294" s="191">
        <f t="shared" si="32"/>
        <v>111.58238172920065</v>
      </c>
      <c r="M294" s="188">
        <f t="shared" si="33"/>
        <v>0.89551723542713124</v>
      </c>
      <c r="N294" s="189">
        <f t="shared" si="34"/>
        <v>0.42556588808241957</v>
      </c>
    </row>
    <row r="295" spans="1:14" hidden="1" outlineLevel="1">
      <c r="A295" s="180"/>
      <c r="B295" s="190" t="s">
        <v>948</v>
      </c>
      <c r="C295" s="186">
        <f t="shared" si="28"/>
        <v>121.64781906300483</v>
      </c>
      <c r="E295" s="182">
        <v>186</v>
      </c>
      <c r="F295" s="183">
        <v>105</v>
      </c>
      <c r="G295" s="191">
        <f t="shared" si="29"/>
        <v>77.142857142857153</v>
      </c>
      <c r="H295" s="188">
        <f t="shared" si="30"/>
        <v>0.63537610166017633</v>
      </c>
      <c r="I295" s="188">
        <f t="shared" si="31"/>
        <v>0.29597474348855562</v>
      </c>
      <c r="J295" s="182">
        <v>1372</v>
      </c>
      <c r="K295" s="183">
        <v>619</v>
      </c>
      <c r="L295" s="191">
        <f t="shared" si="32"/>
        <v>121.64781906300483</v>
      </c>
      <c r="M295" s="188">
        <f t="shared" si="33"/>
        <v>0.47365059637857526</v>
      </c>
      <c r="N295" s="189">
        <f t="shared" si="34"/>
        <v>0.21486564822432111</v>
      </c>
    </row>
    <row r="296" spans="1:14" hidden="1" outlineLevel="1">
      <c r="A296" s="180"/>
      <c r="B296" s="190" t="s">
        <v>1191</v>
      </c>
      <c r="C296" s="186">
        <f t="shared" si="28"/>
        <v>233.33333333333334</v>
      </c>
      <c r="E296" s="182">
        <v>44</v>
      </c>
      <c r="F296" s="183">
        <v>24</v>
      </c>
      <c r="G296" s="191">
        <f t="shared" si="29"/>
        <v>83.333333333333343</v>
      </c>
      <c r="H296" s="188">
        <f t="shared" si="30"/>
        <v>0.15030402404864385</v>
      </c>
      <c r="I296" s="188">
        <f t="shared" si="31"/>
        <v>6.765136994024129E-2</v>
      </c>
      <c r="J296" s="182">
        <v>490</v>
      </c>
      <c r="K296" s="183">
        <v>147</v>
      </c>
      <c r="L296" s="191">
        <f t="shared" si="32"/>
        <v>233.33333333333334</v>
      </c>
      <c r="M296" s="188">
        <f t="shared" si="33"/>
        <v>0.16916092727806259</v>
      </c>
      <c r="N296" s="189">
        <f t="shared" si="34"/>
        <v>5.1026252486228114E-2</v>
      </c>
    </row>
    <row r="297" spans="1:14" hidden="1" outlineLevel="1">
      <c r="A297" s="180"/>
      <c r="B297" s="190" t="s">
        <v>1027</v>
      </c>
      <c r="C297" s="186">
        <f t="shared" si="28"/>
        <v>28.174603174603174</v>
      </c>
      <c r="E297" s="182">
        <v>29</v>
      </c>
      <c r="F297" s="183">
        <v>21</v>
      </c>
      <c r="G297" s="191">
        <f t="shared" si="29"/>
        <v>38.095238095238095</v>
      </c>
      <c r="H297" s="188">
        <f t="shared" si="30"/>
        <v>9.9064015850242521E-2</v>
      </c>
      <c r="I297" s="188">
        <f t="shared" si="31"/>
        <v>5.9194948697711136E-2</v>
      </c>
      <c r="J297" s="182">
        <v>323</v>
      </c>
      <c r="K297" s="183">
        <v>252</v>
      </c>
      <c r="L297" s="191">
        <f t="shared" si="32"/>
        <v>28.174603174603174</v>
      </c>
      <c r="M297" s="188">
        <f t="shared" si="33"/>
        <v>0.11150812145064126</v>
      </c>
      <c r="N297" s="189">
        <f t="shared" si="34"/>
        <v>8.7473575690676764E-2</v>
      </c>
    </row>
    <row r="298" spans="1:14" hidden="1" outlineLevel="1">
      <c r="A298" s="180"/>
      <c r="B298" s="190" t="s">
        <v>950</v>
      </c>
      <c r="C298" s="186">
        <f t="shared" si="28"/>
        <v>129.28571428571431</v>
      </c>
      <c r="E298" s="182">
        <v>21</v>
      </c>
      <c r="F298" s="183">
        <v>26</v>
      </c>
      <c r="G298" s="191">
        <f t="shared" si="29"/>
        <v>-19.230769230769234</v>
      </c>
      <c r="H298" s="188">
        <f t="shared" si="30"/>
        <v>7.1736011477761846E-2</v>
      </c>
      <c r="I298" s="188">
        <f t="shared" si="31"/>
        <v>7.3288984101928065E-2</v>
      </c>
      <c r="J298" s="182">
        <v>321</v>
      </c>
      <c r="K298" s="183">
        <v>140</v>
      </c>
      <c r="L298" s="191">
        <f t="shared" si="32"/>
        <v>129.28571428571431</v>
      </c>
      <c r="M298" s="188">
        <f t="shared" si="33"/>
        <v>0.110817668686241</v>
      </c>
      <c r="N298" s="189">
        <f t="shared" si="34"/>
        <v>4.859643093926487E-2</v>
      </c>
    </row>
    <row r="299" spans="1:14" hidden="1" outlineLevel="1">
      <c r="A299" s="180"/>
      <c r="B299" s="190" t="s">
        <v>1164</v>
      </c>
      <c r="C299" s="186" t="str">
        <f t="shared" si="28"/>
        <v/>
      </c>
      <c r="E299" s="182">
        <v>4</v>
      </c>
      <c r="F299" s="183">
        <v>0</v>
      </c>
      <c r="G299" s="191" t="str">
        <f t="shared" si="29"/>
        <v/>
      </c>
      <c r="H299" s="188">
        <f t="shared" si="30"/>
        <v>1.3664002186240351E-2</v>
      </c>
      <c r="I299" s="188" t="str">
        <f t="shared" si="31"/>
        <v/>
      </c>
      <c r="J299" s="182">
        <v>76</v>
      </c>
      <c r="K299" s="183">
        <v>0</v>
      </c>
      <c r="L299" s="191" t="str">
        <f t="shared" si="32"/>
        <v/>
      </c>
      <c r="M299" s="188">
        <f t="shared" si="33"/>
        <v>2.6237205047209708E-2</v>
      </c>
      <c r="N299" s="189" t="str">
        <f t="shared" si="34"/>
        <v/>
      </c>
    </row>
    <row r="300" spans="1:14" hidden="1" outlineLevel="1">
      <c r="A300" s="180"/>
      <c r="B300" s="190" t="s">
        <v>1192</v>
      </c>
      <c r="C300" s="186">
        <f t="shared" si="28"/>
        <v>250</v>
      </c>
      <c r="E300" s="182">
        <v>0</v>
      </c>
      <c r="F300" s="183">
        <v>0</v>
      </c>
      <c r="G300" s="191" t="str">
        <f t="shared" si="29"/>
        <v/>
      </c>
      <c r="H300" s="188" t="str">
        <f t="shared" si="30"/>
        <v/>
      </c>
      <c r="I300" s="188" t="str">
        <f t="shared" si="31"/>
        <v/>
      </c>
      <c r="J300" s="182">
        <v>7</v>
      </c>
      <c r="K300" s="183">
        <v>2</v>
      </c>
      <c r="L300" s="191">
        <f t="shared" si="32"/>
        <v>250</v>
      </c>
      <c r="M300" s="188">
        <f t="shared" si="33"/>
        <v>2.4165846754008939E-3</v>
      </c>
      <c r="N300" s="189">
        <f t="shared" si="34"/>
        <v>6.942347277037839E-4</v>
      </c>
    </row>
    <row r="301" spans="1:14" hidden="1" outlineLevel="1">
      <c r="A301" s="180"/>
      <c r="B301" s="190" t="s">
        <v>1290</v>
      </c>
      <c r="C301" s="186" t="str">
        <f t="shared" si="28"/>
        <v/>
      </c>
      <c r="E301" s="182">
        <v>1</v>
      </c>
      <c r="F301" s="183">
        <v>0</v>
      </c>
      <c r="G301" s="191" t="str">
        <f t="shared" si="29"/>
        <v/>
      </c>
      <c r="H301" s="188">
        <f t="shared" si="30"/>
        <v>3.4160005465600878E-3</v>
      </c>
      <c r="I301" s="188" t="str">
        <f t="shared" si="31"/>
        <v/>
      </c>
      <c r="J301" s="182">
        <v>2</v>
      </c>
      <c r="K301" s="183">
        <v>0</v>
      </c>
      <c r="L301" s="191" t="str">
        <f t="shared" si="32"/>
        <v/>
      </c>
      <c r="M301" s="188">
        <f t="shared" si="33"/>
        <v>6.9045276440025548E-4</v>
      </c>
      <c r="N301" s="189" t="str">
        <f t="shared" si="34"/>
        <v/>
      </c>
    </row>
    <row r="302" spans="1:14" hidden="1" outlineLevel="1">
      <c r="A302" s="180"/>
      <c r="B302" s="190" t="s">
        <v>1193</v>
      </c>
      <c r="C302" s="186" t="str">
        <f t="shared" si="28"/>
        <v/>
      </c>
      <c r="E302" s="182">
        <v>0</v>
      </c>
      <c r="F302" s="183">
        <v>0</v>
      </c>
      <c r="G302" s="191" t="str">
        <f t="shared" si="29"/>
        <v/>
      </c>
      <c r="H302" s="188" t="str">
        <f t="shared" si="30"/>
        <v/>
      </c>
      <c r="I302" s="188" t="str">
        <f t="shared" si="31"/>
        <v/>
      </c>
      <c r="J302" s="182">
        <v>2</v>
      </c>
      <c r="K302" s="183">
        <v>0</v>
      </c>
      <c r="L302" s="191" t="str">
        <f t="shared" si="32"/>
        <v/>
      </c>
      <c r="M302" s="188">
        <f t="shared" si="33"/>
        <v>6.9045276440025548E-4</v>
      </c>
      <c r="N302" s="189" t="str">
        <f t="shared" si="34"/>
        <v/>
      </c>
    </row>
    <row r="303" spans="1:14" hidden="1" outlineLevel="1">
      <c r="A303" s="180"/>
      <c r="B303" s="190" t="s">
        <v>1194</v>
      </c>
      <c r="C303" s="186">
        <f t="shared" si="28"/>
        <v>-50</v>
      </c>
      <c r="E303" s="182">
        <v>0</v>
      </c>
      <c r="F303" s="183">
        <v>0</v>
      </c>
      <c r="G303" s="191" t="str">
        <f t="shared" si="29"/>
        <v/>
      </c>
      <c r="H303" s="188" t="str">
        <f t="shared" si="30"/>
        <v/>
      </c>
      <c r="I303" s="188" t="str">
        <f t="shared" si="31"/>
        <v/>
      </c>
      <c r="J303" s="182">
        <v>1</v>
      </c>
      <c r="K303" s="183">
        <v>2</v>
      </c>
      <c r="L303" s="191">
        <f t="shared" si="32"/>
        <v>-50</v>
      </c>
      <c r="M303" s="188">
        <f t="shared" si="33"/>
        <v>3.4522638220012774E-4</v>
      </c>
      <c r="N303" s="189">
        <f t="shared" si="34"/>
        <v>6.942347277037839E-4</v>
      </c>
    </row>
    <row r="304" spans="1:14" hidden="1" outlineLevel="1">
      <c r="A304" s="180"/>
      <c r="B304" s="190" t="s">
        <v>949</v>
      </c>
      <c r="C304" s="186">
        <f t="shared" si="28"/>
        <v>-100</v>
      </c>
      <c r="E304" s="182">
        <v>0</v>
      </c>
      <c r="F304" s="183">
        <v>0</v>
      </c>
      <c r="G304" s="191" t="str">
        <f t="shared" si="29"/>
        <v/>
      </c>
      <c r="H304" s="188" t="str">
        <f t="shared" si="30"/>
        <v/>
      </c>
      <c r="I304" s="188" t="str">
        <f t="shared" si="31"/>
        <v/>
      </c>
      <c r="J304" s="182">
        <v>0</v>
      </c>
      <c r="K304" s="183">
        <v>62</v>
      </c>
      <c r="L304" s="191">
        <f t="shared" si="32"/>
        <v>-100</v>
      </c>
      <c r="M304" s="188" t="str">
        <f t="shared" si="33"/>
        <v/>
      </c>
      <c r="N304" s="189">
        <f t="shared" si="34"/>
        <v>2.15212765588173E-2</v>
      </c>
    </row>
    <row r="305" spans="1:14" hidden="1" outlineLevel="1">
      <c r="A305" s="180"/>
      <c r="B305" s="190" t="s">
        <v>1342</v>
      </c>
      <c r="C305" s="186">
        <f t="shared" si="28"/>
        <v>-100</v>
      </c>
      <c r="E305" s="182">
        <v>0</v>
      </c>
      <c r="F305" s="183">
        <v>2</v>
      </c>
      <c r="G305" s="191">
        <f t="shared" si="29"/>
        <v>-100</v>
      </c>
      <c r="H305" s="188" t="str">
        <f t="shared" si="30"/>
        <v/>
      </c>
      <c r="I305" s="188">
        <f t="shared" si="31"/>
        <v>5.6376141616867742E-3</v>
      </c>
      <c r="J305" s="182">
        <v>0</v>
      </c>
      <c r="K305" s="183">
        <v>2</v>
      </c>
      <c r="L305" s="191">
        <f t="shared" si="32"/>
        <v>-100</v>
      </c>
      <c r="M305" s="188" t="str">
        <f t="shared" si="33"/>
        <v/>
      </c>
      <c r="N305" s="189">
        <f t="shared" si="34"/>
        <v>6.942347277037839E-4</v>
      </c>
    </row>
    <row r="306" spans="1:14" collapsed="1">
      <c r="A306" s="180" t="s">
        <v>1291</v>
      </c>
      <c r="B306" s="179" t="s">
        <v>287</v>
      </c>
      <c r="C306" s="186">
        <f t="shared" si="28"/>
        <v>-56.638714185883998</v>
      </c>
      <c r="E306" s="182">
        <v>230</v>
      </c>
      <c r="F306" s="183">
        <v>900</v>
      </c>
      <c r="G306" s="191">
        <f t="shared" si="29"/>
        <v>-74.444444444444443</v>
      </c>
      <c r="H306" s="188">
        <f t="shared" si="30"/>
        <v>0.78568012570882018</v>
      </c>
      <c r="I306" s="188">
        <f t="shared" si="31"/>
        <v>2.5369263727590483</v>
      </c>
      <c r="J306" s="182">
        <v>2482</v>
      </c>
      <c r="K306" s="183">
        <v>5724</v>
      </c>
      <c r="L306" s="191">
        <f t="shared" si="32"/>
        <v>-56.638714185883998</v>
      </c>
      <c r="M306" s="188">
        <f t="shared" si="33"/>
        <v>0.85685188062071715</v>
      </c>
      <c r="N306" s="189">
        <f t="shared" si="34"/>
        <v>1.9868997906882295</v>
      </c>
    </row>
    <row r="307" spans="1:14" hidden="1" outlineLevel="1">
      <c r="A307" s="180"/>
      <c r="B307" s="190" t="s">
        <v>890</v>
      </c>
      <c r="C307" s="186">
        <f t="shared" si="28"/>
        <v>56.651718983557551</v>
      </c>
      <c r="E307" s="182">
        <v>65</v>
      </c>
      <c r="F307" s="183">
        <v>43</v>
      </c>
      <c r="G307" s="191">
        <f t="shared" si="29"/>
        <v>51.162790697674424</v>
      </c>
      <c r="H307" s="188">
        <f t="shared" si="30"/>
        <v>0.22204003552640569</v>
      </c>
      <c r="I307" s="188">
        <f t="shared" si="31"/>
        <v>0.12120870447626564</v>
      </c>
      <c r="J307" s="182">
        <v>1048</v>
      </c>
      <c r="K307" s="183">
        <v>669</v>
      </c>
      <c r="L307" s="191">
        <f t="shared" si="32"/>
        <v>56.651718983557551</v>
      </c>
      <c r="M307" s="188">
        <f t="shared" si="33"/>
        <v>0.36179724854573386</v>
      </c>
      <c r="N307" s="189">
        <f t="shared" si="34"/>
        <v>0.23222151641691574</v>
      </c>
    </row>
    <row r="308" spans="1:14" hidden="1" outlineLevel="1">
      <c r="A308" s="180"/>
      <c r="B308" s="190" t="s">
        <v>889</v>
      </c>
      <c r="C308" s="186">
        <f t="shared" si="28"/>
        <v>-30.687830687830687</v>
      </c>
      <c r="E308" s="182">
        <v>122</v>
      </c>
      <c r="F308" s="183">
        <v>40</v>
      </c>
      <c r="G308" s="191">
        <f t="shared" si="29"/>
        <v>204.99999999999997</v>
      </c>
      <c r="H308" s="188">
        <f t="shared" si="30"/>
        <v>0.41675206668033071</v>
      </c>
      <c r="I308" s="188">
        <f t="shared" si="31"/>
        <v>0.11275228323373548</v>
      </c>
      <c r="J308" s="182">
        <v>524</v>
      </c>
      <c r="K308" s="183">
        <v>756</v>
      </c>
      <c r="L308" s="191">
        <f t="shared" si="32"/>
        <v>-30.687830687830687</v>
      </c>
      <c r="M308" s="188">
        <f t="shared" si="33"/>
        <v>0.18089862427286693</v>
      </c>
      <c r="N308" s="189">
        <f t="shared" si="34"/>
        <v>0.26242072707203035</v>
      </c>
    </row>
    <row r="309" spans="1:14" hidden="1" outlineLevel="1">
      <c r="A309" s="180"/>
      <c r="B309" s="190" t="s">
        <v>891</v>
      </c>
      <c r="C309" s="186">
        <f t="shared" si="28"/>
        <v>16.147308781869686</v>
      </c>
      <c r="E309" s="182">
        <v>30</v>
      </c>
      <c r="F309" s="183">
        <v>22</v>
      </c>
      <c r="G309" s="191">
        <f t="shared" si="29"/>
        <v>36.363636363636367</v>
      </c>
      <c r="H309" s="188">
        <f t="shared" si="30"/>
        <v>0.10248001639680263</v>
      </c>
      <c r="I309" s="188">
        <f t="shared" si="31"/>
        <v>6.2013755778554516E-2</v>
      </c>
      <c r="J309" s="182">
        <v>410</v>
      </c>
      <c r="K309" s="183">
        <v>353</v>
      </c>
      <c r="L309" s="191">
        <f t="shared" si="32"/>
        <v>16.147308781869686</v>
      </c>
      <c r="M309" s="188">
        <f t="shared" si="33"/>
        <v>0.14154281670205238</v>
      </c>
      <c r="N309" s="189">
        <f t="shared" si="34"/>
        <v>0.12253242943971786</v>
      </c>
    </row>
    <row r="310" spans="1:14" hidden="1" outlineLevel="1">
      <c r="A310" s="180"/>
      <c r="B310" s="190" t="s">
        <v>892</v>
      </c>
      <c r="C310" s="186">
        <f t="shared" si="28"/>
        <v>-39.714285714285715</v>
      </c>
      <c r="E310" s="182">
        <v>1</v>
      </c>
      <c r="F310" s="183">
        <v>20</v>
      </c>
      <c r="G310" s="191">
        <f t="shared" si="29"/>
        <v>-95</v>
      </c>
      <c r="H310" s="188">
        <f t="shared" si="30"/>
        <v>3.4160005465600878E-3</v>
      </c>
      <c r="I310" s="188">
        <f t="shared" si="31"/>
        <v>5.6376141616867742E-2</v>
      </c>
      <c r="J310" s="182">
        <v>211</v>
      </c>
      <c r="K310" s="183">
        <v>350</v>
      </c>
      <c r="L310" s="191">
        <f t="shared" si="32"/>
        <v>-39.714285714285715</v>
      </c>
      <c r="M310" s="188">
        <f t="shared" si="33"/>
        <v>7.2842766644226953E-2</v>
      </c>
      <c r="N310" s="189">
        <f t="shared" si="34"/>
        <v>0.12149107734816218</v>
      </c>
    </row>
    <row r="311" spans="1:14" hidden="1" outlineLevel="1">
      <c r="A311" s="180"/>
      <c r="B311" s="190" t="s">
        <v>893</v>
      </c>
      <c r="C311" s="186">
        <f t="shared" si="28"/>
        <v>59.756097560975604</v>
      </c>
      <c r="E311" s="182">
        <v>12</v>
      </c>
      <c r="F311" s="183">
        <v>0</v>
      </c>
      <c r="G311" s="191" t="str">
        <f t="shared" si="29"/>
        <v/>
      </c>
      <c r="H311" s="188">
        <f t="shared" si="30"/>
        <v>4.0992006558721053E-2</v>
      </c>
      <c r="I311" s="188" t="str">
        <f t="shared" si="31"/>
        <v/>
      </c>
      <c r="J311" s="182">
        <v>131</v>
      </c>
      <c r="K311" s="183">
        <v>82</v>
      </c>
      <c r="L311" s="191">
        <f t="shared" si="32"/>
        <v>59.756097560975604</v>
      </c>
      <c r="M311" s="188">
        <f t="shared" si="33"/>
        <v>4.5224656068216733E-2</v>
      </c>
      <c r="N311" s="189">
        <f t="shared" si="34"/>
        <v>2.8463623835855142E-2</v>
      </c>
    </row>
    <row r="312" spans="1:14" hidden="1" outlineLevel="1">
      <c r="A312" s="180"/>
      <c r="B312" s="190" t="s">
        <v>888</v>
      </c>
      <c r="C312" s="186">
        <f t="shared" si="28"/>
        <v>-96.266094420600851</v>
      </c>
      <c r="E312" s="182">
        <v>0</v>
      </c>
      <c r="F312" s="183">
        <v>707</v>
      </c>
      <c r="G312" s="191">
        <f t="shared" si="29"/>
        <v>-100</v>
      </c>
      <c r="H312" s="188" t="str">
        <f t="shared" si="30"/>
        <v/>
      </c>
      <c r="I312" s="188">
        <f t="shared" si="31"/>
        <v>1.9928966061562747</v>
      </c>
      <c r="J312" s="182">
        <v>87</v>
      </c>
      <c r="K312" s="183">
        <v>2330</v>
      </c>
      <c r="L312" s="191">
        <f t="shared" si="32"/>
        <v>-96.266094420600851</v>
      </c>
      <c r="M312" s="188">
        <f t="shared" si="33"/>
        <v>3.0034695251411114E-2</v>
      </c>
      <c r="N312" s="189">
        <f t="shared" si="34"/>
        <v>0.80878345777490834</v>
      </c>
    </row>
    <row r="313" spans="1:14" hidden="1" outlineLevel="1">
      <c r="A313" s="180"/>
      <c r="B313" s="190" t="s">
        <v>887</v>
      </c>
      <c r="C313" s="186">
        <f t="shared" si="28"/>
        <v>-94.003378378378372</v>
      </c>
      <c r="E313" s="182">
        <v>0</v>
      </c>
      <c r="F313" s="183">
        <v>68</v>
      </c>
      <c r="G313" s="191">
        <f t="shared" si="29"/>
        <v>-100</v>
      </c>
      <c r="H313" s="188" t="str">
        <f t="shared" si="30"/>
        <v/>
      </c>
      <c r="I313" s="188">
        <f t="shared" si="31"/>
        <v>0.19167888149735032</v>
      </c>
      <c r="J313" s="182">
        <v>71</v>
      </c>
      <c r="K313" s="183">
        <v>1184</v>
      </c>
      <c r="L313" s="191">
        <f t="shared" si="32"/>
        <v>-94.003378378378372</v>
      </c>
      <c r="M313" s="188">
        <f t="shared" si="33"/>
        <v>2.4511073136209066E-2</v>
      </c>
      <c r="N313" s="189">
        <f t="shared" si="34"/>
        <v>0.41098695880064007</v>
      </c>
    </row>
    <row r="314" spans="1:14" collapsed="1">
      <c r="A314" s="180" t="s">
        <v>1343</v>
      </c>
      <c r="B314" s="179" t="s">
        <v>265</v>
      </c>
      <c r="C314" s="186">
        <f t="shared" si="28"/>
        <v>-28.058051140290257</v>
      </c>
      <c r="E314" s="182">
        <v>72</v>
      </c>
      <c r="F314" s="183">
        <v>76</v>
      </c>
      <c r="G314" s="191">
        <f t="shared" si="29"/>
        <v>-5.2631578947368416</v>
      </c>
      <c r="H314" s="188">
        <f t="shared" si="30"/>
        <v>0.24595203935232629</v>
      </c>
      <c r="I314" s="188">
        <f t="shared" si="31"/>
        <v>0.21422933814409742</v>
      </c>
      <c r="J314" s="182">
        <v>2082</v>
      </c>
      <c r="K314" s="183">
        <v>2894</v>
      </c>
      <c r="L314" s="191">
        <f t="shared" si="32"/>
        <v>-28.058051140290257</v>
      </c>
      <c r="M314" s="188">
        <f t="shared" si="33"/>
        <v>0.71876132774066592</v>
      </c>
      <c r="N314" s="189">
        <f t="shared" si="34"/>
        <v>1.0045576509873753</v>
      </c>
    </row>
    <row r="315" spans="1:14" hidden="1" outlineLevel="1">
      <c r="A315" s="180"/>
      <c r="B315" s="190" t="s">
        <v>911</v>
      </c>
      <c r="C315" s="186">
        <f t="shared" si="28"/>
        <v>-28.104241185487993</v>
      </c>
      <c r="E315" s="182">
        <v>54</v>
      </c>
      <c r="F315" s="183">
        <v>45</v>
      </c>
      <c r="G315" s="191">
        <f t="shared" si="29"/>
        <v>20</v>
      </c>
      <c r="H315" s="188">
        <f t="shared" si="30"/>
        <v>0.18446402951424473</v>
      </c>
      <c r="I315" s="188">
        <f t="shared" si="31"/>
        <v>0.12684631863795243</v>
      </c>
      <c r="J315" s="182">
        <v>1407</v>
      </c>
      <c r="K315" s="183">
        <v>1957</v>
      </c>
      <c r="L315" s="191">
        <f t="shared" si="32"/>
        <v>-28.104241185487993</v>
      </c>
      <c r="M315" s="188">
        <f t="shared" si="33"/>
        <v>0.48573351975557971</v>
      </c>
      <c r="N315" s="189">
        <f t="shared" si="34"/>
        <v>0.67930868105815256</v>
      </c>
    </row>
    <row r="316" spans="1:14" hidden="1" outlineLevel="1">
      <c r="A316" s="180"/>
      <c r="B316" s="190" t="s">
        <v>912</v>
      </c>
      <c r="C316" s="186">
        <f t="shared" si="28"/>
        <v>307.07070707070704</v>
      </c>
      <c r="E316" s="182">
        <v>1</v>
      </c>
      <c r="F316" s="183">
        <v>4</v>
      </c>
      <c r="G316" s="191">
        <f t="shared" si="29"/>
        <v>-75</v>
      </c>
      <c r="H316" s="188">
        <f t="shared" si="30"/>
        <v>3.4160005465600878E-3</v>
      </c>
      <c r="I316" s="188">
        <f t="shared" si="31"/>
        <v>1.1275228323373548E-2</v>
      </c>
      <c r="J316" s="182">
        <v>403</v>
      </c>
      <c r="K316" s="183">
        <v>99</v>
      </c>
      <c r="L316" s="191">
        <f t="shared" si="32"/>
        <v>307.07070707070704</v>
      </c>
      <c r="M316" s="188">
        <f t="shared" si="33"/>
        <v>0.13912623202665148</v>
      </c>
      <c r="N316" s="189">
        <f t="shared" si="34"/>
        <v>3.4364619021337306E-2</v>
      </c>
    </row>
    <row r="317" spans="1:14" hidden="1" outlineLevel="1">
      <c r="A317" s="180"/>
      <c r="B317" s="190">
        <v>500</v>
      </c>
      <c r="C317" s="186">
        <f t="shared" si="28"/>
        <v>-67.034313725490193</v>
      </c>
      <c r="E317" s="182">
        <v>17</v>
      </c>
      <c r="F317" s="183">
        <v>25</v>
      </c>
      <c r="G317" s="191">
        <f t="shared" si="29"/>
        <v>-32</v>
      </c>
      <c r="H317" s="188">
        <f t="shared" si="30"/>
        <v>5.8072009291521488E-2</v>
      </c>
      <c r="I317" s="188">
        <f t="shared" si="31"/>
        <v>7.0470177021084685E-2</v>
      </c>
      <c r="J317" s="182">
        <v>269</v>
      </c>
      <c r="K317" s="183">
        <v>816</v>
      </c>
      <c r="L317" s="191">
        <f t="shared" si="32"/>
        <v>-67.034313725490193</v>
      </c>
      <c r="M317" s="188">
        <f t="shared" si="33"/>
        <v>9.2865896811834353E-2</v>
      </c>
      <c r="N317" s="189">
        <f t="shared" si="34"/>
        <v>0.28324776890314385</v>
      </c>
    </row>
    <row r="318" spans="1:14" hidden="1" outlineLevel="1">
      <c r="A318" s="180"/>
      <c r="B318" s="190" t="s">
        <v>913</v>
      </c>
      <c r="C318" s="186">
        <f t="shared" si="28"/>
        <v>-85.714285714285708</v>
      </c>
      <c r="E318" s="182">
        <v>0</v>
      </c>
      <c r="F318" s="183">
        <v>2</v>
      </c>
      <c r="G318" s="191">
        <f t="shared" si="29"/>
        <v>-100</v>
      </c>
      <c r="H318" s="188" t="str">
        <f t="shared" si="30"/>
        <v/>
      </c>
      <c r="I318" s="188">
        <f t="shared" si="31"/>
        <v>5.6376141616867742E-3</v>
      </c>
      <c r="J318" s="182">
        <v>3</v>
      </c>
      <c r="K318" s="183">
        <v>21</v>
      </c>
      <c r="L318" s="191">
        <f t="shared" si="32"/>
        <v>-85.714285714285708</v>
      </c>
      <c r="M318" s="188">
        <f t="shared" si="33"/>
        <v>1.0356791466003832E-3</v>
      </c>
      <c r="N318" s="189">
        <f t="shared" si="34"/>
        <v>7.2894646408897309E-3</v>
      </c>
    </row>
    <row r="319" spans="1:14" hidden="1" outlineLevel="1">
      <c r="A319" s="180"/>
      <c r="B319" s="190" t="s">
        <v>1190</v>
      </c>
      <c r="C319" s="186">
        <f t="shared" si="28"/>
        <v>-100</v>
      </c>
      <c r="E319" s="182">
        <v>0</v>
      </c>
      <c r="F319" s="183">
        <v>0</v>
      </c>
      <c r="G319" s="191" t="str">
        <f t="shared" si="29"/>
        <v/>
      </c>
      <c r="H319" s="188" t="str">
        <f t="shared" si="30"/>
        <v/>
      </c>
      <c r="I319" s="188" t="str">
        <f t="shared" si="31"/>
        <v/>
      </c>
      <c r="J319" s="182">
        <v>0</v>
      </c>
      <c r="K319" s="183">
        <v>1</v>
      </c>
      <c r="L319" s="191">
        <f t="shared" si="32"/>
        <v>-100</v>
      </c>
      <c r="M319" s="188" t="str">
        <f t="shared" si="33"/>
        <v/>
      </c>
      <c r="N319" s="189">
        <f t="shared" si="34"/>
        <v>3.4711736385189195E-4</v>
      </c>
    </row>
    <row r="320" spans="1:14" collapsed="1">
      <c r="A320" s="180" t="s">
        <v>1308</v>
      </c>
      <c r="B320" s="179" t="s">
        <v>279</v>
      </c>
      <c r="C320" s="186">
        <f t="shared" si="28"/>
        <v>-27.822722476257471</v>
      </c>
      <c r="E320" s="182">
        <v>179</v>
      </c>
      <c r="F320" s="183">
        <v>203</v>
      </c>
      <c r="G320" s="191">
        <f t="shared" si="29"/>
        <v>-11.822660098522167</v>
      </c>
      <c r="H320" s="188">
        <f t="shared" si="30"/>
        <v>0.61146409783425559</v>
      </c>
      <c r="I320" s="188">
        <f t="shared" si="31"/>
        <v>0.57221783741120757</v>
      </c>
      <c r="J320" s="182">
        <v>2052</v>
      </c>
      <c r="K320" s="183">
        <v>2843</v>
      </c>
      <c r="L320" s="191">
        <f t="shared" si="32"/>
        <v>-27.822722476257471</v>
      </c>
      <c r="M320" s="188">
        <f t="shared" si="33"/>
        <v>0.70840453627466204</v>
      </c>
      <c r="N320" s="189">
        <f t="shared" si="34"/>
        <v>0.98685466543092881</v>
      </c>
    </row>
    <row r="321" spans="1:14" hidden="1" outlineLevel="1">
      <c r="A321" s="180"/>
      <c r="B321" s="190" t="s">
        <v>921</v>
      </c>
      <c r="C321" s="186">
        <f t="shared" si="28"/>
        <v>-21.469465648854964</v>
      </c>
      <c r="E321" s="182">
        <v>138</v>
      </c>
      <c r="F321" s="183">
        <v>163</v>
      </c>
      <c r="G321" s="191">
        <f t="shared" si="29"/>
        <v>-15.337423312883436</v>
      </c>
      <c r="H321" s="188">
        <f t="shared" si="30"/>
        <v>0.47140807542529206</v>
      </c>
      <c r="I321" s="188">
        <f t="shared" si="31"/>
        <v>0.45946555417747209</v>
      </c>
      <c r="J321" s="182">
        <v>1646</v>
      </c>
      <c r="K321" s="183">
        <v>2096</v>
      </c>
      <c r="L321" s="191">
        <f t="shared" si="32"/>
        <v>-21.469465648854964</v>
      </c>
      <c r="M321" s="188">
        <f t="shared" si="33"/>
        <v>0.56824262510141033</v>
      </c>
      <c r="N321" s="189">
        <f t="shared" si="34"/>
        <v>0.72755799463356552</v>
      </c>
    </row>
    <row r="322" spans="1:14" hidden="1" outlineLevel="1">
      <c r="A322" s="180"/>
      <c r="B322" s="190" t="s">
        <v>922</v>
      </c>
      <c r="C322" s="186">
        <f t="shared" si="28"/>
        <v>-45.017182130584196</v>
      </c>
      <c r="E322" s="182">
        <v>24</v>
      </c>
      <c r="F322" s="183">
        <v>36</v>
      </c>
      <c r="G322" s="191">
        <f t="shared" si="29"/>
        <v>-33.333333333333329</v>
      </c>
      <c r="H322" s="188">
        <f t="shared" si="30"/>
        <v>8.1984013117442106E-2</v>
      </c>
      <c r="I322" s="188">
        <f t="shared" si="31"/>
        <v>0.10147705491036192</v>
      </c>
      <c r="J322" s="182">
        <v>320</v>
      </c>
      <c r="K322" s="183">
        <v>582</v>
      </c>
      <c r="L322" s="191">
        <f t="shared" si="32"/>
        <v>-45.017182130584196</v>
      </c>
      <c r="M322" s="188">
        <f t="shared" si="33"/>
        <v>0.11047244230404088</v>
      </c>
      <c r="N322" s="189">
        <f t="shared" si="34"/>
        <v>0.20202230576180114</v>
      </c>
    </row>
    <row r="323" spans="1:14" hidden="1" outlineLevel="1">
      <c r="A323" s="180"/>
      <c r="B323" s="190" t="s">
        <v>923</v>
      </c>
      <c r="C323" s="186">
        <f t="shared" si="28"/>
        <v>-47.878787878787875</v>
      </c>
      <c r="E323" s="182">
        <v>17</v>
      </c>
      <c r="F323" s="183">
        <v>4</v>
      </c>
      <c r="G323" s="191">
        <f t="shared" si="29"/>
        <v>325</v>
      </c>
      <c r="H323" s="188">
        <f t="shared" si="30"/>
        <v>5.8072009291521488E-2</v>
      </c>
      <c r="I323" s="188">
        <f t="shared" si="31"/>
        <v>1.1275228323373548E-2</v>
      </c>
      <c r="J323" s="182">
        <v>86</v>
      </c>
      <c r="K323" s="183">
        <v>165</v>
      </c>
      <c r="L323" s="191">
        <f t="shared" si="32"/>
        <v>-47.878787878787875</v>
      </c>
      <c r="M323" s="188">
        <f t="shared" si="33"/>
        <v>2.9689468869210988E-2</v>
      </c>
      <c r="N323" s="189">
        <f t="shared" si="34"/>
        <v>5.7274365035562172E-2</v>
      </c>
    </row>
    <row r="324" spans="1:14" collapsed="1">
      <c r="A324" s="180" t="s">
        <v>1344</v>
      </c>
      <c r="B324" s="179" t="s">
        <v>290</v>
      </c>
      <c r="C324" s="186">
        <f t="shared" si="28"/>
        <v>-9.9938687921520533</v>
      </c>
      <c r="E324" s="182">
        <v>171</v>
      </c>
      <c r="F324" s="183">
        <v>102</v>
      </c>
      <c r="G324" s="191">
        <f t="shared" si="29"/>
        <v>67.64705882352942</v>
      </c>
      <c r="H324" s="188">
        <f t="shared" si="30"/>
        <v>0.58413609346177497</v>
      </c>
      <c r="I324" s="188">
        <f t="shared" si="31"/>
        <v>0.28751832224602547</v>
      </c>
      <c r="J324" s="182">
        <v>1468</v>
      </c>
      <c r="K324" s="183">
        <v>1631</v>
      </c>
      <c r="L324" s="191">
        <f t="shared" si="32"/>
        <v>-9.9938687921520533</v>
      </c>
      <c r="M324" s="188">
        <f t="shared" si="33"/>
        <v>0.50679232906978744</v>
      </c>
      <c r="N324" s="189">
        <f t="shared" si="34"/>
        <v>0.56614842044243585</v>
      </c>
    </row>
    <row r="325" spans="1:14" hidden="1" outlineLevel="1">
      <c r="A325" s="180"/>
      <c r="B325" s="190" t="s">
        <v>930</v>
      </c>
      <c r="C325" s="186">
        <f t="shared" si="28"/>
        <v>16.798418972332016</v>
      </c>
      <c r="E325" s="182">
        <v>61</v>
      </c>
      <c r="F325" s="183">
        <v>36</v>
      </c>
      <c r="G325" s="191">
        <f t="shared" si="29"/>
        <v>69.444444444444443</v>
      </c>
      <c r="H325" s="188">
        <f t="shared" si="30"/>
        <v>0.20837603334016536</v>
      </c>
      <c r="I325" s="188">
        <f t="shared" si="31"/>
        <v>0.10147705491036192</v>
      </c>
      <c r="J325" s="182">
        <v>591</v>
      </c>
      <c r="K325" s="183">
        <v>506</v>
      </c>
      <c r="L325" s="191">
        <f t="shared" si="32"/>
        <v>16.798418972332016</v>
      </c>
      <c r="M325" s="188">
        <f t="shared" si="33"/>
        <v>0.20402879188027548</v>
      </c>
      <c r="N325" s="189">
        <f t="shared" si="34"/>
        <v>0.17564138610905733</v>
      </c>
    </row>
    <row r="326" spans="1:14" hidden="1" outlineLevel="1">
      <c r="A326" s="180"/>
      <c r="B326" s="190" t="s">
        <v>931</v>
      </c>
      <c r="C326" s="186">
        <f t="shared" si="28"/>
        <v>-22.682445759368836</v>
      </c>
      <c r="E326" s="182">
        <v>57</v>
      </c>
      <c r="F326" s="183">
        <v>17</v>
      </c>
      <c r="G326" s="191">
        <f t="shared" si="29"/>
        <v>235.29411764705884</v>
      </c>
      <c r="H326" s="188">
        <f t="shared" si="30"/>
        <v>0.19471203115392499</v>
      </c>
      <c r="I326" s="188">
        <f t="shared" si="31"/>
        <v>4.7919720374337581E-2</v>
      </c>
      <c r="J326" s="182">
        <v>392</v>
      </c>
      <c r="K326" s="183">
        <v>507</v>
      </c>
      <c r="L326" s="191">
        <f t="shared" si="32"/>
        <v>-22.682445759368836</v>
      </c>
      <c r="M326" s="188">
        <f t="shared" si="33"/>
        <v>0.13532874182245008</v>
      </c>
      <c r="N326" s="189">
        <f t="shared" si="34"/>
        <v>0.17598850347290923</v>
      </c>
    </row>
    <row r="327" spans="1:14" hidden="1" outlineLevel="1">
      <c r="A327" s="180"/>
      <c r="B327" s="190" t="s">
        <v>933</v>
      </c>
      <c r="C327" s="186">
        <f t="shared" si="28"/>
        <v>2.1428571428571428</v>
      </c>
      <c r="E327" s="182">
        <v>27</v>
      </c>
      <c r="F327" s="183">
        <v>24</v>
      </c>
      <c r="G327" s="191">
        <f t="shared" si="29"/>
        <v>12.5</v>
      </c>
      <c r="H327" s="188">
        <f t="shared" si="30"/>
        <v>9.2232014757122366E-2</v>
      </c>
      <c r="I327" s="188">
        <f t="shared" si="31"/>
        <v>6.765136994024129E-2</v>
      </c>
      <c r="J327" s="182">
        <v>286</v>
      </c>
      <c r="K327" s="183">
        <v>280</v>
      </c>
      <c r="L327" s="191">
        <f t="shared" si="32"/>
        <v>2.1428571428571428</v>
      </c>
      <c r="M327" s="188">
        <f t="shared" si="33"/>
        <v>9.8734745309236524E-2</v>
      </c>
      <c r="N327" s="189">
        <f t="shared" si="34"/>
        <v>9.719286187852974E-2</v>
      </c>
    </row>
    <row r="328" spans="1:14" hidden="1" outlineLevel="1">
      <c r="A328" s="180"/>
      <c r="B328" s="190" t="s">
        <v>932</v>
      </c>
      <c r="C328" s="186">
        <f t="shared" si="28"/>
        <v>-32.30088495575221</v>
      </c>
      <c r="E328" s="182">
        <v>8</v>
      </c>
      <c r="F328" s="183">
        <v>11</v>
      </c>
      <c r="G328" s="191">
        <f t="shared" si="29"/>
        <v>-27.27272727272727</v>
      </c>
      <c r="H328" s="188">
        <f t="shared" si="30"/>
        <v>2.7328004372480702E-2</v>
      </c>
      <c r="I328" s="188">
        <f t="shared" si="31"/>
        <v>3.1006877889277258E-2</v>
      </c>
      <c r="J328" s="182">
        <v>153</v>
      </c>
      <c r="K328" s="183">
        <v>226</v>
      </c>
      <c r="L328" s="191">
        <f t="shared" si="32"/>
        <v>-32.30088495575221</v>
      </c>
      <c r="M328" s="188">
        <f t="shared" si="33"/>
        <v>5.2819636476619539E-2</v>
      </c>
      <c r="N328" s="189">
        <f t="shared" si="34"/>
        <v>7.8448524230527575E-2</v>
      </c>
    </row>
    <row r="329" spans="1:14" hidden="1" outlineLevel="1">
      <c r="A329" s="180"/>
      <c r="B329" s="190" t="s">
        <v>934</v>
      </c>
      <c r="C329" s="186">
        <f t="shared" si="28"/>
        <v>-58.928571428571431</v>
      </c>
      <c r="E329" s="182">
        <v>18</v>
      </c>
      <c r="F329" s="183">
        <v>14</v>
      </c>
      <c r="G329" s="191">
        <f t="shared" si="29"/>
        <v>28.571428571428569</v>
      </c>
      <c r="H329" s="188">
        <f t="shared" si="30"/>
        <v>6.1488009838081573E-2</v>
      </c>
      <c r="I329" s="188">
        <f t="shared" si="31"/>
        <v>3.9463299131807419E-2</v>
      </c>
      <c r="J329" s="182">
        <v>46</v>
      </c>
      <c r="K329" s="183">
        <v>112</v>
      </c>
      <c r="L329" s="191">
        <f t="shared" si="32"/>
        <v>-58.928571428571431</v>
      </c>
      <c r="M329" s="188">
        <f t="shared" si="33"/>
        <v>1.5880413581205875E-2</v>
      </c>
      <c r="N329" s="189">
        <f t="shared" si="34"/>
        <v>3.88771447514119E-2</v>
      </c>
    </row>
    <row r="330" spans="1:14" collapsed="1">
      <c r="A330" s="180" t="s">
        <v>1345</v>
      </c>
      <c r="B330" s="179" t="s">
        <v>924</v>
      </c>
      <c r="C330" s="186">
        <f t="shared" ref="C330:C393" si="35">IF(K330=0,"",SUM(((J330-K330)/K330)*100))</f>
        <v>-30.480266286257731</v>
      </c>
      <c r="E330" s="182">
        <v>39</v>
      </c>
      <c r="F330" s="183">
        <v>171</v>
      </c>
      <c r="G330" s="191">
        <f t="shared" ref="G330:G393" si="36">IF(F330=0,"",SUM(((E330-F330)/F330)*100))</f>
        <v>-77.192982456140342</v>
      </c>
      <c r="H330" s="188">
        <f t="shared" ref="H330:H393" si="37">IF(E330=0,"",SUM((E330/CntPeriod)*100))</f>
        <v>0.13322402131584343</v>
      </c>
      <c r="I330" s="188">
        <f t="shared" ref="I330:I393" si="38">IF(F330=0,"",SUM((F330/CntPeriodPrevYear)*100))</f>
        <v>0.48201601082421919</v>
      </c>
      <c r="J330" s="182">
        <v>1462</v>
      </c>
      <c r="K330" s="183">
        <v>2103</v>
      </c>
      <c r="L330" s="191">
        <f t="shared" ref="L330:L393" si="39">IF(K330=0,"",SUM(((J330-K330)/K330)*100))</f>
        <v>-30.480266286257731</v>
      </c>
      <c r="M330" s="188">
        <f t="shared" ref="M330:M393" si="40">IF(J330=0,"",SUM((J330/CntYearAck)*100))</f>
        <v>0.50472097077658673</v>
      </c>
      <c r="N330" s="189">
        <f t="shared" ref="N330:N393" si="41">IF(K330=0,"",SUM((K330/CntPrevYearAck)*100))</f>
        <v>0.72998781618052877</v>
      </c>
    </row>
    <row r="331" spans="1:14" hidden="1" outlineLevel="1">
      <c r="A331" s="180"/>
      <c r="B331" s="190" t="s">
        <v>925</v>
      </c>
      <c r="C331" s="186">
        <f t="shared" si="35"/>
        <v>-30.480266286257731</v>
      </c>
      <c r="E331" s="182">
        <v>39</v>
      </c>
      <c r="F331" s="183">
        <v>171</v>
      </c>
      <c r="G331" s="191">
        <f t="shared" si="36"/>
        <v>-77.192982456140342</v>
      </c>
      <c r="H331" s="188">
        <f t="shared" si="37"/>
        <v>0.13322402131584343</v>
      </c>
      <c r="I331" s="188">
        <f t="shared" si="38"/>
        <v>0.48201601082421919</v>
      </c>
      <c r="J331" s="182">
        <v>1462</v>
      </c>
      <c r="K331" s="183">
        <v>2103</v>
      </c>
      <c r="L331" s="191">
        <f t="shared" si="39"/>
        <v>-30.480266286257731</v>
      </c>
      <c r="M331" s="188">
        <f t="shared" si="40"/>
        <v>0.50472097077658673</v>
      </c>
      <c r="N331" s="189">
        <f t="shared" si="41"/>
        <v>0.72998781618052877</v>
      </c>
    </row>
    <row r="332" spans="1:14" collapsed="1">
      <c r="A332" s="180" t="s">
        <v>1346</v>
      </c>
      <c r="B332" s="179" t="s">
        <v>267</v>
      </c>
      <c r="C332" s="186">
        <f t="shared" si="35"/>
        <v>-27.120067170445004</v>
      </c>
      <c r="E332" s="182">
        <v>50</v>
      </c>
      <c r="F332" s="183">
        <v>90</v>
      </c>
      <c r="G332" s="191">
        <f t="shared" si="36"/>
        <v>-44.444444444444443</v>
      </c>
      <c r="H332" s="188">
        <f t="shared" si="37"/>
        <v>0.17080002732800437</v>
      </c>
      <c r="I332" s="188">
        <f t="shared" si="38"/>
        <v>0.25369263727590485</v>
      </c>
      <c r="J332" s="182">
        <v>868</v>
      </c>
      <c r="K332" s="183">
        <v>1191</v>
      </c>
      <c r="L332" s="191">
        <f t="shared" si="39"/>
        <v>-27.120067170445004</v>
      </c>
      <c r="M332" s="188">
        <f t="shared" si="40"/>
        <v>0.29965649974971087</v>
      </c>
      <c r="N332" s="189">
        <f t="shared" si="41"/>
        <v>0.41341678034760332</v>
      </c>
    </row>
    <row r="333" spans="1:14" hidden="1" outlineLevel="1">
      <c r="A333" s="180"/>
      <c r="B333" s="190" t="s">
        <v>944</v>
      </c>
      <c r="C333" s="186">
        <f t="shared" si="35"/>
        <v>16.736401673640167</v>
      </c>
      <c r="E333" s="182">
        <v>11</v>
      </c>
      <c r="F333" s="183">
        <v>20</v>
      </c>
      <c r="G333" s="191">
        <f t="shared" si="36"/>
        <v>-45</v>
      </c>
      <c r="H333" s="188">
        <f t="shared" si="37"/>
        <v>3.7576006012160962E-2</v>
      </c>
      <c r="I333" s="188">
        <f t="shared" si="38"/>
        <v>5.6376141616867742E-2</v>
      </c>
      <c r="J333" s="182">
        <v>279</v>
      </c>
      <c r="K333" s="183">
        <v>239</v>
      </c>
      <c r="L333" s="191">
        <f t="shared" si="39"/>
        <v>16.736401673640167</v>
      </c>
      <c r="M333" s="188">
        <f t="shared" si="40"/>
        <v>9.6318160633835637E-2</v>
      </c>
      <c r="N333" s="189">
        <f t="shared" si="41"/>
        <v>8.2961049960602176E-2</v>
      </c>
    </row>
    <row r="334" spans="1:14" hidden="1" outlineLevel="1">
      <c r="A334" s="180"/>
      <c r="B334" s="190" t="s">
        <v>943</v>
      </c>
      <c r="C334" s="186">
        <f t="shared" si="35"/>
        <v>-57.933579335793361</v>
      </c>
      <c r="E334" s="182">
        <v>14</v>
      </c>
      <c r="F334" s="183">
        <v>6</v>
      </c>
      <c r="G334" s="191">
        <f t="shared" si="36"/>
        <v>133.33333333333331</v>
      </c>
      <c r="H334" s="188">
        <f t="shared" si="37"/>
        <v>4.7824007651841229E-2</v>
      </c>
      <c r="I334" s="188">
        <f t="shared" si="38"/>
        <v>1.6912842485060323E-2</v>
      </c>
      <c r="J334" s="182">
        <v>228</v>
      </c>
      <c r="K334" s="183">
        <v>542</v>
      </c>
      <c r="L334" s="191">
        <f t="shared" si="39"/>
        <v>-57.933579335793361</v>
      </c>
      <c r="M334" s="188">
        <f t="shared" si="40"/>
        <v>7.8711615141629124E-2</v>
      </c>
      <c r="N334" s="189">
        <f t="shared" si="41"/>
        <v>0.18813761120772546</v>
      </c>
    </row>
    <row r="335" spans="1:14" hidden="1" outlineLevel="1">
      <c r="A335" s="180"/>
      <c r="B335" s="190" t="s">
        <v>947</v>
      </c>
      <c r="C335" s="186">
        <f t="shared" si="35"/>
        <v>12.5</v>
      </c>
      <c r="E335" s="182">
        <v>4</v>
      </c>
      <c r="F335" s="183">
        <v>4</v>
      </c>
      <c r="G335" s="191">
        <f t="shared" si="36"/>
        <v>0</v>
      </c>
      <c r="H335" s="188">
        <f t="shared" si="37"/>
        <v>1.3664002186240351E-2</v>
      </c>
      <c r="I335" s="188">
        <f t="shared" si="38"/>
        <v>1.1275228323373548E-2</v>
      </c>
      <c r="J335" s="182">
        <v>108</v>
      </c>
      <c r="K335" s="183">
        <v>96</v>
      </c>
      <c r="L335" s="191">
        <f t="shared" si="39"/>
        <v>12.5</v>
      </c>
      <c r="M335" s="188">
        <f t="shared" si="40"/>
        <v>3.7284449277613797E-2</v>
      </c>
      <c r="N335" s="189">
        <f t="shared" si="41"/>
        <v>3.3323266929781624E-2</v>
      </c>
    </row>
    <row r="336" spans="1:14" hidden="1" outlineLevel="1">
      <c r="A336" s="180"/>
      <c r="B336" s="190" t="s">
        <v>945</v>
      </c>
      <c r="C336" s="186">
        <f t="shared" si="35"/>
        <v>-49.489795918367349</v>
      </c>
      <c r="E336" s="182">
        <v>4</v>
      </c>
      <c r="F336" s="183">
        <v>38</v>
      </c>
      <c r="G336" s="191">
        <f t="shared" si="36"/>
        <v>-89.473684210526315</v>
      </c>
      <c r="H336" s="188">
        <f t="shared" si="37"/>
        <v>1.3664002186240351E-2</v>
      </c>
      <c r="I336" s="188">
        <f t="shared" si="38"/>
        <v>0.10711466907204871</v>
      </c>
      <c r="J336" s="182">
        <v>99</v>
      </c>
      <c r="K336" s="183">
        <v>196</v>
      </c>
      <c r="L336" s="191">
        <f t="shared" si="39"/>
        <v>-49.489795918367349</v>
      </c>
      <c r="M336" s="188">
        <f t="shared" si="40"/>
        <v>3.4177411837812643E-2</v>
      </c>
      <c r="N336" s="189">
        <f t="shared" si="41"/>
        <v>6.8035003314970824E-2</v>
      </c>
    </row>
    <row r="337" spans="1:14" hidden="1" outlineLevel="1">
      <c r="A337" s="180"/>
      <c r="B337" s="190" t="s">
        <v>1215</v>
      </c>
      <c r="C337" s="186" t="str">
        <f t="shared" si="35"/>
        <v/>
      </c>
      <c r="E337" s="182">
        <v>9</v>
      </c>
      <c r="F337" s="183">
        <v>0</v>
      </c>
      <c r="G337" s="191" t="str">
        <f t="shared" si="36"/>
        <v/>
      </c>
      <c r="H337" s="188">
        <f t="shared" si="37"/>
        <v>3.0744004919040786E-2</v>
      </c>
      <c r="I337" s="188" t="str">
        <f t="shared" si="38"/>
        <v/>
      </c>
      <c r="J337" s="182">
        <v>76</v>
      </c>
      <c r="K337" s="183">
        <v>0</v>
      </c>
      <c r="L337" s="191" t="str">
        <f t="shared" si="39"/>
        <v/>
      </c>
      <c r="M337" s="188">
        <f t="shared" si="40"/>
        <v>2.6237205047209708E-2</v>
      </c>
      <c r="N337" s="189" t="str">
        <f t="shared" si="41"/>
        <v/>
      </c>
    </row>
    <row r="338" spans="1:14" hidden="1" outlineLevel="1">
      <c r="A338" s="180"/>
      <c r="B338" s="190" t="s">
        <v>1242</v>
      </c>
      <c r="C338" s="186" t="str">
        <f t="shared" si="35"/>
        <v/>
      </c>
      <c r="E338" s="182">
        <v>6</v>
      </c>
      <c r="F338" s="183">
        <v>0</v>
      </c>
      <c r="G338" s="191" t="str">
        <f t="shared" si="36"/>
        <v/>
      </c>
      <c r="H338" s="188">
        <f t="shared" si="37"/>
        <v>2.0496003279360527E-2</v>
      </c>
      <c r="I338" s="188" t="str">
        <f t="shared" si="38"/>
        <v/>
      </c>
      <c r="J338" s="182">
        <v>58</v>
      </c>
      <c r="K338" s="183">
        <v>0</v>
      </c>
      <c r="L338" s="191" t="str">
        <f t="shared" si="39"/>
        <v/>
      </c>
      <c r="M338" s="188">
        <f t="shared" si="40"/>
        <v>2.0023130167607407E-2</v>
      </c>
      <c r="N338" s="189" t="str">
        <f t="shared" si="41"/>
        <v/>
      </c>
    </row>
    <row r="339" spans="1:14" hidden="1" outlineLevel="1">
      <c r="A339" s="180"/>
      <c r="B339" s="190" t="s">
        <v>946</v>
      </c>
      <c r="C339" s="186">
        <f t="shared" si="35"/>
        <v>-83.050847457627114</v>
      </c>
      <c r="E339" s="182">
        <v>2</v>
      </c>
      <c r="F339" s="183">
        <v>22</v>
      </c>
      <c r="G339" s="191">
        <f t="shared" si="36"/>
        <v>-90.909090909090907</v>
      </c>
      <c r="H339" s="188">
        <f t="shared" si="37"/>
        <v>6.8320010931201755E-3</v>
      </c>
      <c r="I339" s="188">
        <f t="shared" si="38"/>
        <v>6.2013755778554516E-2</v>
      </c>
      <c r="J339" s="182">
        <v>20</v>
      </c>
      <c r="K339" s="183">
        <v>118</v>
      </c>
      <c r="L339" s="191">
        <f t="shared" si="39"/>
        <v>-83.050847457627114</v>
      </c>
      <c r="M339" s="188">
        <f t="shared" si="40"/>
        <v>6.904527644002555E-3</v>
      </c>
      <c r="N339" s="189">
        <f t="shared" si="41"/>
        <v>4.0959848934523251E-2</v>
      </c>
    </row>
    <row r="340" spans="1:14" collapsed="1">
      <c r="A340" s="180" t="s">
        <v>1347</v>
      </c>
      <c r="B340" s="179" t="s">
        <v>280</v>
      </c>
      <c r="C340" s="186">
        <f t="shared" si="35"/>
        <v>24.734982332155479</v>
      </c>
      <c r="E340" s="182">
        <v>16</v>
      </c>
      <c r="F340" s="183">
        <v>45</v>
      </c>
      <c r="G340" s="191">
        <f t="shared" si="36"/>
        <v>-64.444444444444443</v>
      </c>
      <c r="H340" s="188">
        <f t="shared" si="37"/>
        <v>5.4656008744961404E-2</v>
      </c>
      <c r="I340" s="188">
        <f t="shared" si="38"/>
        <v>0.12684631863795243</v>
      </c>
      <c r="J340" s="182">
        <v>706</v>
      </c>
      <c r="K340" s="183">
        <v>566</v>
      </c>
      <c r="L340" s="191">
        <f t="shared" si="39"/>
        <v>24.734982332155479</v>
      </c>
      <c r="M340" s="188">
        <f t="shared" si="40"/>
        <v>0.2437298258332902</v>
      </c>
      <c r="N340" s="189">
        <f t="shared" si="41"/>
        <v>0.19646842794017083</v>
      </c>
    </row>
    <row r="341" spans="1:14" hidden="1" outlineLevel="1">
      <c r="A341" s="180"/>
      <c r="B341" s="190" t="s">
        <v>952</v>
      </c>
      <c r="C341" s="186">
        <f t="shared" si="35"/>
        <v>15.613382899628252</v>
      </c>
      <c r="E341" s="182">
        <v>5</v>
      </c>
      <c r="F341" s="183">
        <v>17</v>
      </c>
      <c r="G341" s="191">
        <f t="shared" si="36"/>
        <v>-70.588235294117652</v>
      </c>
      <c r="H341" s="188">
        <f t="shared" si="37"/>
        <v>1.7080002732800435E-2</v>
      </c>
      <c r="I341" s="188">
        <f t="shared" si="38"/>
        <v>4.7919720374337581E-2</v>
      </c>
      <c r="J341" s="182">
        <v>311</v>
      </c>
      <c r="K341" s="183">
        <v>269</v>
      </c>
      <c r="L341" s="191">
        <f t="shared" si="39"/>
        <v>15.613382899628252</v>
      </c>
      <c r="M341" s="188">
        <f t="shared" si="40"/>
        <v>0.10736540486423972</v>
      </c>
      <c r="N341" s="189">
        <f t="shared" si="41"/>
        <v>9.3374570876158941E-2</v>
      </c>
    </row>
    <row r="342" spans="1:14" hidden="1" outlineLevel="1">
      <c r="A342" s="180"/>
      <c r="B342" s="190" t="s">
        <v>951</v>
      </c>
      <c r="C342" s="186">
        <f t="shared" si="35"/>
        <v>0.67340067340067333</v>
      </c>
      <c r="E342" s="182">
        <v>9</v>
      </c>
      <c r="F342" s="183">
        <v>28</v>
      </c>
      <c r="G342" s="191">
        <f t="shared" si="36"/>
        <v>-67.857142857142861</v>
      </c>
      <c r="H342" s="188">
        <f t="shared" si="37"/>
        <v>3.0744004919040786E-2</v>
      </c>
      <c r="I342" s="188">
        <f t="shared" si="38"/>
        <v>7.8926598263614839E-2</v>
      </c>
      <c r="J342" s="182">
        <v>299</v>
      </c>
      <c r="K342" s="183">
        <v>297</v>
      </c>
      <c r="L342" s="191">
        <f t="shared" si="39"/>
        <v>0.67340067340067333</v>
      </c>
      <c r="M342" s="188">
        <f t="shared" si="40"/>
        <v>0.10322268827783819</v>
      </c>
      <c r="N342" s="189">
        <f t="shared" si="41"/>
        <v>0.1030938570640119</v>
      </c>
    </row>
    <row r="343" spans="1:14" hidden="1" outlineLevel="1">
      <c r="A343" s="180"/>
      <c r="B343" s="190" t="s">
        <v>1141</v>
      </c>
      <c r="C343" s="186" t="str">
        <f t="shared" si="35"/>
        <v/>
      </c>
      <c r="E343" s="182">
        <v>2</v>
      </c>
      <c r="F343" s="183">
        <v>0</v>
      </c>
      <c r="G343" s="191" t="str">
        <f t="shared" si="36"/>
        <v/>
      </c>
      <c r="H343" s="188">
        <f t="shared" si="37"/>
        <v>6.8320010931201755E-3</v>
      </c>
      <c r="I343" s="188" t="str">
        <f t="shared" si="38"/>
        <v/>
      </c>
      <c r="J343" s="182">
        <v>96</v>
      </c>
      <c r="K343" s="183">
        <v>0</v>
      </c>
      <c r="L343" s="191" t="str">
        <f t="shared" si="39"/>
        <v/>
      </c>
      <c r="M343" s="188">
        <f t="shared" si="40"/>
        <v>3.3141732691212261E-2</v>
      </c>
      <c r="N343" s="189" t="str">
        <f t="shared" si="41"/>
        <v/>
      </c>
    </row>
    <row r="344" spans="1:14" collapsed="1">
      <c r="A344" s="180" t="s">
        <v>1348</v>
      </c>
      <c r="B344" s="179" t="s">
        <v>1043</v>
      </c>
      <c r="C344" s="186">
        <f t="shared" si="35"/>
        <v>380.13698630136986</v>
      </c>
      <c r="E344" s="182">
        <v>170</v>
      </c>
      <c r="F344" s="183">
        <v>146</v>
      </c>
      <c r="G344" s="191">
        <f t="shared" si="36"/>
        <v>16.43835616438356</v>
      </c>
      <c r="H344" s="188">
        <f t="shared" si="37"/>
        <v>0.58072009291521487</v>
      </c>
      <c r="I344" s="188">
        <f t="shared" si="38"/>
        <v>0.41154583380313448</v>
      </c>
      <c r="J344" s="182">
        <v>701</v>
      </c>
      <c r="K344" s="183">
        <v>146</v>
      </c>
      <c r="L344" s="191">
        <f t="shared" si="39"/>
        <v>380.13698630136986</v>
      </c>
      <c r="M344" s="188">
        <f t="shared" si="40"/>
        <v>0.24200369392228957</v>
      </c>
      <c r="N344" s="189">
        <f t="shared" si="41"/>
        <v>5.067913512237622E-2</v>
      </c>
    </row>
    <row r="345" spans="1:14" hidden="1" outlineLevel="1">
      <c r="A345" s="180"/>
      <c r="B345" s="190" t="s">
        <v>1044</v>
      </c>
      <c r="C345" s="186">
        <f t="shared" si="35"/>
        <v>380.13698630136986</v>
      </c>
      <c r="E345" s="182">
        <v>170</v>
      </c>
      <c r="F345" s="183">
        <v>146</v>
      </c>
      <c r="G345" s="191">
        <f t="shared" si="36"/>
        <v>16.43835616438356</v>
      </c>
      <c r="H345" s="188">
        <f t="shared" si="37"/>
        <v>0.58072009291521487</v>
      </c>
      <c r="I345" s="188">
        <f t="shared" si="38"/>
        <v>0.41154583380313448</v>
      </c>
      <c r="J345" s="182">
        <v>701</v>
      </c>
      <c r="K345" s="183">
        <v>146</v>
      </c>
      <c r="L345" s="191">
        <f t="shared" si="39"/>
        <v>380.13698630136986</v>
      </c>
      <c r="M345" s="188">
        <f t="shared" si="40"/>
        <v>0.24200369392228957</v>
      </c>
      <c r="N345" s="189">
        <f t="shared" si="41"/>
        <v>5.067913512237622E-2</v>
      </c>
    </row>
    <row r="346" spans="1:14" collapsed="1">
      <c r="A346" s="180" t="s">
        <v>1349</v>
      </c>
      <c r="B346" s="179" t="s">
        <v>296</v>
      </c>
      <c r="C346" s="186">
        <f t="shared" si="35"/>
        <v>-44.483985765124558</v>
      </c>
      <c r="E346" s="182">
        <v>2</v>
      </c>
      <c r="F346" s="183">
        <v>79</v>
      </c>
      <c r="G346" s="191">
        <f t="shared" si="36"/>
        <v>-97.468354430379748</v>
      </c>
      <c r="H346" s="188">
        <f t="shared" si="37"/>
        <v>6.8320010931201755E-3</v>
      </c>
      <c r="I346" s="188">
        <f t="shared" si="38"/>
        <v>0.22268575938662757</v>
      </c>
      <c r="J346" s="182">
        <v>312</v>
      </c>
      <c r="K346" s="183">
        <v>562</v>
      </c>
      <c r="L346" s="191">
        <f t="shared" si="39"/>
        <v>-44.483985765124558</v>
      </c>
      <c r="M346" s="188">
        <f t="shared" si="40"/>
        <v>0.10771063124643986</v>
      </c>
      <c r="N346" s="189">
        <f t="shared" si="41"/>
        <v>0.19507995848476328</v>
      </c>
    </row>
    <row r="347" spans="1:14" hidden="1" outlineLevel="1">
      <c r="A347" s="180"/>
      <c r="B347" s="190">
        <v>4</v>
      </c>
      <c r="C347" s="186">
        <f t="shared" si="35"/>
        <v>396.55172413793105</v>
      </c>
      <c r="E347" s="182">
        <v>2</v>
      </c>
      <c r="F347" s="183">
        <v>9</v>
      </c>
      <c r="G347" s="191">
        <f t="shared" si="36"/>
        <v>-77.777777777777786</v>
      </c>
      <c r="H347" s="188">
        <f t="shared" si="37"/>
        <v>6.8320010931201755E-3</v>
      </c>
      <c r="I347" s="188">
        <f t="shared" si="38"/>
        <v>2.536926372759048E-2</v>
      </c>
      <c r="J347" s="182">
        <v>144</v>
      </c>
      <c r="K347" s="183">
        <v>29</v>
      </c>
      <c r="L347" s="191">
        <f t="shared" si="39"/>
        <v>396.55172413793105</v>
      </c>
      <c r="M347" s="188">
        <f t="shared" si="40"/>
        <v>4.9712599036818392E-2</v>
      </c>
      <c r="N347" s="189">
        <f t="shared" si="41"/>
        <v>1.0066403551704866E-2</v>
      </c>
    </row>
    <row r="348" spans="1:14" hidden="1" outlineLevel="1">
      <c r="A348" s="180"/>
      <c r="B348" s="190">
        <v>3</v>
      </c>
      <c r="C348" s="186">
        <f t="shared" si="35"/>
        <v>-46.078431372549019</v>
      </c>
      <c r="E348" s="182">
        <v>0</v>
      </c>
      <c r="F348" s="183">
        <v>21</v>
      </c>
      <c r="G348" s="191">
        <f t="shared" si="36"/>
        <v>-100</v>
      </c>
      <c r="H348" s="188" t="str">
        <f t="shared" si="37"/>
        <v/>
      </c>
      <c r="I348" s="188">
        <f t="shared" si="38"/>
        <v>5.9194948697711136E-2</v>
      </c>
      <c r="J348" s="182">
        <v>110</v>
      </c>
      <c r="K348" s="183">
        <v>204</v>
      </c>
      <c r="L348" s="191">
        <f t="shared" si="39"/>
        <v>-46.078431372549019</v>
      </c>
      <c r="M348" s="188">
        <f t="shared" si="40"/>
        <v>3.797490204201405E-2</v>
      </c>
      <c r="N348" s="189">
        <f t="shared" si="41"/>
        <v>7.0811942225785962E-2</v>
      </c>
    </row>
    <row r="349" spans="1:14" hidden="1" outlineLevel="1">
      <c r="A349" s="180"/>
      <c r="B349" s="190">
        <v>7</v>
      </c>
      <c r="C349" s="186">
        <f t="shared" si="35"/>
        <v>-82.370820668693014</v>
      </c>
      <c r="E349" s="182">
        <v>0</v>
      </c>
      <c r="F349" s="183">
        <v>49</v>
      </c>
      <c r="G349" s="191">
        <f t="shared" si="36"/>
        <v>-100</v>
      </c>
      <c r="H349" s="188" t="str">
        <f t="shared" si="37"/>
        <v/>
      </c>
      <c r="I349" s="188">
        <f t="shared" si="38"/>
        <v>0.13812154696132595</v>
      </c>
      <c r="J349" s="182">
        <v>58</v>
      </c>
      <c r="K349" s="183">
        <v>329</v>
      </c>
      <c r="L349" s="191">
        <f t="shared" si="39"/>
        <v>-82.370820668693014</v>
      </c>
      <c r="M349" s="188">
        <f t="shared" si="40"/>
        <v>2.0023130167607407E-2</v>
      </c>
      <c r="N349" s="189">
        <f t="shared" si="41"/>
        <v>0.11420161270727246</v>
      </c>
    </row>
    <row r="350" spans="1:14" collapsed="1">
      <c r="A350" s="180" t="s">
        <v>1350</v>
      </c>
      <c r="B350" s="179" t="s">
        <v>274</v>
      </c>
      <c r="C350" s="186">
        <f t="shared" si="35"/>
        <v>-31.862745098039213</v>
      </c>
      <c r="E350" s="182">
        <v>16</v>
      </c>
      <c r="F350" s="183">
        <v>27</v>
      </c>
      <c r="G350" s="191">
        <f t="shared" si="36"/>
        <v>-40.74074074074074</v>
      </c>
      <c r="H350" s="188">
        <f t="shared" si="37"/>
        <v>5.4656008744961404E-2</v>
      </c>
      <c r="I350" s="188">
        <f t="shared" si="38"/>
        <v>7.6107791182771459E-2</v>
      </c>
      <c r="J350" s="182">
        <v>278</v>
      </c>
      <c r="K350" s="183">
        <v>408</v>
      </c>
      <c r="L350" s="191">
        <f t="shared" si="39"/>
        <v>-31.862745098039213</v>
      </c>
      <c r="M350" s="188">
        <f t="shared" si="40"/>
        <v>9.5972934251635514E-2</v>
      </c>
      <c r="N350" s="189">
        <f t="shared" si="41"/>
        <v>0.14162388445157192</v>
      </c>
    </row>
    <row r="351" spans="1:14" hidden="1" outlineLevel="1">
      <c r="A351" s="180"/>
      <c r="B351" s="190" t="s">
        <v>953</v>
      </c>
      <c r="C351" s="186">
        <f t="shared" si="35"/>
        <v>-10.135135135135135</v>
      </c>
      <c r="E351" s="182">
        <v>6</v>
      </c>
      <c r="F351" s="183">
        <v>18</v>
      </c>
      <c r="G351" s="191">
        <f t="shared" si="36"/>
        <v>-66.666666666666657</v>
      </c>
      <c r="H351" s="188">
        <f t="shared" si="37"/>
        <v>2.0496003279360527E-2</v>
      </c>
      <c r="I351" s="188">
        <f t="shared" si="38"/>
        <v>5.0738527455180961E-2</v>
      </c>
      <c r="J351" s="182">
        <v>133</v>
      </c>
      <c r="K351" s="183">
        <v>148</v>
      </c>
      <c r="L351" s="191">
        <f t="shared" si="39"/>
        <v>-10.135135135135135</v>
      </c>
      <c r="M351" s="188">
        <f t="shared" si="40"/>
        <v>4.5915108832616985E-2</v>
      </c>
      <c r="N351" s="189">
        <f t="shared" si="41"/>
        <v>5.1373369850080008E-2</v>
      </c>
    </row>
    <row r="352" spans="1:14" hidden="1" outlineLevel="1">
      <c r="A352" s="180"/>
      <c r="B352" s="190" t="s">
        <v>954</v>
      </c>
      <c r="C352" s="186">
        <f t="shared" si="35"/>
        <v>-53.900709219858157</v>
      </c>
      <c r="E352" s="182">
        <v>4</v>
      </c>
      <c r="F352" s="183">
        <v>3</v>
      </c>
      <c r="G352" s="191">
        <f t="shared" si="36"/>
        <v>33.333333333333329</v>
      </c>
      <c r="H352" s="188">
        <f t="shared" si="37"/>
        <v>1.3664002186240351E-2</v>
      </c>
      <c r="I352" s="188">
        <f t="shared" si="38"/>
        <v>8.4564212425301613E-3</v>
      </c>
      <c r="J352" s="182">
        <v>65</v>
      </c>
      <c r="K352" s="183">
        <v>141</v>
      </c>
      <c r="L352" s="191">
        <f t="shared" si="39"/>
        <v>-53.900709219858157</v>
      </c>
      <c r="M352" s="188">
        <f t="shared" si="40"/>
        <v>2.2439714843008302E-2</v>
      </c>
      <c r="N352" s="189">
        <f t="shared" si="41"/>
        <v>4.8943548303116764E-2</v>
      </c>
    </row>
    <row r="353" spans="1:14" hidden="1" outlineLevel="1">
      <c r="A353" s="180"/>
      <c r="B353" s="190" t="s">
        <v>956</v>
      </c>
      <c r="C353" s="186">
        <f t="shared" si="35"/>
        <v>0</v>
      </c>
      <c r="E353" s="182">
        <v>2</v>
      </c>
      <c r="F353" s="183">
        <v>4</v>
      </c>
      <c r="G353" s="191">
        <f t="shared" si="36"/>
        <v>-50</v>
      </c>
      <c r="H353" s="188">
        <f t="shared" si="37"/>
        <v>6.8320010931201755E-3</v>
      </c>
      <c r="I353" s="188">
        <f t="shared" si="38"/>
        <v>1.1275228323373548E-2</v>
      </c>
      <c r="J353" s="182">
        <v>51</v>
      </c>
      <c r="K353" s="183">
        <v>51</v>
      </c>
      <c r="L353" s="191">
        <f t="shared" si="39"/>
        <v>0</v>
      </c>
      <c r="M353" s="188">
        <f t="shared" si="40"/>
        <v>1.7606545492206516E-2</v>
      </c>
      <c r="N353" s="189">
        <f t="shared" si="41"/>
        <v>1.7702985556446491E-2</v>
      </c>
    </row>
    <row r="354" spans="1:14" hidden="1" outlineLevel="1">
      <c r="A354" s="180"/>
      <c r="B354" s="190" t="s">
        <v>955</v>
      </c>
      <c r="C354" s="186">
        <f t="shared" si="35"/>
        <v>-60.294117647058819</v>
      </c>
      <c r="E354" s="182">
        <v>4</v>
      </c>
      <c r="F354" s="183">
        <v>2</v>
      </c>
      <c r="G354" s="191">
        <f t="shared" si="36"/>
        <v>100</v>
      </c>
      <c r="H354" s="188">
        <f t="shared" si="37"/>
        <v>1.3664002186240351E-2</v>
      </c>
      <c r="I354" s="188">
        <f t="shared" si="38"/>
        <v>5.6376141616867742E-3</v>
      </c>
      <c r="J354" s="182">
        <v>27</v>
      </c>
      <c r="K354" s="183">
        <v>68</v>
      </c>
      <c r="L354" s="191">
        <f t="shared" si="39"/>
        <v>-60.294117647058819</v>
      </c>
      <c r="M354" s="188">
        <f t="shared" si="40"/>
        <v>9.3211123194034493E-3</v>
      </c>
      <c r="N354" s="189">
        <f t="shared" si="41"/>
        <v>2.3603980741928651E-2</v>
      </c>
    </row>
    <row r="355" spans="1:14" hidden="1" outlineLevel="1">
      <c r="A355" s="180"/>
      <c r="B355" s="190" t="s">
        <v>1195</v>
      </c>
      <c r="C355" s="186" t="str">
        <f t="shared" si="35"/>
        <v/>
      </c>
      <c r="E355" s="182">
        <v>0</v>
      </c>
      <c r="F355" s="183">
        <v>0</v>
      </c>
      <c r="G355" s="191" t="str">
        <f t="shared" si="36"/>
        <v/>
      </c>
      <c r="H355" s="188" t="str">
        <f t="shared" si="37"/>
        <v/>
      </c>
      <c r="I355" s="188" t="str">
        <f t="shared" si="38"/>
        <v/>
      </c>
      <c r="J355" s="182">
        <v>2</v>
      </c>
      <c r="K355" s="183">
        <v>0</v>
      </c>
      <c r="L355" s="191" t="str">
        <f t="shared" si="39"/>
        <v/>
      </c>
      <c r="M355" s="188">
        <f t="shared" si="40"/>
        <v>6.9045276440025548E-4</v>
      </c>
      <c r="N355" s="189" t="str">
        <f t="shared" si="41"/>
        <v/>
      </c>
    </row>
    <row r="356" spans="1:14" collapsed="1">
      <c r="A356" s="180" t="s">
        <v>1351</v>
      </c>
      <c r="B356" s="179" t="s">
        <v>1158</v>
      </c>
      <c r="C356" s="186">
        <f t="shared" si="35"/>
        <v>2250</v>
      </c>
      <c r="E356" s="182">
        <v>73</v>
      </c>
      <c r="F356" s="183">
        <v>0</v>
      </c>
      <c r="G356" s="191" t="str">
        <f t="shared" si="36"/>
        <v/>
      </c>
      <c r="H356" s="188">
        <f t="shared" si="37"/>
        <v>0.2493680398988864</v>
      </c>
      <c r="I356" s="188" t="str">
        <f t="shared" si="38"/>
        <v/>
      </c>
      <c r="J356" s="182">
        <v>235</v>
      </c>
      <c r="K356" s="183">
        <v>10</v>
      </c>
      <c r="L356" s="191">
        <f t="shared" si="39"/>
        <v>2250</v>
      </c>
      <c r="M356" s="188">
        <f t="shared" si="40"/>
        <v>8.1128199817030011E-2</v>
      </c>
      <c r="N356" s="189">
        <f t="shared" si="41"/>
        <v>3.4711736385189193E-3</v>
      </c>
    </row>
    <row r="357" spans="1:14" hidden="1" outlineLevel="1">
      <c r="A357" s="180"/>
      <c r="B357" s="190" t="s">
        <v>1261</v>
      </c>
      <c r="C357" s="186" t="str">
        <f t="shared" si="35"/>
        <v/>
      </c>
      <c r="E357" s="182">
        <v>69</v>
      </c>
      <c r="F357" s="183">
        <v>0</v>
      </c>
      <c r="G357" s="191" t="str">
        <f t="shared" si="36"/>
        <v/>
      </c>
      <c r="H357" s="188">
        <f t="shared" si="37"/>
        <v>0.23570403771264603</v>
      </c>
      <c r="I357" s="188" t="str">
        <f t="shared" si="38"/>
        <v/>
      </c>
      <c r="J357" s="182">
        <v>190</v>
      </c>
      <c r="K357" s="183">
        <v>0</v>
      </c>
      <c r="L357" s="191" t="str">
        <f t="shared" si="39"/>
        <v/>
      </c>
      <c r="M357" s="188">
        <f t="shared" si="40"/>
        <v>6.5593012618024263E-2</v>
      </c>
      <c r="N357" s="189" t="str">
        <f t="shared" si="41"/>
        <v/>
      </c>
    </row>
    <row r="358" spans="1:14" hidden="1" outlineLevel="1">
      <c r="A358" s="180"/>
      <c r="B358" s="190" t="s">
        <v>1169</v>
      </c>
      <c r="C358" s="186">
        <f t="shared" si="35"/>
        <v>1400</v>
      </c>
      <c r="E358" s="182">
        <v>4</v>
      </c>
      <c r="F358" s="183">
        <v>0</v>
      </c>
      <c r="G358" s="191" t="str">
        <f t="shared" si="36"/>
        <v/>
      </c>
      <c r="H358" s="188">
        <f t="shared" si="37"/>
        <v>1.3664002186240351E-2</v>
      </c>
      <c r="I358" s="188" t="str">
        <f t="shared" si="38"/>
        <v/>
      </c>
      <c r="J358" s="182">
        <v>45</v>
      </c>
      <c r="K358" s="183">
        <v>3</v>
      </c>
      <c r="L358" s="191">
        <f t="shared" si="39"/>
        <v>1400</v>
      </c>
      <c r="M358" s="188">
        <f t="shared" si="40"/>
        <v>1.5535187199005747E-2</v>
      </c>
      <c r="N358" s="189">
        <f t="shared" si="41"/>
        <v>1.0413520915556757E-3</v>
      </c>
    </row>
    <row r="359" spans="1:14" hidden="1" outlineLevel="1">
      <c r="A359" s="180"/>
      <c r="B359" s="190" t="s">
        <v>1168</v>
      </c>
      <c r="C359" s="186">
        <f t="shared" si="35"/>
        <v>-100</v>
      </c>
      <c r="E359" s="182">
        <v>0</v>
      </c>
      <c r="F359" s="183">
        <v>0</v>
      </c>
      <c r="G359" s="191" t="str">
        <f t="shared" si="36"/>
        <v/>
      </c>
      <c r="H359" s="188" t="str">
        <f t="shared" si="37"/>
        <v/>
      </c>
      <c r="I359" s="188" t="str">
        <f t="shared" si="38"/>
        <v/>
      </c>
      <c r="J359" s="182">
        <v>0</v>
      </c>
      <c r="K359" s="183">
        <v>7</v>
      </c>
      <c r="L359" s="191">
        <f t="shared" si="39"/>
        <v>-100</v>
      </c>
      <c r="M359" s="188" t="str">
        <f t="shared" si="40"/>
        <v/>
      </c>
      <c r="N359" s="189">
        <f t="shared" si="41"/>
        <v>2.4298215469632438E-3</v>
      </c>
    </row>
    <row r="360" spans="1:14" collapsed="1">
      <c r="A360" s="180" t="s">
        <v>1352</v>
      </c>
      <c r="B360" s="179" t="s">
        <v>258</v>
      </c>
      <c r="C360" s="186">
        <f t="shared" si="35"/>
        <v>164.77272727272728</v>
      </c>
      <c r="E360" s="182">
        <v>6</v>
      </c>
      <c r="F360" s="183">
        <v>18</v>
      </c>
      <c r="G360" s="191">
        <f t="shared" si="36"/>
        <v>-66.666666666666657</v>
      </c>
      <c r="H360" s="188">
        <f t="shared" si="37"/>
        <v>2.0496003279360527E-2</v>
      </c>
      <c r="I360" s="188">
        <f t="shared" si="38"/>
        <v>5.0738527455180961E-2</v>
      </c>
      <c r="J360" s="182">
        <v>233</v>
      </c>
      <c r="K360" s="183">
        <v>88</v>
      </c>
      <c r="L360" s="191">
        <f t="shared" si="39"/>
        <v>164.77272727272728</v>
      </c>
      <c r="M360" s="188">
        <f t="shared" si="40"/>
        <v>8.0437747052629766E-2</v>
      </c>
      <c r="N360" s="189">
        <f t="shared" si="41"/>
        <v>3.0546328018966493E-2</v>
      </c>
    </row>
    <row r="361" spans="1:14" hidden="1" outlineLevel="1">
      <c r="A361" s="180"/>
      <c r="B361" s="190" t="s">
        <v>1111</v>
      </c>
      <c r="C361" s="186">
        <f t="shared" si="35"/>
        <v>665</v>
      </c>
      <c r="E361" s="182">
        <v>3</v>
      </c>
      <c r="F361" s="183">
        <v>2</v>
      </c>
      <c r="G361" s="191">
        <f t="shared" si="36"/>
        <v>50</v>
      </c>
      <c r="H361" s="188">
        <f t="shared" si="37"/>
        <v>1.0248001639680263E-2</v>
      </c>
      <c r="I361" s="188">
        <f t="shared" si="38"/>
        <v>5.6376141616867742E-3</v>
      </c>
      <c r="J361" s="182">
        <v>153</v>
      </c>
      <c r="K361" s="183">
        <v>20</v>
      </c>
      <c r="L361" s="191">
        <f t="shared" si="39"/>
        <v>665</v>
      </c>
      <c r="M361" s="188">
        <f t="shared" si="40"/>
        <v>5.2819636476619539E-2</v>
      </c>
      <c r="N361" s="189">
        <f t="shared" si="41"/>
        <v>6.9423472770378386E-3</v>
      </c>
    </row>
    <row r="362" spans="1:14" hidden="1" outlineLevel="1">
      <c r="A362" s="180"/>
      <c r="B362" s="190" t="s">
        <v>966</v>
      </c>
      <c r="C362" s="186">
        <f t="shared" si="35"/>
        <v>24.242424242424242</v>
      </c>
      <c r="E362" s="182">
        <v>1</v>
      </c>
      <c r="F362" s="183">
        <v>9</v>
      </c>
      <c r="G362" s="191">
        <f t="shared" si="36"/>
        <v>-88.888888888888886</v>
      </c>
      <c r="H362" s="188">
        <f t="shared" si="37"/>
        <v>3.4160005465600878E-3</v>
      </c>
      <c r="I362" s="188">
        <f t="shared" si="38"/>
        <v>2.536926372759048E-2</v>
      </c>
      <c r="J362" s="182">
        <v>41</v>
      </c>
      <c r="K362" s="183">
        <v>33</v>
      </c>
      <c r="L362" s="191">
        <f t="shared" si="39"/>
        <v>24.242424242424242</v>
      </c>
      <c r="M362" s="188">
        <f t="shared" si="40"/>
        <v>1.4154281670205238E-2</v>
      </c>
      <c r="N362" s="189">
        <f t="shared" si="41"/>
        <v>1.1454873007112435E-2</v>
      </c>
    </row>
    <row r="363" spans="1:14" hidden="1" outlineLevel="1">
      <c r="A363" s="180"/>
      <c r="B363" s="190" t="s">
        <v>1110</v>
      </c>
      <c r="C363" s="186">
        <f t="shared" si="35"/>
        <v>11.428571428571429</v>
      </c>
      <c r="E363" s="182">
        <v>2</v>
      </c>
      <c r="F363" s="183">
        <v>7</v>
      </c>
      <c r="G363" s="191">
        <f t="shared" si="36"/>
        <v>-71.428571428571431</v>
      </c>
      <c r="H363" s="188">
        <f t="shared" si="37"/>
        <v>6.8320010931201755E-3</v>
      </c>
      <c r="I363" s="188">
        <f t="shared" si="38"/>
        <v>1.973164956590371E-2</v>
      </c>
      <c r="J363" s="182">
        <v>39</v>
      </c>
      <c r="K363" s="183">
        <v>35</v>
      </c>
      <c r="L363" s="191">
        <f t="shared" si="39"/>
        <v>11.428571428571429</v>
      </c>
      <c r="M363" s="188">
        <f t="shared" si="40"/>
        <v>1.3463828905804982E-2</v>
      </c>
      <c r="N363" s="189">
        <f t="shared" si="41"/>
        <v>1.2149107734816218E-2</v>
      </c>
    </row>
    <row r="364" spans="1:14" collapsed="1">
      <c r="A364" s="180" t="s">
        <v>1353</v>
      </c>
      <c r="B364" s="179" t="s">
        <v>1061</v>
      </c>
      <c r="C364" s="186" t="str">
        <f t="shared" si="35"/>
        <v/>
      </c>
      <c r="E364" s="182">
        <v>8</v>
      </c>
      <c r="F364" s="183">
        <v>0</v>
      </c>
      <c r="G364" s="191" t="str">
        <f t="shared" si="36"/>
        <v/>
      </c>
      <c r="H364" s="188">
        <f t="shared" si="37"/>
        <v>2.7328004372480702E-2</v>
      </c>
      <c r="I364" s="188" t="str">
        <f t="shared" si="38"/>
        <v/>
      </c>
      <c r="J364" s="182">
        <v>201</v>
      </c>
      <c r="K364" s="183">
        <v>0</v>
      </c>
      <c r="L364" s="191" t="str">
        <f t="shared" si="39"/>
        <v/>
      </c>
      <c r="M364" s="188">
        <f t="shared" si="40"/>
        <v>6.9390502822225669E-2</v>
      </c>
      <c r="N364" s="189" t="str">
        <f t="shared" si="41"/>
        <v/>
      </c>
    </row>
    <row r="365" spans="1:14" hidden="1" outlineLevel="1">
      <c r="A365" s="180"/>
      <c r="B365" s="190" t="s">
        <v>1071</v>
      </c>
      <c r="C365" s="186" t="str">
        <f t="shared" si="35"/>
        <v/>
      </c>
      <c r="E365" s="182">
        <v>2</v>
      </c>
      <c r="F365" s="183">
        <v>0</v>
      </c>
      <c r="G365" s="191" t="str">
        <f t="shared" si="36"/>
        <v/>
      </c>
      <c r="H365" s="188">
        <f t="shared" si="37"/>
        <v>6.8320010931201755E-3</v>
      </c>
      <c r="I365" s="188" t="str">
        <f t="shared" si="38"/>
        <v/>
      </c>
      <c r="J365" s="182">
        <v>98</v>
      </c>
      <c r="K365" s="183">
        <v>0</v>
      </c>
      <c r="L365" s="191" t="str">
        <f t="shared" si="39"/>
        <v/>
      </c>
      <c r="M365" s="188">
        <f t="shared" si="40"/>
        <v>3.3832185455612521E-2</v>
      </c>
      <c r="N365" s="189" t="str">
        <f t="shared" si="41"/>
        <v/>
      </c>
    </row>
    <row r="366" spans="1:14" hidden="1" outlineLevel="1">
      <c r="A366" s="180"/>
      <c r="B366" s="190" t="s">
        <v>1142</v>
      </c>
      <c r="C366" s="186" t="str">
        <f t="shared" si="35"/>
        <v/>
      </c>
      <c r="E366" s="182">
        <v>5</v>
      </c>
      <c r="F366" s="183">
        <v>0</v>
      </c>
      <c r="G366" s="191" t="str">
        <f t="shared" si="36"/>
        <v/>
      </c>
      <c r="H366" s="188">
        <f t="shared" si="37"/>
        <v>1.7080002732800435E-2</v>
      </c>
      <c r="I366" s="188" t="str">
        <f t="shared" si="38"/>
        <v/>
      </c>
      <c r="J366" s="182">
        <v>53</v>
      </c>
      <c r="K366" s="183">
        <v>0</v>
      </c>
      <c r="L366" s="191" t="str">
        <f t="shared" si="39"/>
        <v/>
      </c>
      <c r="M366" s="188">
        <f t="shared" si="40"/>
        <v>1.8296998256606772E-2</v>
      </c>
      <c r="N366" s="189" t="str">
        <f t="shared" si="41"/>
        <v/>
      </c>
    </row>
    <row r="367" spans="1:14" hidden="1" outlineLevel="1">
      <c r="A367" s="180"/>
      <c r="B367" s="190" t="s">
        <v>1112</v>
      </c>
      <c r="C367" s="186" t="str">
        <f t="shared" si="35"/>
        <v/>
      </c>
      <c r="E367" s="182">
        <v>0</v>
      </c>
      <c r="F367" s="183">
        <v>0</v>
      </c>
      <c r="G367" s="191" t="str">
        <f t="shared" si="36"/>
        <v/>
      </c>
      <c r="H367" s="188" t="str">
        <f t="shared" si="37"/>
        <v/>
      </c>
      <c r="I367" s="188" t="str">
        <f t="shared" si="38"/>
        <v/>
      </c>
      <c r="J367" s="182">
        <v>44</v>
      </c>
      <c r="K367" s="183">
        <v>0</v>
      </c>
      <c r="L367" s="191" t="str">
        <f t="shared" si="39"/>
        <v/>
      </c>
      <c r="M367" s="188">
        <f t="shared" si="40"/>
        <v>1.5189960816805622E-2</v>
      </c>
      <c r="N367" s="189" t="str">
        <f t="shared" si="41"/>
        <v/>
      </c>
    </row>
    <row r="368" spans="1:14" hidden="1" outlineLevel="1">
      <c r="A368" s="180"/>
      <c r="B368" s="190" t="s">
        <v>1292</v>
      </c>
      <c r="C368" s="186" t="str">
        <f t="shared" si="35"/>
        <v/>
      </c>
      <c r="E368" s="182">
        <v>1</v>
      </c>
      <c r="F368" s="183">
        <v>0</v>
      </c>
      <c r="G368" s="191" t="str">
        <f t="shared" si="36"/>
        <v/>
      </c>
      <c r="H368" s="188">
        <f t="shared" si="37"/>
        <v>3.4160005465600878E-3</v>
      </c>
      <c r="I368" s="188" t="str">
        <f t="shared" si="38"/>
        <v/>
      </c>
      <c r="J368" s="182">
        <v>6</v>
      </c>
      <c r="K368" s="183">
        <v>0</v>
      </c>
      <c r="L368" s="191" t="str">
        <f t="shared" si="39"/>
        <v/>
      </c>
      <c r="M368" s="188">
        <f t="shared" si="40"/>
        <v>2.0713582932007663E-3</v>
      </c>
      <c r="N368" s="189" t="str">
        <f t="shared" si="41"/>
        <v/>
      </c>
    </row>
    <row r="369" spans="1:14" collapsed="1">
      <c r="A369" s="180" t="s">
        <v>1354</v>
      </c>
      <c r="B369" s="179" t="s">
        <v>271</v>
      </c>
      <c r="C369" s="186">
        <f t="shared" si="35"/>
        <v>-58.720930232558146</v>
      </c>
      <c r="E369" s="182">
        <v>5</v>
      </c>
      <c r="F369" s="183">
        <v>9</v>
      </c>
      <c r="G369" s="191">
        <f t="shared" si="36"/>
        <v>-44.444444444444443</v>
      </c>
      <c r="H369" s="188">
        <f t="shared" si="37"/>
        <v>1.7080002732800435E-2</v>
      </c>
      <c r="I369" s="188">
        <f t="shared" si="38"/>
        <v>2.536926372759048E-2</v>
      </c>
      <c r="J369" s="182">
        <v>142</v>
      </c>
      <c r="K369" s="183">
        <v>344</v>
      </c>
      <c r="L369" s="191">
        <f t="shared" si="39"/>
        <v>-58.720930232558146</v>
      </c>
      <c r="M369" s="188">
        <f t="shared" si="40"/>
        <v>4.9022146272418132E-2</v>
      </c>
      <c r="N369" s="189">
        <f t="shared" si="41"/>
        <v>0.11940837316505083</v>
      </c>
    </row>
    <row r="370" spans="1:14" hidden="1" outlineLevel="1">
      <c r="A370" s="180"/>
      <c r="B370" s="190" t="s">
        <v>957</v>
      </c>
      <c r="C370" s="186">
        <f t="shared" si="35"/>
        <v>-60</v>
      </c>
      <c r="E370" s="182">
        <v>2</v>
      </c>
      <c r="F370" s="183">
        <v>1</v>
      </c>
      <c r="G370" s="191">
        <f t="shared" si="36"/>
        <v>100</v>
      </c>
      <c r="H370" s="188">
        <f t="shared" si="37"/>
        <v>6.8320010931201755E-3</v>
      </c>
      <c r="I370" s="188">
        <f t="shared" si="38"/>
        <v>2.8188070808433871E-3</v>
      </c>
      <c r="J370" s="182">
        <v>88</v>
      </c>
      <c r="K370" s="183">
        <v>220</v>
      </c>
      <c r="L370" s="191">
        <f t="shared" si="39"/>
        <v>-60</v>
      </c>
      <c r="M370" s="188">
        <f t="shared" si="40"/>
        <v>3.0379921633611244E-2</v>
      </c>
      <c r="N370" s="189">
        <f t="shared" si="41"/>
        <v>7.6365820047416225E-2</v>
      </c>
    </row>
    <row r="371" spans="1:14" hidden="1" outlineLevel="1">
      <c r="A371" s="180"/>
      <c r="B371" s="190" t="s">
        <v>958</v>
      </c>
      <c r="C371" s="186">
        <f t="shared" si="35"/>
        <v>-43.636363636363633</v>
      </c>
      <c r="E371" s="182">
        <v>3</v>
      </c>
      <c r="F371" s="183">
        <v>8</v>
      </c>
      <c r="G371" s="191">
        <f t="shared" si="36"/>
        <v>-62.5</v>
      </c>
      <c r="H371" s="188">
        <f t="shared" si="37"/>
        <v>1.0248001639680263E-2</v>
      </c>
      <c r="I371" s="188">
        <f t="shared" si="38"/>
        <v>2.2550456646747097E-2</v>
      </c>
      <c r="J371" s="182">
        <v>31</v>
      </c>
      <c r="K371" s="183">
        <v>55</v>
      </c>
      <c r="L371" s="191">
        <f t="shared" si="39"/>
        <v>-43.636363636363633</v>
      </c>
      <c r="M371" s="188">
        <f t="shared" si="40"/>
        <v>1.070201784820396E-2</v>
      </c>
      <c r="N371" s="189">
        <f t="shared" si="41"/>
        <v>1.9091455011854056E-2</v>
      </c>
    </row>
    <row r="372" spans="1:14" hidden="1" outlineLevel="1">
      <c r="A372" s="180"/>
      <c r="B372" s="190" t="s">
        <v>1243</v>
      </c>
      <c r="C372" s="186" t="str">
        <f t="shared" si="35"/>
        <v/>
      </c>
      <c r="E372" s="182">
        <v>0</v>
      </c>
      <c r="F372" s="183">
        <v>0</v>
      </c>
      <c r="G372" s="191" t="str">
        <f t="shared" si="36"/>
        <v/>
      </c>
      <c r="H372" s="188" t="str">
        <f t="shared" si="37"/>
        <v/>
      </c>
      <c r="I372" s="188" t="str">
        <f t="shared" si="38"/>
        <v/>
      </c>
      <c r="J372" s="182">
        <v>20</v>
      </c>
      <c r="K372" s="183">
        <v>0</v>
      </c>
      <c r="L372" s="191" t="str">
        <f t="shared" si="39"/>
        <v/>
      </c>
      <c r="M372" s="188">
        <f t="shared" si="40"/>
        <v>6.904527644002555E-3</v>
      </c>
      <c r="N372" s="189" t="str">
        <f t="shared" si="41"/>
        <v/>
      </c>
    </row>
    <row r="373" spans="1:14" hidden="1" outlineLevel="1">
      <c r="A373" s="180"/>
      <c r="B373" s="190" t="s">
        <v>1118</v>
      </c>
      <c r="C373" s="186">
        <f t="shared" si="35"/>
        <v>-96.969696969696969</v>
      </c>
      <c r="E373" s="182">
        <v>0</v>
      </c>
      <c r="F373" s="183">
        <v>0</v>
      </c>
      <c r="G373" s="191" t="str">
        <f t="shared" si="36"/>
        <v/>
      </c>
      <c r="H373" s="188" t="str">
        <f t="shared" si="37"/>
        <v/>
      </c>
      <c r="I373" s="188" t="str">
        <f t="shared" si="38"/>
        <v/>
      </c>
      <c r="J373" s="182">
        <v>2</v>
      </c>
      <c r="K373" s="183">
        <v>66</v>
      </c>
      <c r="L373" s="191">
        <f t="shared" si="39"/>
        <v>-96.969696969696969</v>
      </c>
      <c r="M373" s="188">
        <f t="shared" si="40"/>
        <v>6.9045276440025548E-4</v>
      </c>
      <c r="N373" s="189">
        <f t="shared" si="41"/>
        <v>2.2909746014224869E-2</v>
      </c>
    </row>
    <row r="374" spans="1:14" hidden="1" outlineLevel="1">
      <c r="A374" s="180"/>
      <c r="B374" s="190" t="s">
        <v>1117</v>
      </c>
      <c r="C374" s="186">
        <f t="shared" si="35"/>
        <v>-50</v>
      </c>
      <c r="E374" s="182">
        <v>0</v>
      </c>
      <c r="F374" s="183">
        <v>0</v>
      </c>
      <c r="G374" s="191" t="str">
        <f t="shared" si="36"/>
        <v/>
      </c>
      <c r="H374" s="188" t="str">
        <f t="shared" si="37"/>
        <v/>
      </c>
      <c r="I374" s="188" t="str">
        <f t="shared" si="38"/>
        <v/>
      </c>
      <c r="J374" s="182">
        <v>1</v>
      </c>
      <c r="K374" s="183">
        <v>2</v>
      </c>
      <c r="L374" s="191">
        <f t="shared" si="39"/>
        <v>-50</v>
      </c>
      <c r="M374" s="188">
        <f t="shared" si="40"/>
        <v>3.4522638220012774E-4</v>
      </c>
      <c r="N374" s="189">
        <f t="shared" si="41"/>
        <v>6.942347277037839E-4</v>
      </c>
    </row>
    <row r="375" spans="1:14" hidden="1" outlineLevel="1">
      <c r="A375" s="180"/>
      <c r="B375" s="190" t="s">
        <v>1196</v>
      </c>
      <c r="C375" s="186">
        <f t="shared" si="35"/>
        <v>-100</v>
      </c>
      <c r="E375" s="182">
        <v>0</v>
      </c>
      <c r="F375" s="183">
        <v>0</v>
      </c>
      <c r="G375" s="191" t="str">
        <f t="shared" si="36"/>
        <v/>
      </c>
      <c r="H375" s="188" t="str">
        <f t="shared" si="37"/>
        <v/>
      </c>
      <c r="I375" s="188" t="str">
        <f t="shared" si="38"/>
        <v/>
      </c>
      <c r="J375" s="182">
        <v>0</v>
      </c>
      <c r="K375" s="183">
        <v>1</v>
      </c>
      <c r="L375" s="191">
        <f t="shared" si="39"/>
        <v>-100</v>
      </c>
      <c r="M375" s="188" t="str">
        <f t="shared" si="40"/>
        <v/>
      </c>
      <c r="N375" s="189">
        <f t="shared" si="41"/>
        <v>3.4711736385189195E-4</v>
      </c>
    </row>
    <row r="376" spans="1:14" collapsed="1">
      <c r="A376" s="180" t="s">
        <v>1309</v>
      </c>
      <c r="B376" s="179" t="s">
        <v>962</v>
      </c>
      <c r="C376" s="186">
        <f t="shared" si="35"/>
        <v>146.2962962962963</v>
      </c>
      <c r="E376" s="182">
        <v>18</v>
      </c>
      <c r="F376" s="183">
        <v>5</v>
      </c>
      <c r="G376" s="191">
        <f t="shared" si="36"/>
        <v>260</v>
      </c>
      <c r="H376" s="188">
        <f t="shared" si="37"/>
        <v>6.1488009838081573E-2</v>
      </c>
      <c r="I376" s="188">
        <f t="shared" si="38"/>
        <v>1.4094035404216936E-2</v>
      </c>
      <c r="J376" s="182">
        <v>133</v>
      </c>
      <c r="K376" s="183">
        <v>54</v>
      </c>
      <c r="L376" s="191">
        <f t="shared" si="39"/>
        <v>146.2962962962963</v>
      </c>
      <c r="M376" s="188">
        <f t="shared" si="40"/>
        <v>4.5915108832616985E-2</v>
      </c>
      <c r="N376" s="189">
        <f t="shared" si="41"/>
        <v>1.8744337648002166E-2</v>
      </c>
    </row>
    <row r="377" spans="1:14" hidden="1" outlineLevel="1">
      <c r="A377" s="180"/>
      <c r="B377" s="190" t="s">
        <v>963</v>
      </c>
      <c r="C377" s="186">
        <f t="shared" si="35"/>
        <v>146.2962962962963</v>
      </c>
      <c r="E377" s="182">
        <v>18</v>
      </c>
      <c r="F377" s="183">
        <v>5</v>
      </c>
      <c r="G377" s="191">
        <f t="shared" si="36"/>
        <v>260</v>
      </c>
      <c r="H377" s="188">
        <f t="shared" si="37"/>
        <v>6.1488009838081573E-2</v>
      </c>
      <c r="I377" s="188">
        <f t="shared" si="38"/>
        <v>1.4094035404216936E-2</v>
      </c>
      <c r="J377" s="182">
        <v>133</v>
      </c>
      <c r="K377" s="183">
        <v>54</v>
      </c>
      <c r="L377" s="191">
        <f t="shared" si="39"/>
        <v>146.2962962962963</v>
      </c>
      <c r="M377" s="188">
        <f t="shared" si="40"/>
        <v>4.5915108832616985E-2</v>
      </c>
      <c r="N377" s="189">
        <f t="shared" si="41"/>
        <v>1.8744337648002166E-2</v>
      </c>
    </row>
    <row r="378" spans="1:14" collapsed="1">
      <c r="A378" s="180" t="s">
        <v>1355</v>
      </c>
      <c r="B378" s="179" t="s">
        <v>414</v>
      </c>
      <c r="C378" s="186">
        <f t="shared" si="35"/>
        <v>-44.954128440366972</v>
      </c>
      <c r="E378" s="182">
        <v>7</v>
      </c>
      <c r="F378" s="183">
        <v>67</v>
      </c>
      <c r="G378" s="191">
        <f t="shared" si="36"/>
        <v>-89.552238805970148</v>
      </c>
      <c r="H378" s="188">
        <f t="shared" si="37"/>
        <v>2.3912003825920614E-2</v>
      </c>
      <c r="I378" s="188">
        <f t="shared" si="38"/>
        <v>0.18886007441650693</v>
      </c>
      <c r="J378" s="182">
        <v>120</v>
      </c>
      <c r="K378" s="183">
        <v>218</v>
      </c>
      <c r="L378" s="191">
        <f t="shared" si="39"/>
        <v>-44.954128440366972</v>
      </c>
      <c r="M378" s="188">
        <f t="shared" si="40"/>
        <v>4.1427165864015326E-2</v>
      </c>
      <c r="N378" s="189">
        <f t="shared" si="41"/>
        <v>7.5671585319712451E-2</v>
      </c>
    </row>
    <row r="379" spans="1:14" hidden="1" outlineLevel="1">
      <c r="A379" s="180"/>
      <c r="B379" s="190" t="s">
        <v>961</v>
      </c>
      <c r="C379" s="186">
        <f t="shared" si="35"/>
        <v>-46.788990825688074</v>
      </c>
      <c r="E379" s="182">
        <v>6</v>
      </c>
      <c r="F379" s="183">
        <v>67</v>
      </c>
      <c r="G379" s="191">
        <f t="shared" si="36"/>
        <v>-91.044776119402982</v>
      </c>
      <c r="H379" s="188">
        <f t="shared" si="37"/>
        <v>2.0496003279360527E-2</v>
      </c>
      <c r="I379" s="188">
        <f t="shared" si="38"/>
        <v>0.18886007441650693</v>
      </c>
      <c r="J379" s="182">
        <v>116</v>
      </c>
      <c r="K379" s="183">
        <v>218</v>
      </c>
      <c r="L379" s="191">
        <f t="shared" si="39"/>
        <v>-46.788990825688074</v>
      </c>
      <c r="M379" s="188">
        <f t="shared" si="40"/>
        <v>4.0046260335214814E-2</v>
      </c>
      <c r="N379" s="189">
        <f t="shared" si="41"/>
        <v>7.5671585319712451E-2</v>
      </c>
    </row>
    <row r="380" spans="1:14" hidden="1" outlineLevel="1">
      <c r="A380" s="180"/>
      <c r="B380" s="190" t="s">
        <v>1165</v>
      </c>
      <c r="C380" s="186" t="str">
        <f t="shared" si="35"/>
        <v/>
      </c>
      <c r="E380" s="182">
        <v>1</v>
      </c>
      <c r="F380" s="183">
        <v>0</v>
      </c>
      <c r="G380" s="191" t="str">
        <f t="shared" si="36"/>
        <v/>
      </c>
      <c r="H380" s="188">
        <f t="shared" si="37"/>
        <v>3.4160005465600878E-3</v>
      </c>
      <c r="I380" s="188" t="str">
        <f t="shared" si="38"/>
        <v/>
      </c>
      <c r="J380" s="182">
        <v>4</v>
      </c>
      <c r="K380" s="183">
        <v>0</v>
      </c>
      <c r="L380" s="191" t="str">
        <f t="shared" si="39"/>
        <v/>
      </c>
      <c r="M380" s="188">
        <f t="shared" si="40"/>
        <v>1.380905528800511E-3</v>
      </c>
      <c r="N380" s="189" t="str">
        <f t="shared" si="41"/>
        <v/>
      </c>
    </row>
    <row r="381" spans="1:14" collapsed="1">
      <c r="A381" s="180" t="s">
        <v>1356</v>
      </c>
      <c r="B381" s="179" t="s">
        <v>1048</v>
      </c>
      <c r="C381" s="186" t="str">
        <f t="shared" si="35"/>
        <v/>
      </c>
      <c r="E381" s="182">
        <v>11</v>
      </c>
      <c r="F381" s="183">
        <v>0</v>
      </c>
      <c r="G381" s="191" t="str">
        <f t="shared" si="36"/>
        <v/>
      </c>
      <c r="H381" s="188">
        <f t="shared" si="37"/>
        <v>3.7576006012160962E-2</v>
      </c>
      <c r="I381" s="188" t="str">
        <f t="shared" si="38"/>
        <v/>
      </c>
      <c r="J381" s="182">
        <v>86</v>
      </c>
      <c r="K381" s="183">
        <v>0</v>
      </c>
      <c r="L381" s="191" t="str">
        <f t="shared" si="39"/>
        <v/>
      </c>
      <c r="M381" s="188">
        <f t="shared" si="40"/>
        <v>2.9689468869210988E-2</v>
      </c>
      <c r="N381" s="189" t="str">
        <f t="shared" si="41"/>
        <v/>
      </c>
    </row>
    <row r="382" spans="1:14" hidden="1" outlineLevel="1">
      <c r="A382" s="180"/>
      <c r="B382" s="190" t="s">
        <v>1116</v>
      </c>
      <c r="C382" s="186" t="str">
        <f t="shared" si="35"/>
        <v/>
      </c>
      <c r="E382" s="182">
        <v>11</v>
      </c>
      <c r="F382" s="183">
        <v>0</v>
      </c>
      <c r="G382" s="191" t="str">
        <f t="shared" si="36"/>
        <v/>
      </c>
      <c r="H382" s="188">
        <f t="shared" si="37"/>
        <v>3.7576006012160962E-2</v>
      </c>
      <c r="I382" s="188" t="str">
        <f t="shared" si="38"/>
        <v/>
      </c>
      <c r="J382" s="182">
        <v>86</v>
      </c>
      <c r="K382" s="183">
        <v>0</v>
      </c>
      <c r="L382" s="191" t="str">
        <f t="shared" si="39"/>
        <v/>
      </c>
      <c r="M382" s="188">
        <f t="shared" si="40"/>
        <v>2.9689468869210988E-2</v>
      </c>
      <c r="N382" s="189" t="str">
        <f t="shared" si="41"/>
        <v/>
      </c>
    </row>
    <row r="383" spans="1:14" collapsed="1">
      <c r="A383" s="180" t="s">
        <v>1357</v>
      </c>
      <c r="B383" s="179" t="s">
        <v>671</v>
      </c>
      <c r="C383" s="186">
        <f t="shared" si="35"/>
        <v>2.7777777777777777</v>
      </c>
      <c r="E383" s="182">
        <v>3</v>
      </c>
      <c r="F383" s="183">
        <v>4</v>
      </c>
      <c r="G383" s="191">
        <f t="shared" si="36"/>
        <v>-25</v>
      </c>
      <c r="H383" s="188">
        <f t="shared" si="37"/>
        <v>1.0248001639680263E-2</v>
      </c>
      <c r="I383" s="188">
        <f t="shared" si="38"/>
        <v>1.1275228323373548E-2</v>
      </c>
      <c r="J383" s="182">
        <v>74</v>
      </c>
      <c r="K383" s="183">
        <v>72</v>
      </c>
      <c r="L383" s="191">
        <f t="shared" si="39"/>
        <v>2.7777777777777777</v>
      </c>
      <c r="M383" s="188">
        <f t="shared" si="40"/>
        <v>2.5546752282809452E-2</v>
      </c>
      <c r="N383" s="189">
        <f t="shared" si="41"/>
        <v>2.4992450197336223E-2</v>
      </c>
    </row>
    <row r="384" spans="1:14" hidden="1" outlineLevel="1">
      <c r="A384" s="180"/>
      <c r="B384" s="190" t="s">
        <v>671</v>
      </c>
      <c r="C384" s="186">
        <f t="shared" si="35"/>
        <v>0</v>
      </c>
      <c r="E384" s="182">
        <v>2</v>
      </c>
      <c r="F384" s="183">
        <v>3</v>
      </c>
      <c r="G384" s="191">
        <f t="shared" si="36"/>
        <v>-33.333333333333329</v>
      </c>
      <c r="H384" s="188">
        <f t="shared" si="37"/>
        <v>6.8320010931201755E-3</v>
      </c>
      <c r="I384" s="188">
        <f t="shared" si="38"/>
        <v>8.4564212425301613E-3</v>
      </c>
      <c r="J384" s="182">
        <v>51</v>
      </c>
      <c r="K384" s="183">
        <v>51</v>
      </c>
      <c r="L384" s="191">
        <f t="shared" si="39"/>
        <v>0</v>
      </c>
      <c r="M384" s="188">
        <f t="shared" si="40"/>
        <v>1.7606545492206516E-2</v>
      </c>
      <c r="N384" s="189">
        <f t="shared" si="41"/>
        <v>1.7702985556446491E-2</v>
      </c>
    </row>
    <row r="385" spans="1:14" hidden="1" outlineLevel="1">
      <c r="A385" s="180"/>
      <c r="B385" s="190">
        <v>812</v>
      </c>
      <c r="C385" s="186">
        <f t="shared" si="35"/>
        <v>41.666666666666671</v>
      </c>
      <c r="E385" s="182">
        <v>1</v>
      </c>
      <c r="F385" s="183">
        <v>1</v>
      </c>
      <c r="G385" s="191">
        <f t="shared" si="36"/>
        <v>0</v>
      </c>
      <c r="H385" s="188">
        <f t="shared" si="37"/>
        <v>3.4160005465600878E-3</v>
      </c>
      <c r="I385" s="188">
        <f t="shared" si="38"/>
        <v>2.8188070808433871E-3</v>
      </c>
      <c r="J385" s="182">
        <v>17</v>
      </c>
      <c r="K385" s="183">
        <v>12</v>
      </c>
      <c r="L385" s="191">
        <f t="shared" si="39"/>
        <v>41.666666666666671</v>
      </c>
      <c r="M385" s="188">
        <f t="shared" si="40"/>
        <v>5.8688484974021718E-3</v>
      </c>
      <c r="N385" s="189">
        <f t="shared" si="41"/>
        <v>4.165408366222703E-3</v>
      </c>
    </row>
    <row r="386" spans="1:14" hidden="1" outlineLevel="1">
      <c r="A386" s="180"/>
      <c r="B386" s="190" t="s">
        <v>964</v>
      </c>
      <c r="C386" s="186">
        <f t="shared" si="35"/>
        <v>-33.333333333333329</v>
      </c>
      <c r="E386" s="182">
        <v>0</v>
      </c>
      <c r="F386" s="183">
        <v>0</v>
      </c>
      <c r="G386" s="191" t="str">
        <f t="shared" si="36"/>
        <v/>
      </c>
      <c r="H386" s="188" t="str">
        <f t="shared" si="37"/>
        <v/>
      </c>
      <c r="I386" s="188" t="str">
        <f t="shared" si="38"/>
        <v/>
      </c>
      <c r="J386" s="182">
        <v>6</v>
      </c>
      <c r="K386" s="183">
        <v>9</v>
      </c>
      <c r="L386" s="191">
        <f t="shared" si="39"/>
        <v>-33.333333333333329</v>
      </c>
      <c r="M386" s="188">
        <f t="shared" si="40"/>
        <v>2.0713582932007663E-3</v>
      </c>
      <c r="N386" s="189">
        <f t="shared" si="41"/>
        <v>3.1240562746670279E-3</v>
      </c>
    </row>
    <row r="387" spans="1:14" collapsed="1">
      <c r="A387" s="180" t="s">
        <v>1310</v>
      </c>
      <c r="B387" s="179" t="s">
        <v>262</v>
      </c>
      <c r="C387" s="186">
        <f t="shared" si="35"/>
        <v>-12.5</v>
      </c>
      <c r="E387" s="182">
        <v>3</v>
      </c>
      <c r="F387" s="183">
        <v>6</v>
      </c>
      <c r="G387" s="191">
        <f t="shared" si="36"/>
        <v>-50</v>
      </c>
      <c r="H387" s="188">
        <f t="shared" si="37"/>
        <v>1.0248001639680263E-2</v>
      </c>
      <c r="I387" s="188">
        <f t="shared" si="38"/>
        <v>1.6912842485060323E-2</v>
      </c>
      <c r="J387" s="182">
        <v>63</v>
      </c>
      <c r="K387" s="183">
        <v>72</v>
      </c>
      <c r="L387" s="191">
        <f t="shared" si="39"/>
        <v>-12.5</v>
      </c>
      <c r="M387" s="188">
        <f t="shared" si="40"/>
        <v>2.1749262078608049E-2</v>
      </c>
      <c r="N387" s="189">
        <f t="shared" si="41"/>
        <v>2.4992450197336223E-2</v>
      </c>
    </row>
    <row r="388" spans="1:14" hidden="1" outlineLevel="1">
      <c r="A388" s="180"/>
      <c r="B388" s="190" t="s">
        <v>965</v>
      </c>
      <c r="C388" s="186">
        <f t="shared" si="35"/>
        <v>-5.5555555555555554</v>
      </c>
      <c r="E388" s="182">
        <v>0</v>
      </c>
      <c r="F388" s="183">
        <v>2</v>
      </c>
      <c r="G388" s="191">
        <f t="shared" si="36"/>
        <v>-100</v>
      </c>
      <c r="H388" s="188" t="str">
        <f t="shared" si="37"/>
        <v/>
      </c>
      <c r="I388" s="188">
        <f t="shared" si="38"/>
        <v>5.6376141616867742E-3</v>
      </c>
      <c r="J388" s="182">
        <v>34</v>
      </c>
      <c r="K388" s="183">
        <v>36</v>
      </c>
      <c r="L388" s="191">
        <f t="shared" si="39"/>
        <v>-5.5555555555555554</v>
      </c>
      <c r="M388" s="188">
        <f t="shared" si="40"/>
        <v>1.1737696994804344E-2</v>
      </c>
      <c r="N388" s="189">
        <f t="shared" si="41"/>
        <v>1.2496225098668112E-2</v>
      </c>
    </row>
    <row r="389" spans="1:14" hidden="1" outlineLevel="1">
      <c r="A389" s="180"/>
      <c r="B389" s="190" t="s">
        <v>295</v>
      </c>
      <c r="C389" s="186">
        <f t="shared" si="35"/>
        <v>-14.705882352941178</v>
      </c>
      <c r="E389" s="182">
        <v>3</v>
      </c>
      <c r="F389" s="183">
        <v>4</v>
      </c>
      <c r="G389" s="191">
        <f t="shared" si="36"/>
        <v>-25</v>
      </c>
      <c r="H389" s="188">
        <f t="shared" si="37"/>
        <v>1.0248001639680263E-2</v>
      </c>
      <c r="I389" s="188">
        <f t="shared" si="38"/>
        <v>1.1275228323373548E-2</v>
      </c>
      <c r="J389" s="182">
        <v>29</v>
      </c>
      <c r="K389" s="183">
        <v>34</v>
      </c>
      <c r="L389" s="191">
        <f t="shared" si="39"/>
        <v>-14.705882352941178</v>
      </c>
      <c r="M389" s="188">
        <f t="shared" si="40"/>
        <v>1.0011565083803704E-2</v>
      </c>
      <c r="N389" s="189">
        <f t="shared" si="41"/>
        <v>1.1801990370964325E-2</v>
      </c>
    </row>
    <row r="390" spans="1:14" hidden="1" outlineLevel="1">
      <c r="A390" s="180"/>
      <c r="B390" s="190" t="s">
        <v>1167</v>
      </c>
      <c r="C390" s="186">
        <f t="shared" si="35"/>
        <v>-100</v>
      </c>
      <c r="E390" s="182">
        <v>0</v>
      </c>
      <c r="F390" s="183">
        <v>0</v>
      </c>
      <c r="G390" s="191" t="str">
        <f t="shared" si="36"/>
        <v/>
      </c>
      <c r="H390" s="188" t="str">
        <f t="shared" si="37"/>
        <v/>
      </c>
      <c r="I390" s="188" t="str">
        <f t="shared" si="38"/>
        <v/>
      </c>
      <c r="J390" s="182">
        <v>0</v>
      </c>
      <c r="K390" s="183">
        <v>2</v>
      </c>
      <c r="L390" s="191">
        <f t="shared" si="39"/>
        <v>-100</v>
      </c>
      <c r="M390" s="188" t="str">
        <f t="shared" si="40"/>
        <v/>
      </c>
      <c r="N390" s="189">
        <f t="shared" si="41"/>
        <v>6.942347277037839E-4</v>
      </c>
    </row>
    <row r="391" spans="1:14" collapsed="1">
      <c r="A391" s="180" t="s">
        <v>1358</v>
      </c>
      <c r="B391" s="179" t="s">
        <v>270</v>
      </c>
      <c r="C391" s="186">
        <f t="shared" si="35"/>
        <v>-42.718446601941743</v>
      </c>
      <c r="E391" s="182">
        <v>1</v>
      </c>
      <c r="F391" s="183">
        <v>3</v>
      </c>
      <c r="G391" s="191">
        <f t="shared" si="36"/>
        <v>-66.666666666666657</v>
      </c>
      <c r="H391" s="188">
        <f t="shared" si="37"/>
        <v>3.4160005465600878E-3</v>
      </c>
      <c r="I391" s="188">
        <f t="shared" si="38"/>
        <v>8.4564212425301613E-3</v>
      </c>
      <c r="J391" s="182">
        <v>59</v>
      </c>
      <c r="K391" s="183">
        <v>103</v>
      </c>
      <c r="L391" s="191">
        <f t="shared" si="39"/>
        <v>-42.718446601941743</v>
      </c>
      <c r="M391" s="188">
        <f t="shared" si="40"/>
        <v>2.0368356549807537E-2</v>
      </c>
      <c r="N391" s="189">
        <f t="shared" si="41"/>
        <v>3.5753088476744868E-2</v>
      </c>
    </row>
    <row r="392" spans="1:14" hidden="1" outlineLevel="1">
      <c r="A392" s="180"/>
      <c r="B392" s="190" t="s">
        <v>959</v>
      </c>
      <c r="C392" s="186">
        <f t="shared" si="35"/>
        <v>-52.307692307692314</v>
      </c>
      <c r="E392" s="182">
        <v>0</v>
      </c>
      <c r="F392" s="183">
        <v>2</v>
      </c>
      <c r="G392" s="191">
        <f t="shared" si="36"/>
        <v>-100</v>
      </c>
      <c r="H392" s="188" t="str">
        <f t="shared" si="37"/>
        <v/>
      </c>
      <c r="I392" s="188">
        <f t="shared" si="38"/>
        <v>5.6376141616867742E-3</v>
      </c>
      <c r="J392" s="182">
        <v>31</v>
      </c>
      <c r="K392" s="183">
        <v>65</v>
      </c>
      <c r="L392" s="191">
        <f t="shared" si="39"/>
        <v>-52.307692307692314</v>
      </c>
      <c r="M392" s="188">
        <f t="shared" si="40"/>
        <v>1.070201784820396E-2</v>
      </c>
      <c r="N392" s="189">
        <f t="shared" si="41"/>
        <v>2.2562628650372975E-2</v>
      </c>
    </row>
    <row r="393" spans="1:14" hidden="1" outlineLevel="1">
      <c r="A393" s="180"/>
      <c r="B393" s="190" t="s">
        <v>1113</v>
      </c>
      <c r="C393" s="186">
        <f t="shared" si="35"/>
        <v>-21.052631578947366</v>
      </c>
      <c r="E393" s="182">
        <v>0</v>
      </c>
      <c r="F393" s="183">
        <v>1</v>
      </c>
      <c r="G393" s="191">
        <f t="shared" si="36"/>
        <v>-100</v>
      </c>
      <c r="H393" s="188" t="str">
        <f t="shared" si="37"/>
        <v/>
      </c>
      <c r="I393" s="188">
        <f t="shared" si="38"/>
        <v>2.8188070808433871E-3</v>
      </c>
      <c r="J393" s="182">
        <v>15</v>
      </c>
      <c r="K393" s="183">
        <v>19</v>
      </c>
      <c r="L393" s="191">
        <f t="shared" si="39"/>
        <v>-21.052631578947366</v>
      </c>
      <c r="M393" s="188">
        <f t="shared" si="40"/>
        <v>5.1783957330019158E-3</v>
      </c>
      <c r="N393" s="189">
        <f t="shared" si="41"/>
        <v>6.5952299131859472E-3</v>
      </c>
    </row>
    <row r="394" spans="1:14" hidden="1" outlineLevel="1">
      <c r="A394" s="180"/>
      <c r="B394" s="190" t="s">
        <v>1114</v>
      </c>
      <c r="C394" s="186">
        <f t="shared" ref="C394:C435" si="42">IF(K394=0,"",SUM(((J394-K394)/K394)*100))</f>
        <v>-28.571428571428569</v>
      </c>
      <c r="E394" s="182">
        <v>0</v>
      </c>
      <c r="F394" s="183">
        <v>0</v>
      </c>
      <c r="G394" s="191" t="str">
        <f t="shared" ref="G394:G435" si="43">IF(F394=0,"",SUM(((E394-F394)/F394)*100))</f>
        <v/>
      </c>
      <c r="H394" s="188" t="str">
        <f t="shared" ref="H394:H435" si="44">IF(E394=0,"",SUM((E394/CntPeriod)*100))</f>
        <v/>
      </c>
      <c r="I394" s="188" t="str">
        <f t="shared" ref="I394:I435" si="45">IF(F394=0,"",SUM((F394/CntPeriodPrevYear)*100))</f>
        <v/>
      </c>
      <c r="J394" s="182">
        <v>10</v>
      </c>
      <c r="K394" s="183">
        <v>14</v>
      </c>
      <c r="L394" s="191">
        <f t="shared" ref="L394:L435" si="46">IF(K394=0,"",SUM(((J394-K394)/K394)*100))</f>
        <v>-28.571428571428569</v>
      </c>
      <c r="M394" s="188">
        <f t="shared" ref="M394:M435" si="47">IF(J394=0,"",SUM((J394/CntYearAck)*100))</f>
        <v>3.4522638220012775E-3</v>
      </c>
      <c r="N394" s="189">
        <f t="shared" ref="N394:N435" si="48">IF(K394=0,"",SUM((K394/CntPrevYearAck)*100))</f>
        <v>4.8596430939264875E-3</v>
      </c>
    </row>
    <row r="395" spans="1:14" hidden="1" outlineLevel="1">
      <c r="A395" s="180"/>
      <c r="B395" s="190" t="s">
        <v>960</v>
      </c>
      <c r="C395" s="186">
        <f t="shared" si="42"/>
        <v>-33.333333333333329</v>
      </c>
      <c r="E395" s="182">
        <v>1</v>
      </c>
      <c r="F395" s="183">
        <v>0</v>
      </c>
      <c r="G395" s="191" t="str">
        <f t="shared" si="43"/>
        <v/>
      </c>
      <c r="H395" s="188">
        <f t="shared" si="44"/>
        <v>3.4160005465600878E-3</v>
      </c>
      <c r="I395" s="188" t="str">
        <f t="shared" si="45"/>
        <v/>
      </c>
      <c r="J395" s="182">
        <v>2</v>
      </c>
      <c r="K395" s="183">
        <v>3</v>
      </c>
      <c r="L395" s="191">
        <f t="shared" si="46"/>
        <v>-33.333333333333329</v>
      </c>
      <c r="M395" s="188">
        <f t="shared" si="47"/>
        <v>6.9045276440025548E-4</v>
      </c>
      <c r="N395" s="189">
        <f t="shared" si="48"/>
        <v>1.0413520915556757E-3</v>
      </c>
    </row>
    <row r="396" spans="1:14" hidden="1" outlineLevel="1">
      <c r="A396" s="180"/>
      <c r="B396" s="190" t="s">
        <v>1115</v>
      </c>
      <c r="C396" s="186">
        <f t="shared" si="42"/>
        <v>0</v>
      </c>
      <c r="E396" s="182">
        <v>0</v>
      </c>
      <c r="F396" s="183">
        <v>0</v>
      </c>
      <c r="G396" s="191" t="str">
        <f t="shared" si="43"/>
        <v/>
      </c>
      <c r="H396" s="188" t="str">
        <f t="shared" si="44"/>
        <v/>
      </c>
      <c r="I396" s="188" t="str">
        <f t="shared" si="45"/>
        <v/>
      </c>
      <c r="J396" s="182">
        <v>1</v>
      </c>
      <c r="K396" s="183">
        <v>1</v>
      </c>
      <c r="L396" s="191">
        <f t="shared" si="46"/>
        <v>0</v>
      </c>
      <c r="M396" s="188">
        <f t="shared" si="47"/>
        <v>3.4522638220012774E-4</v>
      </c>
      <c r="N396" s="189">
        <f t="shared" si="48"/>
        <v>3.4711736385189195E-4</v>
      </c>
    </row>
    <row r="397" spans="1:14" hidden="1" outlineLevel="1">
      <c r="A397" s="180"/>
      <c r="B397" s="190" t="s">
        <v>1166</v>
      </c>
      <c r="C397" s="186">
        <f t="shared" si="42"/>
        <v>-100</v>
      </c>
      <c r="E397" s="182">
        <v>0</v>
      </c>
      <c r="F397" s="183">
        <v>0</v>
      </c>
      <c r="G397" s="191" t="str">
        <f t="shared" si="43"/>
        <v/>
      </c>
      <c r="H397" s="188" t="str">
        <f t="shared" si="44"/>
        <v/>
      </c>
      <c r="I397" s="188" t="str">
        <f t="shared" si="45"/>
        <v/>
      </c>
      <c r="J397" s="182">
        <v>0</v>
      </c>
      <c r="K397" s="183">
        <v>1</v>
      </c>
      <c r="L397" s="191">
        <f t="shared" si="46"/>
        <v>-100</v>
      </c>
      <c r="M397" s="188" t="str">
        <f t="shared" si="47"/>
        <v/>
      </c>
      <c r="N397" s="189">
        <f t="shared" si="48"/>
        <v>3.4711736385189195E-4</v>
      </c>
    </row>
    <row r="398" spans="1:14" collapsed="1">
      <c r="A398" s="180" t="s">
        <v>1359</v>
      </c>
      <c r="B398" s="179" t="s">
        <v>273</v>
      </c>
      <c r="C398" s="186">
        <f t="shared" si="42"/>
        <v>7.4074074074074066</v>
      </c>
      <c r="E398" s="182">
        <v>5</v>
      </c>
      <c r="F398" s="183">
        <v>2</v>
      </c>
      <c r="G398" s="191">
        <f t="shared" si="43"/>
        <v>150</v>
      </c>
      <c r="H398" s="188">
        <f t="shared" si="44"/>
        <v>1.7080002732800435E-2</v>
      </c>
      <c r="I398" s="188">
        <f t="shared" si="45"/>
        <v>5.6376141616867742E-3</v>
      </c>
      <c r="J398" s="182">
        <v>58</v>
      </c>
      <c r="K398" s="183">
        <v>54</v>
      </c>
      <c r="L398" s="191">
        <f t="shared" si="46"/>
        <v>7.4074074074074066</v>
      </c>
      <c r="M398" s="188">
        <f t="shared" si="47"/>
        <v>2.0023130167607407E-2</v>
      </c>
      <c r="N398" s="189">
        <f t="shared" si="48"/>
        <v>1.8744337648002166E-2</v>
      </c>
    </row>
    <row r="399" spans="1:14" hidden="1" outlineLevel="1">
      <c r="A399" s="180"/>
      <c r="B399" s="190" t="s">
        <v>273</v>
      </c>
      <c r="C399" s="186">
        <f t="shared" si="42"/>
        <v>7.4074074074074066</v>
      </c>
      <c r="E399" s="182">
        <v>5</v>
      </c>
      <c r="F399" s="183">
        <v>2</v>
      </c>
      <c r="G399" s="191">
        <f t="shared" si="43"/>
        <v>150</v>
      </c>
      <c r="H399" s="188">
        <f t="shared" si="44"/>
        <v>1.7080002732800435E-2</v>
      </c>
      <c r="I399" s="188">
        <f t="shared" si="45"/>
        <v>5.6376141616867742E-3</v>
      </c>
      <c r="J399" s="182">
        <v>58</v>
      </c>
      <c r="K399" s="183">
        <v>54</v>
      </c>
      <c r="L399" s="191">
        <f t="shared" si="46"/>
        <v>7.4074074074074066</v>
      </c>
      <c r="M399" s="188">
        <f t="shared" si="47"/>
        <v>2.0023130167607407E-2</v>
      </c>
      <c r="N399" s="189">
        <f t="shared" si="48"/>
        <v>1.8744337648002166E-2</v>
      </c>
    </row>
    <row r="400" spans="1:14" collapsed="1">
      <c r="A400" s="180" t="s">
        <v>1360</v>
      </c>
      <c r="B400" s="179" t="s">
        <v>269</v>
      </c>
      <c r="C400" s="186">
        <f t="shared" si="42"/>
        <v>-15.909090909090908</v>
      </c>
      <c r="E400" s="182">
        <v>1</v>
      </c>
      <c r="F400" s="183">
        <v>1</v>
      </c>
      <c r="G400" s="191">
        <f t="shared" si="43"/>
        <v>0</v>
      </c>
      <c r="H400" s="188">
        <f t="shared" si="44"/>
        <v>3.4160005465600878E-3</v>
      </c>
      <c r="I400" s="188">
        <f t="shared" si="45"/>
        <v>2.8188070808433871E-3</v>
      </c>
      <c r="J400" s="182">
        <v>37</v>
      </c>
      <c r="K400" s="183">
        <v>44</v>
      </c>
      <c r="L400" s="191">
        <f t="shared" si="46"/>
        <v>-15.909090909090908</v>
      </c>
      <c r="M400" s="188">
        <f t="shared" si="47"/>
        <v>1.2773376141404726E-2</v>
      </c>
      <c r="N400" s="189">
        <f t="shared" si="48"/>
        <v>1.5273164009483246E-2</v>
      </c>
    </row>
    <row r="401" spans="1:14" hidden="1" outlineLevel="1">
      <c r="A401" s="180"/>
      <c r="B401" s="190" t="s">
        <v>967</v>
      </c>
      <c r="C401" s="186">
        <f t="shared" si="42"/>
        <v>-15.909090909090908</v>
      </c>
      <c r="E401" s="182">
        <v>1</v>
      </c>
      <c r="F401" s="183">
        <v>1</v>
      </c>
      <c r="G401" s="191">
        <f t="shared" si="43"/>
        <v>0</v>
      </c>
      <c r="H401" s="188">
        <f t="shared" si="44"/>
        <v>3.4160005465600878E-3</v>
      </c>
      <c r="I401" s="188">
        <f t="shared" si="45"/>
        <v>2.8188070808433871E-3</v>
      </c>
      <c r="J401" s="182">
        <v>37</v>
      </c>
      <c r="K401" s="183">
        <v>44</v>
      </c>
      <c r="L401" s="191">
        <f t="shared" si="46"/>
        <v>-15.909090909090908</v>
      </c>
      <c r="M401" s="188">
        <f t="shared" si="47"/>
        <v>1.2773376141404726E-2</v>
      </c>
      <c r="N401" s="189">
        <f t="shared" si="48"/>
        <v>1.5273164009483246E-2</v>
      </c>
    </row>
    <row r="402" spans="1:14" collapsed="1">
      <c r="A402" s="180" t="s">
        <v>1361</v>
      </c>
      <c r="B402" s="179" t="s">
        <v>1207</v>
      </c>
      <c r="C402" s="186" t="str">
        <f t="shared" si="42"/>
        <v/>
      </c>
      <c r="E402" s="182">
        <v>8</v>
      </c>
      <c r="F402" s="183">
        <v>0</v>
      </c>
      <c r="G402" s="191" t="str">
        <f t="shared" si="43"/>
        <v/>
      </c>
      <c r="H402" s="188">
        <f t="shared" si="44"/>
        <v>2.7328004372480702E-2</v>
      </c>
      <c r="I402" s="188" t="str">
        <f t="shared" si="45"/>
        <v/>
      </c>
      <c r="J402" s="182">
        <v>31</v>
      </c>
      <c r="K402" s="183">
        <v>0</v>
      </c>
      <c r="L402" s="191" t="str">
        <f t="shared" si="46"/>
        <v/>
      </c>
      <c r="M402" s="188">
        <f t="shared" si="47"/>
        <v>1.070201784820396E-2</v>
      </c>
      <c r="N402" s="189" t="str">
        <f t="shared" si="48"/>
        <v/>
      </c>
    </row>
    <row r="403" spans="1:14" hidden="1" outlineLevel="1">
      <c r="A403" s="180"/>
      <c r="B403" s="190" t="s">
        <v>1216</v>
      </c>
      <c r="C403" s="186" t="str">
        <f t="shared" si="42"/>
        <v/>
      </c>
      <c r="E403" s="182">
        <v>8</v>
      </c>
      <c r="F403" s="183">
        <v>0</v>
      </c>
      <c r="G403" s="191" t="str">
        <f t="shared" si="43"/>
        <v/>
      </c>
      <c r="H403" s="188">
        <f t="shared" si="44"/>
        <v>2.7328004372480702E-2</v>
      </c>
      <c r="I403" s="188" t="str">
        <f t="shared" si="45"/>
        <v/>
      </c>
      <c r="J403" s="182">
        <v>31</v>
      </c>
      <c r="K403" s="183">
        <v>0</v>
      </c>
      <c r="L403" s="191" t="str">
        <f t="shared" si="46"/>
        <v/>
      </c>
      <c r="M403" s="188">
        <f t="shared" si="47"/>
        <v>1.070201784820396E-2</v>
      </c>
      <c r="N403" s="189" t="str">
        <f t="shared" si="48"/>
        <v/>
      </c>
    </row>
    <row r="404" spans="1:14" collapsed="1">
      <c r="A404" s="180" t="s">
        <v>1362</v>
      </c>
      <c r="B404" s="179" t="s">
        <v>260</v>
      </c>
      <c r="C404" s="186">
        <f t="shared" si="42"/>
        <v>-3.3333333333333335</v>
      </c>
      <c r="E404" s="182">
        <v>1</v>
      </c>
      <c r="F404" s="183">
        <v>1</v>
      </c>
      <c r="G404" s="191">
        <f t="shared" si="43"/>
        <v>0</v>
      </c>
      <c r="H404" s="188">
        <f t="shared" si="44"/>
        <v>3.4160005465600878E-3</v>
      </c>
      <c r="I404" s="188">
        <f t="shared" si="45"/>
        <v>2.8188070808433871E-3</v>
      </c>
      <c r="J404" s="182">
        <v>29</v>
      </c>
      <c r="K404" s="183">
        <v>30</v>
      </c>
      <c r="L404" s="191">
        <f t="shared" si="46"/>
        <v>-3.3333333333333335</v>
      </c>
      <c r="M404" s="188">
        <f t="shared" si="47"/>
        <v>1.0011565083803704E-2</v>
      </c>
      <c r="N404" s="189">
        <f t="shared" si="48"/>
        <v>1.0413520915556758E-2</v>
      </c>
    </row>
    <row r="405" spans="1:14" hidden="1" outlineLevel="1">
      <c r="A405" s="180"/>
      <c r="B405" s="190" t="s">
        <v>969</v>
      </c>
      <c r="C405" s="186">
        <f t="shared" si="42"/>
        <v>7.1428571428571423</v>
      </c>
      <c r="E405" s="182">
        <v>1</v>
      </c>
      <c r="F405" s="183">
        <v>1</v>
      </c>
      <c r="G405" s="191">
        <f t="shared" si="43"/>
        <v>0</v>
      </c>
      <c r="H405" s="188">
        <f t="shared" si="44"/>
        <v>3.4160005465600878E-3</v>
      </c>
      <c r="I405" s="188">
        <f t="shared" si="45"/>
        <v>2.8188070808433871E-3</v>
      </c>
      <c r="J405" s="182">
        <v>15</v>
      </c>
      <c r="K405" s="183">
        <v>14</v>
      </c>
      <c r="L405" s="191">
        <f t="shared" si="46"/>
        <v>7.1428571428571423</v>
      </c>
      <c r="M405" s="188">
        <f t="shared" si="47"/>
        <v>5.1783957330019158E-3</v>
      </c>
      <c r="N405" s="189">
        <f t="shared" si="48"/>
        <v>4.8596430939264875E-3</v>
      </c>
    </row>
    <row r="406" spans="1:14" hidden="1" outlineLevel="1">
      <c r="A406" s="180"/>
      <c r="B406" s="190" t="s">
        <v>968</v>
      </c>
      <c r="C406" s="186">
        <f t="shared" si="42"/>
        <v>7.6923076923076925</v>
      </c>
      <c r="E406" s="182">
        <v>0</v>
      </c>
      <c r="F406" s="183">
        <v>0</v>
      </c>
      <c r="G406" s="191" t="str">
        <f t="shared" si="43"/>
        <v/>
      </c>
      <c r="H406" s="188" t="str">
        <f t="shared" si="44"/>
        <v/>
      </c>
      <c r="I406" s="188" t="str">
        <f t="shared" si="45"/>
        <v/>
      </c>
      <c r="J406" s="182">
        <v>14</v>
      </c>
      <c r="K406" s="183">
        <v>13</v>
      </c>
      <c r="L406" s="191">
        <f t="shared" si="46"/>
        <v>7.6923076923076925</v>
      </c>
      <c r="M406" s="188">
        <f t="shared" si="47"/>
        <v>4.8331693508017878E-3</v>
      </c>
      <c r="N406" s="189">
        <f t="shared" si="48"/>
        <v>4.5125257300745953E-3</v>
      </c>
    </row>
    <row r="407" spans="1:14" hidden="1" outlineLevel="1">
      <c r="A407" s="180"/>
      <c r="B407" s="190" t="s">
        <v>1223</v>
      </c>
      <c r="C407" s="186">
        <f t="shared" si="42"/>
        <v>-100</v>
      </c>
      <c r="E407" s="182">
        <v>0</v>
      </c>
      <c r="F407" s="183">
        <v>0</v>
      </c>
      <c r="G407" s="191" t="str">
        <f t="shared" si="43"/>
        <v/>
      </c>
      <c r="H407" s="188" t="str">
        <f t="shared" si="44"/>
        <v/>
      </c>
      <c r="I407" s="188" t="str">
        <f t="shared" si="45"/>
        <v/>
      </c>
      <c r="J407" s="182">
        <v>0</v>
      </c>
      <c r="K407" s="183">
        <v>3</v>
      </c>
      <c r="L407" s="191">
        <f t="shared" si="46"/>
        <v>-100</v>
      </c>
      <c r="M407" s="188" t="str">
        <f t="shared" si="47"/>
        <v/>
      </c>
      <c r="N407" s="189">
        <f t="shared" si="48"/>
        <v>1.0413520915556757E-3</v>
      </c>
    </row>
    <row r="408" spans="1:14" collapsed="1">
      <c r="A408" s="180" t="s">
        <v>1363</v>
      </c>
      <c r="B408" s="179" t="s">
        <v>970</v>
      </c>
      <c r="C408" s="186">
        <f t="shared" si="42"/>
        <v>-11.76470588235294</v>
      </c>
      <c r="E408" s="182">
        <v>1</v>
      </c>
      <c r="F408" s="183">
        <v>1</v>
      </c>
      <c r="G408" s="191">
        <f t="shared" si="43"/>
        <v>0</v>
      </c>
      <c r="H408" s="188">
        <f t="shared" si="44"/>
        <v>3.4160005465600878E-3</v>
      </c>
      <c r="I408" s="188">
        <f t="shared" si="45"/>
        <v>2.8188070808433871E-3</v>
      </c>
      <c r="J408" s="182">
        <v>15</v>
      </c>
      <c r="K408" s="183">
        <v>17</v>
      </c>
      <c r="L408" s="191">
        <f t="shared" si="46"/>
        <v>-11.76470588235294</v>
      </c>
      <c r="M408" s="188">
        <f t="shared" si="47"/>
        <v>5.1783957330019158E-3</v>
      </c>
      <c r="N408" s="189">
        <f t="shared" si="48"/>
        <v>5.9009951854821626E-3</v>
      </c>
    </row>
    <row r="409" spans="1:14" hidden="1" outlineLevel="1">
      <c r="A409" s="180"/>
      <c r="B409" s="190" t="s">
        <v>970</v>
      </c>
      <c r="C409" s="186">
        <f t="shared" si="42"/>
        <v>-11.76470588235294</v>
      </c>
      <c r="E409" s="182">
        <v>1</v>
      </c>
      <c r="F409" s="183">
        <v>1</v>
      </c>
      <c r="G409" s="191">
        <f t="shared" si="43"/>
        <v>0</v>
      </c>
      <c r="H409" s="188">
        <f t="shared" si="44"/>
        <v>3.4160005465600878E-3</v>
      </c>
      <c r="I409" s="188">
        <f t="shared" si="45"/>
        <v>2.8188070808433871E-3</v>
      </c>
      <c r="J409" s="182">
        <v>15</v>
      </c>
      <c r="K409" s="183">
        <v>17</v>
      </c>
      <c r="L409" s="191">
        <f t="shared" si="46"/>
        <v>-11.76470588235294</v>
      </c>
      <c r="M409" s="188">
        <f t="shared" si="47"/>
        <v>5.1783957330019158E-3</v>
      </c>
      <c r="N409" s="189">
        <f t="shared" si="48"/>
        <v>5.9009951854821626E-3</v>
      </c>
    </row>
    <row r="410" spans="1:14" collapsed="1">
      <c r="A410" s="180" t="s">
        <v>1364</v>
      </c>
      <c r="B410" s="179" t="s">
        <v>1279</v>
      </c>
      <c r="C410" s="186" t="str">
        <f t="shared" si="42"/>
        <v/>
      </c>
      <c r="E410" s="182">
        <v>1</v>
      </c>
      <c r="F410" s="183">
        <v>0</v>
      </c>
      <c r="G410" s="191" t="str">
        <f t="shared" si="43"/>
        <v/>
      </c>
      <c r="H410" s="188">
        <f t="shared" si="44"/>
        <v>3.4160005465600878E-3</v>
      </c>
      <c r="I410" s="188" t="str">
        <f t="shared" si="45"/>
        <v/>
      </c>
      <c r="J410" s="182">
        <v>15</v>
      </c>
      <c r="K410" s="183">
        <v>0</v>
      </c>
      <c r="L410" s="191" t="str">
        <f t="shared" si="46"/>
        <v/>
      </c>
      <c r="M410" s="188">
        <f t="shared" si="47"/>
        <v>5.1783957330019158E-3</v>
      </c>
      <c r="N410" s="189" t="str">
        <f t="shared" si="48"/>
        <v/>
      </c>
    </row>
    <row r="411" spans="1:14" hidden="1" outlineLevel="1">
      <c r="A411" s="180"/>
      <c r="B411" s="190" t="s">
        <v>1293</v>
      </c>
      <c r="C411" s="186" t="str">
        <f t="shared" si="42"/>
        <v/>
      </c>
      <c r="E411" s="182">
        <v>1</v>
      </c>
      <c r="F411" s="183">
        <v>0</v>
      </c>
      <c r="G411" s="191" t="str">
        <f t="shared" si="43"/>
        <v/>
      </c>
      <c r="H411" s="188">
        <f t="shared" si="44"/>
        <v>3.4160005465600878E-3</v>
      </c>
      <c r="I411" s="188" t="str">
        <f t="shared" si="45"/>
        <v/>
      </c>
      <c r="J411" s="182">
        <v>15</v>
      </c>
      <c r="K411" s="183">
        <v>0</v>
      </c>
      <c r="L411" s="191" t="str">
        <f t="shared" si="46"/>
        <v/>
      </c>
      <c r="M411" s="188">
        <f t="shared" si="47"/>
        <v>5.1783957330019158E-3</v>
      </c>
      <c r="N411" s="189" t="str">
        <f t="shared" si="48"/>
        <v/>
      </c>
    </row>
    <row r="412" spans="1:14" collapsed="1">
      <c r="A412" s="180" t="s">
        <v>1365</v>
      </c>
      <c r="B412" s="179" t="s">
        <v>670</v>
      </c>
      <c r="C412" s="186">
        <f t="shared" si="42"/>
        <v>27.27272727272727</v>
      </c>
      <c r="E412" s="182">
        <v>0</v>
      </c>
      <c r="F412" s="183">
        <v>0</v>
      </c>
      <c r="G412" s="191" t="str">
        <f t="shared" si="43"/>
        <v/>
      </c>
      <c r="H412" s="188" t="str">
        <f t="shared" si="44"/>
        <v/>
      </c>
      <c r="I412" s="188" t="str">
        <f t="shared" si="45"/>
        <v/>
      </c>
      <c r="J412" s="182">
        <v>14</v>
      </c>
      <c r="K412" s="183">
        <v>11</v>
      </c>
      <c r="L412" s="191">
        <f t="shared" si="46"/>
        <v>27.27272727272727</v>
      </c>
      <c r="M412" s="188">
        <f t="shared" si="47"/>
        <v>4.8331693508017878E-3</v>
      </c>
      <c r="N412" s="189">
        <f t="shared" si="48"/>
        <v>3.8182910023708116E-3</v>
      </c>
    </row>
    <row r="413" spans="1:14" hidden="1" outlineLevel="1">
      <c r="A413" s="180"/>
      <c r="B413" s="190" t="s">
        <v>972</v>
      </c>
      <c r="C413" s="186">
        <f t="shared" si="42"/>
        <v>40</v>
      </c>
      <c r="E413" s="182">
        <v>0</v>
      </c>
      <c r="F413" s="183">
        <v>0</v>
      </c>
      <c r="G413" s="191" t="str">
        <f t="shared" si="43"/>
        <v/>
      </c>
      <c r="H413" s="188" t="str">
        <f t="shared" si="44"/>
        <v/>
      </c>
      <c r="I413" s="188" t="str">
        <f t="shared" si="45"/>
        <v/>
      </c>
      <c r="J413" s="182">
        <v>14</v>
      </c>
      <c r="K413" s="183">
        <v>10</v>
      </c>
      <c r="L413" s="191">
        <f t="shared" si="46"/>
        <v>40</v>
      </c>
      <c r="M413" s="188">
        <f t="shared" si="47"/>
        <v>4.8331693508017878E-3</v>
      </c>
      <c r="N413" s="189">
        <f t="shared" si="48"/>
        <v>3.4711736385189193E-3</v>
      </c>
    </row>
    <row r="414" spans="1:14" hidden="1" outlineLevel="1">
      <c r="A414" s="180"/>
      <c r="B414" s="190" t="s">
        <v>1197</v>
      </c>
      <c r="C414" s="186">
        <f t="shared" si="42"/>
        <v>-100</v>
      </c>
      <c r="E414" s="182">
        <v>0</v>
      </c>
      <c r="F414" s="183">
        <v>0</v>
      </c>
      <c r="G414" s="191" t="str">
        <f t="shared" si="43"/>
        <v/>
      </c>
      <c r="H414" s="188" t="str">
        <f t="shared" si="44"/>
        <v/>
      </c>
      <c r="I414" s="188" t="str">
        <f t="shared" si="45"/>
        <v/>
      </c>
      <c r="J414" s="182">
        <v>0</v>
      </c>
      <c r="K414" s="183">
        <v>1</v>
      </c>
      <c r="L414" s="191">
        <f t="shared" si="46"/>
        <v>-100</v>
      </c>
      <c r="M414" s="188" t="str">
        <f t="shared" si="47"/>
        <v/>
      </c>
      <c r="N414" s="189">
        <f t="shared" si="48"/>
        <v>3.4711736385189195E-4</v>
      </c>
    </row>
    <row r="415" spans="1:14" collapsed="1">
      <c r="A415" s="180" t="s">
        <v>1366</v>
      </c>
      <c r="B415" s="179" t="s">
        <v>281</v>
      </c>
      <c r="C415" s="186">
        <f t="shared" si="42"/>
        <v>-57.142857142857139</v>
      </c>
      <c r="E415" s="182">
        <v>0</v>
      </c>
      <c r="F415" s="183">
        <v>1</v>
      </c>
      <c r="G415" s="191">
        <f t="shared" si="43"/>
        <v>-100</v>
      </c>
      <c r="H415" s="188" t="str">
        <f t="shared" si="44"/>
        <v/>
      </c>
      <c r="I415" s="188">
        <f t="shared" si="45"/>
        <v>2.8188070808433871E-3</v>
      </c>
      <c r="J415" s="182">
        <v>9</v>
      </c>
      <c r="K415" s="183">
        <v>21</v>
      </c>
      <c r="L415" s="191">
        <f t="shared" si="46"/>
        <v>-57.142857142857139</v>
      </c>
      <c r="M415" s="188">
        <f t="shared" si="47"/>
        <v>3.1070374398011495E-3</v>
      </c>
      <c r="N415" s="189">
        <f t="shared" si="48"/>
        <v>7.2894646408897309E-3</v>
      </c>
    </row>
    <row r="416" spans="1:14" hidden="1" outlineLevel="1">
      <c r="A416" s="180"/>
      <c r="B416" s="190" t="s">
        <v>281</v>
      </c>
      <c r="C416" s="186">
        <f t="shared" si="42"/>
        <v>-57.142857142857139</v>
      </c>
      <c r="E416" s="182">
        <v>0</v>
      </c>
      <c r="F416" s="183">
        <v>1</v>
      </c>
      <c r="G416" s="191">
        <f t="shared" si="43"/>
        <v>-100</v>
      </c>
      <c r="H416" s="188" t="str">
        <f t="shared" si="44"/>
        <v/>
      </c>
      <c r="I416" s="188">
        <f t="shared" si="45"/>
        <v>2.8188070808433871E-3</v>
      </c>
      <c r="J416" s="182">
        <v>9</v>
      </c>
      <c r="K416" s="183">
        <v>21</v>
      </c>
      <c r="L416" s="191">
        <f t="shared" si="46"/>
        <v>-57.142857142857139</v>
      </c>
      <c r="M416" s="188">
        <f t="shared" si="47"/>
        <v>3.1070374398011495E-3</v>
      </c>
      <c r="N416" s="189">
        <f t="shared" si="48"/>
        <v>7.2894646408897309E-3</v>
      </c>
    </row>
    <row r="417" spans="1:14" collapsed="1">
      <c r="A417" s="180" t="s">
        <v>1294</v>
      </c>
      <c r="B417" s="179" t="s">
        <v>1157</v>
      </c>
      <c r="C417" s="186">
        <f t="shared" si="42"/>
        <v>133.33333333333331</v>
      </c>
      <c r="E417" s="182">
        <v>1</v>
      </c>
      <c r="F417" s="183">
        <v>2</v>
      </c>
      <c r="G417" s="191">
        <f t="shared" si="43"/>
        <v>-50</v>
      </c>
      <c r="H417" s="188">
        <f t="shared" si="44"/>
        <v>3.4160005465600878E-3</v>
      </c>
      <c r="I417" s="188">
        <f t="shared" si="45"/>
        <v>5.6376141616867742E-3</v>
      </c>
      <c r="J417" s="182">
        <v>7</v>
      </c>
      <c r="K417" s="183">
        <v>3</v>
      </c>
      <c r="L417" s="191">
        <f t="shared" si="46"/>
        <v>133.33333333333331</v>
      </c>
      <c r="M417" s="188">
        <f t="shared" si="47"/>
        <v>2.4165846754008939E-3</v>
      </c>
      <c r="N417" s="189">
        <f t="shared" si="48"/>
        <v>1.0413520915556757E-3</v>
      </c>
    </row>
    <row r="418" spans="1:14" hidden="1" outlineLevel="1">
      <c r="A418" s="180"/>
      <c r="B418" s="190" t="s">
        <v>1157</v>
      </c>
      <c r="C418" s="186">
        <f t="shared" si="42"/>
        <v>133.33333333333331</v>
      </c>
      <c r="E418" s="182">
        <v>1</v>
      </c>
      <c r="F418" s="183">
        <v>2</v>
      </c>
      <c r="G418" s="191">
        <f t="shared" si="43"/>
        <v>-50</v>
      </c>
      <c r="H418" s="188">
        <f t="shared" si="44"/>
        <v>3.4160005465600878E-3</v>
      </c>
      <c r="I418" s="188">
        <f t="shared" si="45"/>
        <v>5.6376141616867742E-3</v>
      </c>
      <c r="J418" s="182">
        <v>7</v>
      </c>
      <c r="K418" s="183">
        <v>3</v>
      </c>
      <c r="L418" s="191">
        <f t="shared" si="46"/>
        <v>133.33333333333331</v>
      </c>
      <c r="M418" s="188">
        <f t="shared" si="47"/>
        <v>2.4165846754008939E-3</v>
      </c>
      <c r="N418" s="189">
        <f t="shared" si="48"/>
        <v>1.0413520915556757E-3</v>
      </c>
    </row>
    <row r="419" spans="1:14" collapsed="1">
      <c r="A419" s="180" t="s">
        <v>1367</v>
      </c>
      <c r="B419" s="179" t="s">
        <v>552</v>
      </c>
      <c r="C419" s="186">
        <f t="shared" si="42"/>
        <v>-61.53846153846154</v>
      </c>
      <c r="E419" s="182">
        <v>0</v>
      </c>
      <c r="F419" s="183">
        <v>2</v>
      </c>
      <c r="G419" s="191">
        <f t="shared" si="43"/>
        <v>-100</v>
      </c>
      <c r="H419" s="188" t="str">
        <f t="shared" si="44"/>
        <v/>
      </c>
      <c r="I419" s="188">
        <f t="shared" si="45"/>
        <v>5.6376141616867742E-3</v>
      </c>
      <c r="J419" s="182">
        <v>5</v>
      </c>
      <c r="K419" s="183">
        <v>13</v>
      </c>
      <c r="L419" s="191">
        <f t="shared" si="46"/>
        <v>-61.53846153846154</v>
      </c>
      <c r="M419" s="188">
        <f t="shared" si="47"/>
        <v>1.7261319110006387E-3</v>
      </c>
      <c r="N419" s="189">
        <f t="shared" si="48"/>
        <v>4.5125257300745953E-3</v>
      </c>
    </row>
    <row r="420" spans="1:14" hidden="1" outlineLevel="1">
      <c r="A420" s="180"/>
      <c r="B420" s="190" t="s">
        <v>971</v>
      </c>
      <c r="C420" s="186">
        <f t="shared" si="42"/>
        <v>-61.53846153846154</v>
      </c>
      <c r="E420" s="182">
        <v>0</v>
      </c>
      <c r="F420" s="183">
        <v>2</v>
      </c>
      <c r="G420" s="191">
        <f t="shared" si="43"/>
        <v>-100</v>
      </c>
      <c r="H420" s="188" t="str">
        <f t="shared" si="44"/>
        <v/>
      </c>
      <c r="I420" s="188">
        <f t="shared" si="45"/>
        <v>5.6376141616867742E-3</v>
      </c>
      <c r="J420" s="182">
        <v>5</v>
      </c>
      <c r="K420" s="183">
        <v>13</v>
      </c>
      <c r="L420" s="191">
        <f t="shared" si="46"/>
        <v>-61.53846153846154</v>
      </c>
      <c r="M420" s="188">
        <f t="shared" si="47"/>
        <v>1.7261319110006387E-3</v>
      </c>
      <c r="N420" s="189">
        <f t="shared" si="48"/>
        <v>4.5125257300745953E-3</v>
      </c>
    </row>
    <row r="421" spans="1:14" collapsed="1">
      <c r="A421" s="180" t="s">
        <v>1368</v>
      </c>
      <c r="B421" s="179" t="s">
        <v>1262</v>
      </c>
      <c r="C421" s="186" t="str">
        <f t="shared" si="42"/>
        <v/>
      </c>
      <c r="E421" s="182">
        <v>0</v>
      </c>
      <c r="F421" s="183">
        <v>0</v>
      </c>
      <c r="G421" s="191" t="str">
        <f t="shared" si="43"/>
        <v/>
      </c>
      <c r="H421" s="188" t="str">
        <f t="shared" si="44"/>
        <v/>
      </c>
      <c r="I421" s="188" t="str">
        <f t="shared" si="45"/>
        <v/>
      </c>
      <c r="J421" s="182">
        <v>5</v>
      </c>
      <c r="K421" s="183">
        <v>0</v>
      </c>
      <c r="L421" s="191" t="str">
        <f t="shared" si="46"/>
        <v/>
      </c>
      <c r="M421" s="188">
        <f t="shared" si="47"/>
        <v>1.7261319110006387E-3</v>
      </c>
      <c r="N421" s="189" t="str">
        <f t="shared" si="48"/>
        <v/>
      </c>
    </row>
    <row r="422" spans="1:14" hidden="1" outlineLevel="1">
      <c r="A422" s="180"/>
      <c r="B422" s="190" t="s">
        <v>1263</v>
      </c>
      <c r="C422" s="186" t="str">
        <f t="shared" si="42"/>
        <v/>
      </c>
      <c r="E422" s="182">
        <v>0</v>
      </c>
      <c r="F422" s="183">
        <v>0</v>
      </c>
      <c r="G422" s="191" t="str">
        <f t="shared" si="43"/>
        <v/>
      </c>
      <c r="H422" s="188" t="str">
        <f t="shared" si="44"/>
        <v/>
      </c>
      <c r="I422" s="188" t="str">
        <f t="shared" si="45"/>
        <v/>
      </c>
      <c r="J422" s="182">
        <v>5</v>
      </c>
      <c r="K422" s="183">
        <v>0</v>
      </c>
      <c r="L422" s="191" t="str">
        <f t="shared" si="46"/>
        <v/>
      </c>
      <c r="M422" s="188">
        <f t="shared" si="47"/>
        <v>1.7261319110006387E-3</v>
      </c>
      <c r="N422" s="189" t="str">
        <f t="shared" si="48"/>
        <v/>
      </c>
    </row>
    <row r="423" spans="1:14" collapsed="1">
      <c r="A423" s="180" t="s">
        <v>1311</v>
      </c>
      <c r="B423" s="179" t="s">
        <v>1119</v>
      </c>
      <c r="C423" s="186" t="str">
        <f t="shared" si="42"/>
        <v/>
      </c>
      <c r="E423" s="182">
        <v>0</v>
      </c>
      <c r="F423" s="183">
        <v>0</v>
      </c>
      <c r="G423" s="191" t="str">
        <f t="shared" si="43"/>
        <v/>
      </c>
      <c r="H423" s="188" t="str">
        <f t="shared" si="44"/>
        <v/>
      </c>
      <c r="I423" s="188" t="str">
        <f t="shared" si="45"/>
        <v/>
      </c>
      <c r="J423" s="182">
        <v>5</v>
      </c>
      <c r="K423" s="183">
        <v>0</v>
      </c>
      <c r="L423" s="191" t="str">
        <f t="shared" si="46"/>
        <v/>
      </c>
      <c r="M423" s="188">
        <f t="shared" si="47"/>
        <v>1.7261319110006387E-3</v>
      </c>
      <c r="N423" s="189" t="str">
        <f t="shared" si="48"/>
        <v/>
      </c>
    </row>
    <row r="424" spans="1:14" hidden="1" outlineLevel="1">
      <c r="A424" s="180"/>
      <c r="B424" s="190" t="s">
        <v>1120</v>
      </c>
      <c r="C424" s="186" t="str">
        <f t="shared" si="42"/>
        <v/>
      </c>
      <c r="E424" s="182">
        <v>0</v>
      </c>
      <c r="F424" s="183">
        <v>0</v>
      </c>
      <c r="G424" s="191" t="str">
        <f t="shared" si="43"/>
        <v/>
      </c>
      <c r="H424" s="188" t="str">
        <f t="shared" si="44"/>
        <v/>
      </c>
      <c r="I424" s="188" t="str">
        <f t="shared" si="45"/>
        <v/>
      </c>
      <c r="J424" s="182">
        <v>5</v>
      </c>
      <c r="K424" s="183">
        <v>0</v>
      </c>
      <c r="L424" s="191" t="str">
        <f t="shared" si="46"/>
        <v/>
      </c>
      <c r="M424" s="188">
        <f t="shared" si="47"/>
        <v>1.7261319110006387E-3</v>
      </c>
      <c r="N424" s="189" t="str">
        <f t="shared" si="48"/>
        <v/>
      </c>
    </row>
    <row r="425" spans="1:14" collapsed="1">
      <c r="A425" s="180" t="s">
        <v>1369</v>
      </c>
      <c r="B425" s="179" t="s">
        <v>1264</v>
      </c>
      <c r="C425" s="186" t="str">
        <f t="shared" si="42"/>
        <v/>
      </c>
      <c r="E425" s="182">
        <v>1</v>
      </c>
      <c r="F425" s="183">
        <v>0</v>
      </c>
      <c r="G425" s="191" t="str">
        <f t="shared" si="43"/>
        <v/>
      </c>
      <c r="H425" s="188">
        <f t="shared" si="44"/>
        <v>3.4160005465600878E-3</v>
      </c>
      <c r="I425" s="188" t="str">
        <f t="shared" si="45"/>
        <v/>
      </c>
      <c r="J425" s="182">
        <v>3</v>
      </c>
      <c r="K425" s="183">
        <v>0</v>
      </c>
      <c r="L425" s="191" t="str">
        <f t="shared" si="46"/>
        <v/>
      </c>
      <c r="M425" s="188">
        <f t="shared" si="47"/>
        <v>1.0356791466003832E-3</v>
      </c>
      <c r="N425" s="189" t="str">
        <f t="shared" si="48"/>
        <v/>
      </c>
    </row>
    <row r="426" spans="1:14" hidden="1" outlineLevel="1">
      <c r="A426" s="180"/>
      <c r="B426" s="190" t="s">
        <v>1265</v>
      </c>
      <c r="C426" s="186" t="str">
        <f t="shared" si="42"/>
        <v/>
      </c>
      <c r="E426" s="182">
        <v>1</v>
      </c>
      <c r="F426" s="183">
        <v>0</v>
      </c>
      <c r="G426" s="191" t="str">
        <f t="shared" si="43"/>
        <v/>
      </c>
      <c r="H426" s="188">
        <f t="shared" si="44"/>
        <v>3.4160005465600878E-3</v>
      </c>
      <c r="I426" s="188" t="str">
        <f t="shared" si="45"/>
        <v/>
      </c>
      <c r="J426" s="182">
        <v>3</v>
      </c>
      <c r="K426" s="183">
        <v>0</v>
      </c>
      <c r="L426" s="191" t="str">
        <f t="shared" si="46"/>
        <v/>
      </c>
      <c r="M426" s="188">
        <f t="shared" si="47"/>
        <v>1.0356791466003832E-3</v>
      </c>
      <c r="N426" s="189" t="str">
        <f t="shared" si="48"/>
        <v/>
      </c>
    </row>
    <row r="427" spans="1:14" collapsed="1">
      <c r="A427" s="180" t="s">
        <v>1370</v>
      </c>
      <c r="B427" s="179" t="s">
        <v>1295</v>
      </c>
      <c r="C427" s="186" t="str">
        <f t="shared" si="42"/>
        <v/>
      </c>
      <c r="E427" s="182">
        <v>0</v>
      </c>
      <c r="F427" s="183">
        <v>0</v>
      </c>
      <c r="G427" s="191" t="str">
        <f t="shared" si="43"/>
        <v/>
      </c>
      <c r="H427" s="188" t="str">
        <f t="shared" si="44"/>
        <v/>
      </c>
      <c r="I427" s="188" t="str">
        <f t="shared" si="45"/>
        <v/>
      </c>
      <c r="J427" s="182">
        <v>3</v>
      </c>
      <c r="K427" s="183">
        <v>0</v>
      </c>
      <c r="L427" s="191" t="str">
        <f t="shared" si="46"/>
        <v/>
      </c>
      <c r="M427" s="188">
        <f t="shared" si="47"/>
        <v>1.0356791466003832E-3</v>
      </c>
      <c r="N427" s="189" t="str">
        <f t="shared" si="48"/>
        <v/>
      </c>
    </row>
    <row r="428" spans="1:14" hidden="1" outlineLevel="1">
      <c r="A428" s="180"/>
      <c r="B428" s="190" t="s">
        <v>1296</v>
      </c>
      <c r="C428" s="186" t="str">
        <f t="shared" si="42"/>
        <v/>
      </c>
      <c r="E428" s="182">
        <v>0</v>
      </c>
      <c r="F428" s="183">
        <v>0</v>
      </c>
      <c r="G428" s="191" t="str">
        <f t="shared" si="43"/>
        <v/>
      </c>
      <c r="H428" s="188" t="str">
        <f t="shared" si="44"/>
        <v/>
      </c>
      <c r="I428" s="188" t="str">
        <f t="shared" si="45"/>
        <v/>
      </c>
      <c r="J428" s="182">
        <v>2</v>
      </c>
      <c r="K428" s="183">
        <v>0</v>
      </c>
      <c r="L428" s="191" t="str">
        <f t="shared" si="46"/>
        <v/>
      </c>
      <c r="M428" s="188">
        <f t="shared" si="47"/>
        <v>6.9045276440025548E-4</v>
      </c>
      <c r="N428" s="189" t="str">
        <f t="shared" si="48"/>
        <v/>
      </c>
    </row>
    <row r="429" spans="1:14" hidden="1" outlineLevel="1">
      <c r="A429" s="180"/>
      <c r="B429" s="190" t="s">
        <v>1297</v>
      </c>
      <c r="C429" s="186" t="str">
        <f t="shared" si="42"/>
        <v/>
      </c>
      <c r="E429" s="182">
        <v>0</v>
      </c>
      <c r="F429" s="183">
        <v>0</v>
      </c>
      <c r="G429" s="191" t="str">
        <f t="shared" si="43"/>
        <v/>
      </c>
      <c r="H429" s="188" t="str">
        <f t="shared" si="44"/>
        <v/>
      </c>
      <c r="I429" s="188" t="str">
        <f t="shared" si="45"/>
        <v/>
      </c>
      <c r="J429" s="182">
        <v>1</v>
      </c>
      <c r="K429" s="183">
        <v>0</v>
      </c>
      <c r="L429" s="191" t="str">
        <f t="shared" si="46"/>
        <v/>
      </c>
      <c r="M429" s="188">
        <f t="shared" si="47"/>
        <v>3.4522638220012774E-4</v>
      </c>
      <c r="N429" s="189" t="str">
        <f t="shared" si="48"/>
        <v/>
      </c>
    </row>
    <row r="430" spans="1:14" collapsed="1">
      <c r="A430" s="180" t="s">
        <v>1312</v>
      </c>
      <c r="B430" s="179" t="s">
        <v>1143</v>
      </c>
      <c r="C430" s="186">
        <f t="shared" si="42"/>
        <v>-71.428571428571431</v>
      </c>
      <c r="E430" s="182">
        <v>0</v>
      </c>
      <c r="F430" s="183">
        <v>0</v>
      </c>
      <c r="G430" s="191" t="str">
        <f t="shared" si="43"/>
        <v/>
      </c>
      <c r="H430" s="188" t="str">
        <f t="shared" si="44"/>
        <v/>
      </c>
      <c r="I430" s="188" t="str">
        <f t="shared" si="45"/>
        <v/>
      </c>
      <c r="J430" s="182">
        <v>2</v>
      </c>
      <c r="K430" s="183">
        <v>7</v>
      </c>
      <c r="L430" s="191">
        <f t="shared" si="46"/>
        <v>-71.428571428571431</v>
      </c>
      <c r="M430" s="188">
        <f t="shared" si="47"/>
        <v>6.9045276440025548E-4</v>
      </c>
      <c r="N430" s="189">
        <f t="shared" si="48"/>
        <v>2.4298215469632438E-3</v>
      </c>
    </row>
    <row r="431" spans="1:14" hidden="1" outlineLevel="1">
      <c r="A431" s="180"/>
      <c r="B431" s="190" t="s">
        <v>1144</v>
      </c>
      <c r="C431" s="186">
        <f t="shared" si="42"/>
        <v>-71.428571428571431</v>
      </c>
      <c r="E431" s="182">
        <v>0</v>
      </c>
      <c r="F431" s="183">
        <v>0</v>
      </c>
      <c r="G431" s="191" t="str">
        <f t="shared" si="43"/>
        <v/>
      </c>
      <c r="H431" s="188" t="str">
        <f t="shared" si="44"/>
        <v/>
      </c>
      <c r="I431" s="188" t="str">
        <f t="shared" si="45"/>
        <v/>
      </c>
      <c r="J431" s="182">
        <v>2</v>
      </c>
      <c r="K431" s="183">
        <v>7</v>
      </c>
      <c r="L431" s="191">
        <f t="shared" si="46"/>
        <v>-71.428571428571431</v>
      </c>
      <c r="M431" s="188">
        <f t="shared" si="47"/>
        <v>6.9045276440025548E-4</v>
      </c>
      <c r="N431" s="189">
        <f t="shared" si="48"/>
        <v>2.4298215469632438E-3</v>
      </c>
    </row>
    <row r="432" spans="1:14" collapsed="1">
      <c r="A432" s="180" t="s">
        <v>1371</v>
      </c>
      <c r="B432" s="179" t="s">
        <v>553</v>
      </c>
      <c r="C432" s="186">
        <f t="shared" si="42"/>
        <v>-33.333333333333329</v>
      </c>
      <c r="E432" s="182">
        <v>0</v>
      </c>
      <c r="F432" s="183">
        <v>0</v>
      </c>
      <c r="G432" s="191" t="str">
        <f t="shared" si="43"/>
        <v/>
      </c>
      <c r="H432" s="188" t="str">
        <f t="shared" si="44"/>
        <v/>
      </c>
      <c r="I432" s="188" t="str">
        <f t="shared" si="45"/>
        <v/>
      </c>
      <c r="J432" s="182">
        <v>2</v>
      </c>
      <c r="K432" s="183">
        <v>3</v>
      </c>
      <c r="L432" s="191">
        <f t="shared" si="46"/>
        <v>-33.333333333333329</v>
      </c>
      <c r="M432" s="188">
        <f t="shared" si="47"/>
        <v>6.9045276440025548E-4</v>
      </c>
      <c r="N432" s="189">
        <f t="shared" si="48"/>
        <v>1.0413520915556757E-3</v>
      </c>
    </row>
    <row r="433" spans="1:14" hidden="1" outlineLevel="1">
      <c r="A433" s="180"/>
      <c r="B433" s="190" t="s">
        <v>553</v>
      </c>
      <c r="C433" s="186">
        <f t="shared" si="42"/>
        <v>-33.333333333333329</v>
      </c>
      <c r="E433" s="182">
        <v>0</v>
      </c>
      <c r="F433" s="183">
        <v>0</v>
      </c>
      <c r="G433" s="191" t="str">
        <f t="shared" si="43"/>
        <v/>
      </c>
      <c r="H433" s="188" t="str">
        <f t="shared" si="44"/>
        <v/>
      </c>
      <c r="I433" s="188" t="str">
        <f t="shared" si="45"/>
        <v/>
      </c>
      <c r="J433" s="182">
        <v>2</v>
      </c>
      <c r="K433" s="183">
        <v>3</v>
      </c>
      <c r="L433" s="191">
        <f t="shared" si="46"/>
        <v>-33.333333333333329</v>
      </c>
      <c r="M433" s="188">
        <f t="shared" si="47"/>
        <v>6.9045276440025548E-4</v>
      </c>
      <c r="N433" s="189">
        <f t="shared" si="48"/>
        <v>1.0413520915556757E-3</v>
      </c>
    </row>
    <row r="434" spans="1:14" collapsed="1">
      <c r="A434" s="180"/>
      <c r="B434" s="179" t="s">
        <v>295</v>
      </c>
      <c r="C434" s="186">
        <f t="shared" si="42"/>
        <v>-4.3360433604336039</v>
      </c>
      <c r="E434" s="182">
        <v>50</v>
      </c>
      <c r="F434" s="183">
        <v>92</v>
      </c>
      <c r="G434" s="191">
        <f t="shared" si="43"/>
        <v>-45.652173913043477</v>
      </c>
      <c r="H434" s="188">
        <f t="shared" si="44"/>
        <v>0.17080002732800437</v>
      </c>
      <c r="I434" s="188">
        <f t="shared" si="45"/>
        <v>0.25933025143759159</v>
      </c>
      <c r="J434" s="182">
        <v>353</v>
      </c>
      <c r="K434" s="183">
        <v>369</v>
      </c>
      <c r="L434" s="191">
        <f t="shared" si="46"/>
        <v>-4.3360433604336039</v>
      </c>
      <c r="M434" s="188">
        <f t="shared" si="47"/>
        <v>0.1218649129166451</v>
      </c>
      <c r="N434" s="189">
        <f t="shared" si="48"/>
        <v>0.12808630726134812</v>
      </c>
    </row>
    <row r="435" spans="1:14" hidden="1" outlineLevel="1">
      <c r="A435" s="180"/>
      <c r="B435" s="190" t="s">
        <v>463</v>
      </c>
      <c r="C435" s="186">
        <f t="shared" si="42"/>
        <v>-4.3360433604336039</v>
      </c>
      <c r="E435" s="182">
        <v>50</v>
      </c>
      <c r="F435" s="183">
        <v>92</v>
      </c>
      <c r="G435" s="191">
        <f t="shared" si="43"/>
        <v>-45.652173913043477</v>
      </c>
      <c r="H435" s="188">
        <f t="shared" si="44"/>
        <v>0.17080002732800437</v>
      </c>
      <c r="I435" s="188">
        <f t="shared" si="45"/>
        <v>0.25933025143759159</v>
      </c>
      <c r="J435" s="182">
        <v>353</v>
      </c>
      <c r="K435" s="183">
        <v>369</v>
      </c>
      <c r="L435" s="191">
        <f t="shared" si="46"/>
        <v>-4.3360433604336039</v>
      </c>
      <c r="M435" s="188">
        <f t="shared" si="47"/>
        <v>0.1218649129166451</v>
      </c>
      <c r="N435" s="189">
        <f t="shared" si="48"/>
        <v>0.12808630726134812</v>
      </c>
    </row>
    <row r="436" spans="1:14">
      <c r="A436" s="180"/>
      <c r="B436" s="192"/>
      <c r="C436" s="186"/>
      <c r="E436" s="182"/>
      <c r="F436" s="183"/>
      <c r="G436" s="191"/>
      <c r="H436" s="188"/>
      <c r="I436" s="188"/>
      <c r="J436" s="182"/>
      <c r="K436" s="183"/>
      <c r="L436" s="191"/>
      <c r="M436" s="188"/>
      <c r="N436" s="189"/>
    </row>
    <row r="437" spans="1:14" ht="15" customHeight="1">
      <c r="B437" s="193" t="s">
        <v>973</v>
      </c>
      <c r="C437" s="194"/>
      <c r="D437" s="195"/>
      <c r="E437" s="196">
        <f>SUM(E10 + E20 + E41 + E53 + E71 + E76 + E98 + E121 + E149 + E158 + E170 + E178 + E196 + E209 + E220 + E230 + E235 + E247 + E250 + E256 + E266 + E271 + E278 + E284 + E294 + E306 + E314 + E320 + E324 + E330 + E332 + E340 + E344 + E346 + E350 + E356 + E360 + E364 + E369 + E376 + E378 + E381 + E383 + E387 + E391 + E398 + E400 + E402 + E404 + E408 + E410 + E412 + E415 + E417 + E419 + E421 + E423 + E425 + E427 + E430 + E432 + E434)</f>
        <v>29274</v>
      </c>
      <c r="F437" s="196">
        <f>SUM(F10 + F20 + F41 + F53 + F71 + F76 + F98 + F121 + F149 + F158 + F170 + F178 + F196 + F209 + F220 + F230 + F235 + F247 + F250 + F256 + F266 + F271 + F278 + F284 + F294 + F306 + F314 + F320 + F324 + F330 + F332 + F340 + F344 + F346 + F350 + F356 + F360 + F364 + F369 + F376 + F378 + F381 + F383 + F387 + F391 + F398 + F400 + F402 + F404 + F408 + F410 + F412 + F415 + F417 + F419 + F421 + F423 + F425 + F427 + F430 + F432 + F434)</f>
        <v>35476</v>
      </c>
      <c r="G437" s="196"/>
      <c r="H437" s="197"/>
      <c r="I437" s="197"/>
      <c r="J437" s="196">
        <f>SUM(J10 + J20 + J41 + J53 + J71 + J76 + J98 + J121 + J149 + J158 + J170 + J178 + J196 + J209 + J220 + J230 + J235 + J247 + J250 + J256 + J266 + J271 + J278 + J284 + J294 + J306 + J314 + J320 + J324 + J330 + J332 + J340 + J344 + J346 + J350 + J356 + J360 + J364 + J369 + J376 + J378 + J381 + J383 + J387 + J391 + J398 + J400 + J402 + J404 + J408 + J410 + J412 + J415 + J417 + J419 + J421 + J423 + J425 + J427 + J430 + J432 + J434)</f>
        <v>289665</v>
      </c>
      <c r="K437" s="196">
        <f>SUM(K10 + K20 + K41 + K53 + K71 + K76 + K98 + K121 + K149 + K158 + K170 + K178 + K196 + K209 + K220 + K230 + K235 + K247 + K250 + K256 + K266 + K271 + K278 + K284 + K294 + K306 + K314 + K320 + K324 + K330 + K332 + K340 + K344 + K346 + K350 + K356 + K360 + K364 + K369 + K376 + K378 + K381 + K383 + K387 + K391 + K398 + K400 + K402 + K404 + K408 + K410 + K412 + K415 + K417 + K419 + K421 + K423 + K425 + K427 + K430 + K432 + K434)</f>
        <v>288087</v>
      </c>
      <c r="L437" s="196"/>
      <c r="M437" s="197"/>
      <c r="N437" s="193"/>
    </row>
    <row r="438" spans="1:14">
      <c r="B438" s="198" t="s">
        <v>974</v>
      </c>
      <c r="C438" s="199"/>
      <c r="D438" s="195"/>
      <c r="E438" s="200">
        <f>CntPeriod-CntPeriodPrevYear</f>
        <v>-6202</v>
      </c>
      <c r="F438" s="200"/>
      <c r="G438" s="201">
        <f>(CntPeriod/CntPeriodPrevYear)-100%</f>
        <v>-0.17482241515390684</v>
      </c>
      <c r="H438" s="202"/>
      <c r="I438" s="203"/>
      <c r="J438" s="204">
        <f>CntYearAck-CntPrevYearAck</f>
        <v>1578</v>
      </c>
      <c r="K438" s="205"/>
      <c r="L438" s="206">
        <f>(CntYearAck/CntPrevYearAck)-100%</f>
        <v>5.4775120015828627E-3</v>
      </c>
      <c r="M438" s="207"/>
      <c r="N438" s="207"/>
    </row>
    <row r="441" spans="1:14">
      <c r="B441" s="59" t="s">
        <v>975</v>
      </c>
    </row>
    <row r="442" spans="1:14">
      <c r="B442" s="59" t="s">
        <v>976</v>
      </c>
      <c r="C442" s="208"/>
      <c r="D442" s="209"/>
      <c r="E442" s="59"/>
      <c r="F442" s="59"/>
      <c r="G442" s="59"/>
      <c r="H442" s="59"/>
      <c r="I442" s="59"/>
      <c r="J442" s="59"/>
      <c r="K442" s="59"/>
      <c r="L442" s="59"/>
      <c r="M442" s="59"/>
    </row>
    <row r="443" spans="1:14">
      <c r="C443" s="208"/>
      <c r="D443" s="209"/>
      <c r="E443" s="59"/>
      <c r="F443" s="59"/>
      <c r="G443" s="59"/>
      <c r="H443" s="59"/>
      <c r="I443" s="59"/>
      <c r="J443" s="59"/>
      <c r="K443" s="59"/>
      <c r="L443" s="59"/>
      <c r="M443" s="59"/>
    </row>
    <row r="444" spans="1:14">
      <c r="C444" s="208"/>
      <c r="D444" s="209"/>
      <c r="E444" s="59"/>
      <c r="F444" s="59"/>
      <c r="G444" s="59"/>
      <c r="H444" s="59"/>
      <c r="I444" s="59"/>
      <c r="J444" s="59"/>
      <c r="K444" s="59"/>
      <c r="L444" s="59"/>
      <c r="M444" s="59"/>
    </row>
    <row r="445" spans="1:14">
      <c r="B445" s="59" t="s">
        <v>677</v>
      </c>
      <c r="C445" s="208"/>
      <c r="D445" s="209"/>
      <c r="E445" s="59"/>
      <c r="F445" s="59"/>
      <c r="G445" s="59"/>
      <c r="H445" s="59"/>
      <c r="I445" s="59"/>
      <c r="J445" s="59"/>
      <c r="K445" s="59"/>
      <c r="L445" s="59"/>
      <c r="M445" s="59"/>
    </row>
    <row r="446" spans="1:14">
      <c r="C446" s="208"/>
      <c r="D446" s="209"/>
      <c r="E446" s="59"/>
      <c r="F446" s="59"/>
      <c r="G446" s="59"/>
      <c r="H446" s="59"/>
      <c r="I446" s="59"/>
      <c r="J446" s="59"/>
      <c r="K446" s="59"/>
      <c r="L446" s="59"/>
      <c r="M446" s="59"/>
    </row>
  </sheetData>
  <mergeCells count="10">
    <mergeCell ref="E8:F8"/>
    <mergeCell ref="H8:I8"/>
    <mergeCell ref="J8:K8"/>
    <mergeCell ref="M8:N8"/>
    <mergeCell ref="E1:N1"/>
    <mergeCell ref="E6:I6"/>
    <mergeCell ref="J6:N6"/>
    <mergeCell ref="A7:D7"/>
    <mergeCell ref="E7:I7"/>
    <mergeCell ref="J7:N7"/>
  </mergeCells>
  <conditionalFormatting sqref="E438:H438 J438:L438">
    <cfRule type="cellIs" dxfId="9" priority="3" stopIfTrue="1" operator="lessThan">
      <formula>0</formula>
    </cfRule>
  </conditionalFormatting>
  <conditionalFormatting sqref="G10:G436 L10:L436">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B734EBD4-E687-41D3-96A2-6A0B054E5CD8}">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C442:C446</xm:sqref>
        </x14:conditionalFormatting>
        <x14:conditionalFormatting xmlns:xm="http://schemas.microsoft.com/office/excel/2006/main">
          <x14:cfRule type="iconSet" priority="2" id="{95AD5347-15A1-4442-BC71-F5F7F2EB76D0}">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C447:C1048576 C1:C5 C8:C441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105"/>
  <sheetViews>
    <sheetView workbookViewId="0">
      <pane ySplit="7" topLeftCell="A8" activePane="bottomLeft" state="frozen"/>
      <selection activeCell="D49" sqref="D49"/>
      <selection pane="bottomLeft" activeCell="G92" sqref="G92"/>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456</v>
      </c>
      <c r="C2" s="56"/>
      <c r="D2" s="56"/>
      <c r="E2" s="56"/>
      <c r="F2" s="56"/>
      <c r="G2" s="56"/>
      <c r="H2"/>
      <c r="I2"/>
    </row>
    <row r="4" spans="1:9">
      <c r="A4" s="55" t="s">
        <v>457</v>
      </c>
      <c r="B4" s="22"/>
      <c r="C4" s="65"/>
      <c r="D4" s="65"/>
      <c r="E4" s="22"/>
      <c r="F4" s="230" t="s">
        <v>452</v>
      </c>
      <c r="G4" s="230"/>
      <c r="H4" s="230"/>
      <c r="I4" s="230"/>
    </row>
    <row r="5" spans="1:9">
      <c r="A5" s="103"/>
      <c r="B5" s="250" t="s">
        <v>535</v>
      </c>
      <c r="C5" s="251"/>
      <c r="D5" s="250" t="s">
        <v>535</v>
      </c>
      <c r="E5" s="251"/>
      <c r="F5" s="252" t="s">
        <v>536</v>
      </c>
      <c r="G5" s="253"/>
      <c r="H5" s="254" t="s">
        <v>537</v>
      </c>
      <c r="I5" s="255"/>
    </row>
    <row r="6" spans="1:9">
      <c r="A6" s="103" t="s">
        <v>561</v>
      </c>
      <c r="B6" s="104" t="str">
        <f>Innehåll!D79</f>
        <v xml:space="preserve"> 2023-12</v>
      </c>
      <c r="C6" s="104" t="str">
        <f>Innehåll!D80</f>
        <v xml:space="preserve"> 2022-12</v>
      </c>
      <c r="D6" s="104" t="str">
        <f>Innehåll!D81</f>
        <v>YTD  2023</v>
      </c>
      <c r="E6" s="104" t="str">
        <f>Innehåll!D82</f>
        <v>YTD  2022</v>
      </c>
      <c r="F6" s="105" t="str">
        <f>B6</f>
        <v xml:space="preserve"> 2023-12</v>
      </c>
      <c r="G6" s="106" t="str">
        <f>D6</f>
        <v>YTD  2023</v>
      </c>
      <c r="H6" s="107" t="str">
        <f>D6</f>
        <v>YTD  2023</v>
      </c>
      <c r="I6" s="107" t="str">
        <f>E6</f>
        <v>YTD  2022</v>
      </c>
    </row>
    <row r="7" spans="1:9" hidden="1">
      <c r="A7" s="165" t="s">
        <v>328</v>
      </c>
      <c r="B7" s="135" t="s">
        <v>307</v>
      </c>
      <c r="C7" s="135" t="s">
        <v>308</v>
      </c>
      <c r="D7" s="135" t="s">
        <v>309</v>
      </c>
      <c r="E7" s="135" t="s">
        <v>310</v>
      </c>
      <c r="F7" s="135" t="s">
        <v>323</v>
      </c>
      <c r="G7" s="135" t="s">
        <v>324</v>
      </c>
      <c r="H7" s="135" t="s">
        <v>311</v>
      </c>
      <c r="I7" s="135" t="s">
        <v>312</v>
      </c>
    </row>
    <row r="8" spans="1:9">
      <c r="A8" s="166" t="s">
        <v>1012</v>
      </c>
      <c r="B8" s="142">
        <v>83</v>
      </c>
      <c r="C8" s="142">
        <v>103</v>
      </c>
      <c r="D8" s="142">
        <v>2457</v>
      </c>
      <c r="E8" s="142">
        <v>3326</v>
      </c>
      <c r="F8" s="144">
        <v>-19.417475728155338</v>
      </c>
      <c r="G8" s="144">
        <v>-26.127480457005415</v>
      </c>
      <c r="H8" s="144">
        <v>0.85</v>
      </c>
      <c r="I8" s="144">
        <v>1.1499999999999999</v>
      </c>
    </row>
    <row r="9" spans="1:9">
      <c r="A9" s="167" t="s">
        <v>258</v>
      </c>
      <c r="B9" s="142">
        <v>6</v>
      </c>
      <c r="C9" s="142">
        <v>18</v>
      </c>
      <c r="D9" s="142">
        <v>233</v>
      </c>
      <c r="E9" s="142">
        <v>88</v>
      </c>
      <c r="F9" s="144">
        <v>-66.666666666666657</v>
      </c>
      <c r="G9" s="144">
        <v>164.77272727272728</v>
      </c>
      <c r="H9" s="144">
        <v>0.08</v>
      </c>
      <c r="I9" s="144">
        <v>0.03</v>
      </c>
    </row>
    <row r="10" spans="1:9">
      <c r="A10" s="167" t="s">
        <v>265</v>
      </c>
      <c r="B10" s="142">
        <v>72</v>
      </c>
      <c r="C10" s="142">
        <v>76</v>
      </c>
      <c r="D10" s="142">
        <v>2082</v>
      </c>
      <c r="E10" s="142">
        <v>2894</v>
      </c>
      <c r="F10" s="144">
        <v>-5.2631578947368416</v>
      </c>
      <c r="G10" s="144">
        <v>-28.058051140290257</v>
      </c>
      <c r="H10" s="144">
        <v>0.72</v>
      </c>
      <c r="I10" s="144">
        <v>1</v>
      </c>
    </row>
    <row r="11" spans="1:9">
      <c r="A11" s="167" t="s">
        <v>271</v>
      </c>
      <c r="B11" s="142">
        <v>5</v>
      </c>
      <c r="C11" s="142">
        <v>9</v>
      </c>
      <c r="D11" s="142">
        <v>142</v>
      </c>
      <c r="E11" s="142">
        <v>344</v>
      </c>
      <c r="F11" s="144">
        <v>-44.444444444444443</v>
      </c>
      <c r="G11" s="144">
        <v>-58.720930232558146</v>
      </c>
      <c r="H11" s="144">
        <v>0.05</v>
      </c>
      <c r="I11" s="144">
        <v>0.12</v>
      </c>
    </row>
    <row r="12" spans="1:9">
      <c r="A12" s="166" t="s">
        <v>313</v>
      </c>
      <c r="B12" s="142">
        <v>35</v>
      </c>
      <c r="C12" s="142">
        <v>35</v>
      </c>
      <c r="D12" s="142">
        <v>470</v>
      </c>
      <c r="E12" s="142">
        <v>565</v>
      </c>
      <c r="F12" s="144">
        <v>0</v>
      </c>
      <c r="G12" s="144">
        <v>-16.814159292035399</v>
      </c>
      <c r="H12" s="144">
        <v>0.16</v>
      </c>
      <c r="I12" s="144">
        <v>0.2</v>
      </c>
    </row>
    <row r="13" spans="1:9">
      <c r="A13" s="167" t="s">
        <v>270</v>
      </c>
      <c r="B13" s="142">
        <v>1</v>
      </c>
      <c r="C13" s="142">
        <v>3</v>
      </c>
      <c r="D13" s="142">
        <v>59</v>
      </c>
      <c r="E13" s="142">
        <v>103</v>
      </c>
      <c r="F13" s="144">
        <v>-66.666666666666657</v>
      </c>
      <c r="G13" s="144">
        <v>-42.718446601941743</v>
      </c>
      <c r="H13" s="144">
        <v>0.02</v>
      </c>
      <c r="I13" s="144">
        <v>0.04</v>
      </c>
    </row>
    <row r="14" spans="1:9">
      <c r="A14" s="167" t="s">
        <v>274</v>
      </c>
      <c r="B14" s="142">
        <v>34</v>
      </c>
      <c r="C14" s="142">
        <v>32</v>
      </c>
      <c r="D14" s="142">
        <v>411</v>
      </c>
      <c r="E14" s="142">
        <v>462</v>
      </c>
      <c r="F14" s="144">
        <v>6.25</v>
      </c>
      <c r="G14" s="144">
        <v>-11.038961038961039</v>
      </c>
      <c r="H14" s="144">
        <v>0.14000000000000001</v>
      </c>
      <c r="I14" s="144">
        <v>0.16</v>
      </c>
    </row>
    <row r="15" spans="1:9">
      <c r="A15" s="166" t="s">
        <v>314</v>
      </c>
      <c r="B15" s="142">
        <v>1545</v>
      </c>
      <c r="C15" s="142">
        <v>1776</v>
      </c>
      <c r="D15" s="142">
        <v>17649</v>
      </c>
      <c r="E15" s="142">
        <v>19406</v>
      </c>
      <c r="F15" s="144">
        <v>-13.006756756756758</v>
      </c>
      <c r="G15" s="144">
        <v>-9.0539008554055442</v>
      </c>
      <c r="H15" s="144">
        <v>6.09</v>
      </c>
      <c r="I15" s="144">
        <v>6.74</v>
      </c>
    </row>
    <row r="16" spans="1:9">
      <c r="A16" s="167" t="s">
        <v>261</v>
      </c>
      <c r="B16" s="142">
        <v>1366</v>
      </c>
      <c r="C16" s="142">
        <v>1573</v>
      </c>
      <c r="D16" s="142">
        <v>15597</v>
      </c>
      <c r="E16" s="142">
        <v>16563</v>
      </c>
      <c r="F16" s="144">
        <v>-13.159567705022251</v>
      </c>
      <c r="G16" s="144">
        <v>-5.8322767614562583</v>
      </c>
      <c r="H16" s="144">
        <v>5.38</v>
      </c>
      <c r="I16" s="144">
        <v>5.75</v>
      </c>
    </row>
    <row r="17" spans="1:9">
      <c r="A17" s="167" t="s">
        <v>279</v>
      </c>
      <c r="B17" s="142">
        <v>179</v>
      </c>
      <c r="C17" s="142">
        <v>203</v>
      </c>
      <c r="D17" s="142">
        <v>2052</v>
      </c>
      <c r="E17" s="142">
        <v>2843</v>
      </c>
      <c r="F17" s="144">
        <v>-11.822660098522167</v>
      </c>
      <c r="G17" s="144">
        <v>-27.822722476257471</v>
      </c>
      <c r="H17" s="144">
        <v>0.71</v>
      </c>
      <c r="I17" s="144">
        <v>0.99</v>
      </c>
    </row>
    <row r="18" spans="1:9">
      <c r="A18" s="166" t="s">
        <v>1280</v>
      </c>
      <c r="B18" s="142">
        <v>3</v>
      </c>
      <c r="C18" s="142">
        <v>0</v>
      </c>
      <c r="D18" s="142">
        <v>25</v>
      </c>
      <c r="E18" s="142">
        <v>11</v>
      </c>
      <c r="F18" s="144">
        <v>0</v>
      </c>
      <c r="G18" s="144">
        <v>127.27272727272727</v>
      </c>
      <c r="H18" s="144">
        <v>0</v>
      </c>
      <c r="I18" s="144">
        <v>0</v>
      </c>
    </row>
    <row r="19" spans="1:9">
      <c r="A19" s="167" t="s">
        <v>295</v>
      </c>
      <c r="B19" s="142">
        <v>3</v>
      </c>
      <c r="C19" s="142">
        <v>0</v>
      </c>
      <c r="D19" s="142">
        <v>11</v>
      </c>
      <c r="E19" s="142">
        <v>0</v>
      </c>
      <c r="F19" s="144">
        <v>0</v>
      </c>
      <c r="G19" s="144">
        <v>0</v>
      </c>
      <c r="H19" s="144">
        <v>0</v>
      </c>
      <c r="I19" s="144">
        <v>0</v>
      </c>
    </row>
    <row r="20" spans="1:9">
      <c r="A20" s="167" t="s">
        <v>670</v>
      </c>
      <c r="B20" s="142">
        <v>0</v>
      </c>
      <c r="C20" s="142">
        <v>0</v>
      </c>
      <c r="D20" s="142">
        <v>14</v>
      </c>
      <c r="E20" s="142">
        <v>11</v>
      </c>
      <c r="F20" s="144">
        <v>0</v>
      </c>
      <c r="G20" s="144">
        <v>27.27272727272727</v>
      </c>
      <c r="H20" s="144">
        <v>0</v>
      </c>
      <c r="I20" s="144">
        <v>0</v>
      </c>
    </row>
    <row r="21" spans="1:9">
      <c r="A21" s="166" t="s">
        <v>1051</v>
      </c>
      <c r="B21" s="142">
        <v>2381</v>
      </c>
      <c r="C21" s="142">
        <v>4595</v>
      </c>
      <c r="D21" s="142">
        <v>25930</v>
      </c>
      <c r="E21" s="142">
        <v>29228</v>
      </c>
      <c r="F21" s="144">
        <v>-48.182807399347119</v>
      </c>
      <c r="G21" s="144">
        <v>-11.283700561105789</v>
      </c>
      <c r="H21" s="144">
        <v>8.94</v>
      </c>
      <c r="I21" s="144">
        <v>10.15</v>
      </c>
    </row>
    <row r="22" spans="1:9">
      <c r="A22" s="167" t="s">
        <v>264</v>
      </c>
      <c r="B22" s="142">
        <v>462</v>
      </c>
      <c r="C22" s="142">
        <v>260</v>
      </c>
      <c r="D22" s="142">
        <v>2992</v>
      </c>
      <c r="E22" s="142">
        <v>2925</v>
      </c>
      <c r="F22" s="144">
        <v>77.692307692307693</v>
      </c>
      <c r="G22" s="144">
        <v>2.2905982905982905</v>
      </c>
      <c r="H22" s="144">
        <v>1.03</v>
      </c>
      <c r="I22" s="144">
        <v>1.02</v>
      </c>
    </row>
    <row r="23" spans="1:9">
      <c r="A23" s="167" t="s">
        <v>266</v>
      </c>
      <c r="B23" s="142">
        <v>674</v>
      </c>
      <c r="C23" s="142">
        <v>1170</v>
      </c>
      <c r="D23" s="142">
        <v>6663</v>
      </c>
      <c r="E23" s="142">
        <v>10673</v>
      </c>
      <c r="F23" s="144">
        <v>-42.393162393162392</v>
      </c>
      <c r="G23" s="144">
        <v>-37.571441956338425</v>
      </c>
      <c r="H23" s="144">
        <v>2.2999999999999998</v>
      </c>
      <c r="I23" s="144">
        <v>3.7</v>
      </c>
    </row>
    <row r="24" spans="1:9">
      <c r="A24" s="167" t="s">
        <v>286</v>
      </c>
      <c r="B24" s="142">
        <v>770</v>
      </c>
      <c r="C24" s="142">
        <v>718</v>
      </c>
      <c r="D24" s="142">
        <v>5802</v>
      </c>
      <c r="E24" s="142">
        <v>6073</v>
      </c>
      <c r="F24" s="144">
        <v>7.2423398328690807</v>
      </c>
      <c r="G24" s="144">
        <v>-4.462374444261485</v>
      </c>
      <c r="H24" s="144">
        <v>2</v>
      </c>
      <c r="I24" s="144">
        <v>2.11</v>
      </c>
    </row>
    <row r="25" spans="1:9">
      <c r="A25" s="167" t="s">
        <v>552</v>
      </c>
      <c r="B25" s="142">
        <v>0</v>
      </c>
      <c r="C25" s="142">
        <v>2</v>
      </c>
      <c r="D25" s="142">
        <v>5</v>
      </c>
      <c r="E25" s="142">
        <v>13</v>
      </c>
      <c r="F25" s="144">
        <v>-100</v>
      </c>
      <c r="G25" s="144">
        <v>-61.53846153846154</v>
      </c>
      <c r="H25" s="144">
        <v>0</v>
      </c>
      <c r="I25" s="144">
        <v>0</v>
      </c>
    </row>
    <row r="26" spans="1:9">
      <c r="A26" s="167" t="s">
        <v>588</v>
      </c>
      <c r="B26" s="142">
        <v>222</v>
      </c>
      <c r="C26" s="142">
        <v>1462</v>
      </c>
      <c r="D26" s="142">
        <v>6889</v>
      </c>
      <c r="E26" s="142">
        <v>8456</v>
      </c>
      <c r="F26" s="144">
        <v>-84.815321477428185</v>
      </c>
      <c r="G26" s="144">
        <v>-18.531220435193944</v>
      </c>
      <c r="H26" s="144">
        <v>2.38</v>
      </c>
      <c r="I26" s="144">
        <v>2.94</v>
      </c>
    </row>
    <row r="27" spans="1:9">
      <c r="A27" s="167" t="s">
        <v>673</v>
      </c>
      <c r="B27" s="142">
        <v>234</v>
      </c>
      <c r="C27" s="142">
        <v>983</v>
      </c>
      <c r="D27" s="142">
        <v>3450</v>
      </c>
      <c r="E27" s="142">
        <v>1088</v>
      </c>
      <c r="F27" s="144">
        <v>-76.195320447609362</v>
      </c>
      <c r="G27" s="144">
        <v>217.09558823529412</v>
      </c>
      <c r="H27" s="144">
        <v>1.19</v>
      </c>
      <c r="I27" s="144">
        <v>0.38</v>
      </c>
    </row>
    <row r="28" spans="1:9">
      <c r="A28" s="167" t="s">
        <v>1048</v>
      </c>
      <c r="B28" s="142">
        <v>11</v>
      </c>
      <c r="C28" s="142">
        <v>0</v>
      </c>
      <c r="D28" s="142">
        <v>86</v>
      </c>
      <c r="E28" s="142">
        <v>0</v>
      </c>
      <c r="F28" s="144">
        <v>0</v>
      </c>
      <c r="G28" s="144">
        <v>0</v>
      </c>
      <c r="H28" s="144">
        <v>0.03</v>
      </c>
      <c r="I28" s="144">
        <v>0</v>
      </c>
    </row>
    <row r="29" spans="1:9">
      <c r="A29" s="167" t="s">
        <v>1207</v>
      </c>
      <c r="B29" s="142">
        <v>8</v>
      </c>
      <c r="C29" s="142">
        <v>0</v>
      </c>
      <c r="D29" s="142">
        <v>43</v>
      </c>
      <c r="E29" s="142">
        <v>0</v>
      </c>
      <c r="F29" s="144">
        <v>0</v>
      </c>
      <c r="G29" s="144">
        <v>0</v>
      </c>
      <c r="H29" s="144">
        <v>0.01</v>
      </c>
      <c r="I29" s="144">
        <v>0</v>
      </c>
    </row>
    <row r="30" spans="1:9">
      <c r="A30" s="166" t="s">
        <v>315</v>
      </c>
      <c r="B30" s="142">
        <v>50</v>
      </c>
      <c r="C30" s="142">
        <v>90</v>
      </c>
      <c r="D30" s="142">
        <v>868</v>
      </c>
      <c r="E30" s="142">
        <v>1191</v>
      </c>
      <c r="F30" s="144">
        <v>-44.444444444444443</v>
      </c>
      <c r="G30" s="144">
        <v>-27.120067170445004</v>
      </c>
      <c r="H30" s="144">
        <v>0.3</v>
      </c>
      <c r="I30" s="144">
        <v>0.41</v>
      </c>
    </row>
    <row r="31" spans="1:9">
      <c r="A31" s="167" t="s">
        <v>267</v>
      </c>
      <c r="B31" s="142">
        <v>50</v>
      </c>
      <c r="C31" s="142">
        <v>90</v>
      </c>
      <c r="D31" s="142">
        <v>868</v>
      </c>
      <c r="E31" s="142">
        <v>1191</v>
      </c>
      <c r="F31" s="144">
        <v>-44.444444444444443</v>
      </c>
      <c r="G31" s="144">
        <v>-27.120067170445004</v>
      </c>
      <c r="H31" s="144">
        <v>0.3</v>
      </c>
      <c r="I31" s="144">
        <v>0.41</v>
      </c>
    </row>
    <row r="32" spans="1:9">
      <c r="A32" s="166" t="s">
        <v>460</v>
      </c>
      <c r="B32" s="142">
        <v>468</v>
      </c>
      <c r="C32" s="142">
        <v>666</v>
      </c>
      <c r="D32" s="142">
        <v>5559</v>
      </c>
      <c r="E32" s="142">
        <v>5868</v>
      </c>
      <c r="F32" s="144">
        <v>-29.72972972972973</v>
      </c>
      <c r="G32" s="144">
        <v>-5.2658486707566459</v>
      </c>
      <c r="H32" s="144">
        <v>1.92</v>
      </c>
      <c r="I32" s="144">
        <v>2.04</v>
      </c>
    </row>
    <row r="33" spans="1:9">
      <c r="A33" s="167" t="s">
        <v>268</v>
      </c>
      <c r="B33" s="142">
        <v>468</v>
      </c>
      <c r="C33" s="142">
        <v>666</v>
      </c>
      <c r="D33" s="142">
        <v>5559</v>
      </c>
      <c r="E33" s="142">
        <v>5868</v>
      </c>
      <c r="F33" s="144">
        <v>-29.72972972972973</v>
      </c>
      <c r="G33" s="144">
        <v>-5.2658486707566459</v>
      </c>
      <c r="H33" s="144">
        <v>1.92</v>
      </c>
      <c r="I33" s="144">
        <v>2.04</v>
      </c>
    </row>
    <row r="34" spans="1:9">
      <c r="A34" s="166" t="s">
        <v>1024</v>
      </c>
      <c r="B34" s="142">
        <v>417</v>
      </c>
      <c r="C34" s="142">
        <v>273</v>
      </c>
      <c r="D34" s="142">
        <v>3621</v>
      </c>
      <c r="E34" s="142">
        <v>2223</v>
      </c>
      <c r="F34" s="144">
        <v>52.747252747252752</v>
      </c>
      <c r="G34" s="144">
        <v>62.88798920377868</v>
      </c>
      <c r="H34" s="144">
        <v>1.25</v>
      </c>
      <c r="I34" s="144">
        <v>0.77</v>
      </c>
    </row>
    <row r="35" spans="1:9">
      <c r="A35" s="167" t="s">
        <v>289</v>
      </c>
      <c r="B35" s="142">
        <v>247</v>
      </c>
      <c r="C35" s="142">
        <v>127</v>
      </c>
      <c r="D35" s="142">
        <v>2915</v>
      </c>
      <c r="E35" s="142">
        <v>2077</v>
      </c>
      <c r="F35" s="144">
        <v>94.488188976377955</v>
      </c>
      <c r="G35" s="144">
        <v>40.346653827636011</v>
      </c>
      <c r="H35" s="144">
        <v>1.01</v>
      </c>
      <c r="I35" s="144">
        <v>0.72</v>
      </c>
    </row>
    <row r="36" spans="1:9">
      <c r="A36" s="167" t="s">
        <v>1037</v>
      </c>
      <c r="B36" s="142">
        <v>170</v>
      </c>
      <c r="C36" s="142">
        <v>146</v>
      </c>
      <c r="D36" s="142">
        <v>706</v>
      </c>
      <c r="E36" s="142">
        <v>146</v>
      </c>
      <c r="F36" s="144">
        <v>16.43835616438356</v>
      </c>
      <c r="G36" s="144">
        <v>383.56164383561639</v>
      </c>
      <c r="H36" s="144">
        <v>0.24</v>
      </c>
      <c r="I36" s="144">
        <v>0.05</v>
      </c>
    </row>
    <row r="37" spans="1:9">
      <c r="A37" s="166" t="s">
        <v>269</v>
      </c>
      <c r="B37" s="142">
        <v>1</v>
      </c>
      <c r="C37" s="142">
        <v>1</v>
      </c>
      <c r="D37" s="142">
        <v>37</v>
      </c>
      <c r="E37" s="142">
        <v>44</v>
      </c>
      <c r="F37" s="144">
        <v>0</v>
      </c>
      <c r="G37" s="144">
        <v>-15.909090909090908</v>
      </c>
      <c r="H37" s="144">
        <v>0.01</v>
      </c>
      <c r="I37" s="144">
        <v>0.02</v>
      </c>
    </row>
    <row r="38" spans="1:9">
      <c r="A38" s="167" t="s">
        <v>269</v>
      </c>
      <c r="B38" s="142">
        <v>1</v>
      </c>
      <c r="C38" s="142">
        <v>1</v>
      </c>
      <c r="D38" s="142">
        <v>37</v>
      </c>
      <c r="E38" s="142">
        <v>44</v>
      </c>
      <c r="F38" s="144">
        <v>0</v>
      </c>
      <c r="G38" s="144">
        <v>-15.909090909090908</v>
      </c>
      <c r="H38" s="144">
        <v>0.01</v>
      </c>
      <c r="I38" s="144">
        <v>0.02</v>
      </c>
    </row>
    <row r="39" spans="1:9">
      <c r="A39" s="166" t="s">
        <v>1281</v>
      </c>
      <c r="B39" s="142">
        <v>2228</v>
      </c>
      <c r="C39" s="142">
        <v>2511</v>
      </c>
      <c r="D39" s="142">
        <v>24391</v>
      </c>
      <c r="E39" s="142">
        <v>29849</v>
      </c>
      <c r="F39" s="144">
        <v>-11.270410195141379</v>
      </c>
      <c r="G39" s="144">
        <v>-18.285369694127105</v>
      </c>
      <c r="H39" s="144">
        <v>8.42</v>
      </c>
      <c r="I39" s="144">
        <v>10.36</v>
      </c>
    </row>
    <row r="40" spans="1:9">
      <c r="A40" s="167" t="s">
        <v>272</v>
      </c>
      <c r="B40" s="142">
        <v>2228</v>
      </c>
      <c r="C40" s="142">
        <v>2511</v>
      </c>
      <c r="D40" s="142">
        <v>24391</v>
      </c>
      <c r="E40" s="142">
        <v>29849</v>
      </c>
      <c r="F40" s="144">
        <v>-11.270410195141379</v>
      </c>
      <c r="G40" s="144">
        <v>-18.285369694127105</v>
      </c>
      <c r="H40" s="144">
        <v>8.42</v>
      </c>
      <c r="I40" s="144">
        <v>10.36</v>
      </c>
    </row>
    <row r="41" spans="1:9">
      <c r="A41" s="166" t="s">
        <v>459</v>
      </c>
      <c r="B41" s="142">
        <v>1027</v>
      </c>
      <c r="C41" s="142">
        <v>1070</v>
      </c>
      <c r="D41" s="142">
        <v>14528</v>
      </c>
      <c r="E41" s="142">
        <v>14488</v>
      </c>
      <c r="F41" s="144">
        <v>-4.018691588785047</v>
      </c>
      <c r="G41" s="144">
        <v>0.27609055770292656</v>
      </c>
      <c r="H41" s="144">
        <v>5.0200000000000005</v>
      </c>
      <c r="I41" s="144">
        <v>5.0299999999999994</v>
      </c>
    </row>
    <row r="42" spans="1:9">
      <c r="A42" s="167" t="s">
        <v>263</v>
      </c>
      <c r="B42" s="142">
        <v>272</v>
      </c>
      <c r="C42" s="142">
        <v>139</v>
      </c>
      <c r="D42" s="142">
        <v>3687</v>
      </c>
      <c r="E42" s="142">
        <v>3352</v>
      </c>
      <c r="F42" s="144">
        <v>95.683453237410077</v>
      </c>
      <c r="G42" s="144">
        <v>9.994033412887827</v>
      </c>
      <c r="H42" s="144">
        <v>1.27</v>
      </c>
      <c r="I42" s="144">
        <v>1.1599999999999999</v>
      </c>
    </row>
    <row r="43" spans="1:9">
      <c r="A43" s="167" t="s">
        <v>296</v>
      </c>
      <c r="B43" s="142">
        <v>2</v>
      </c>
      <c r="C43" s="142">
        <v>79</v>
      </c>
      <c r="D43" s="142">
        <v>312</v>
      </c>
      <c r="E43" s="142">
        <v>562</v>
      </c>
      <c r="F43" s="144">
        <v>-97.468354430379748</v>
      </c>
      <c r="G43" s="144">
        <v>-44.483985765124558</v>
      </c>
      <c r="H43" s="144">
        <v>0.11</v>
      </c>
      <c r="I43" s="144">
        <v>0.2</v>
      </c>
    </row>
    <row r="44" spans="1:9">
      <c r="A44" s="167" t="s">
        <v>283</v>
      </c>
      <c r="B44" s="142">
        <v>279</v>
      </c>
      <c r="C44" s="142">
        <v>154</v>
      </c>
      <c r="D44" s="142">
        <v>2835</v>
      </c>
      <c r="E44" s="142">
        <v>2732</v>
      </c>
      <c r="F44" s="144">
        <v>81.168831168831161</v>
      </c>
      <c r="G44" s="144">
        <v>3.7701317715959006</v>
      </c>
      <c r="H44" s="144">
        <v>0.98</v>
      </c>
      <c r="I44" s="144">
        <v>0.95</v>
      </c>
    </row>
    <row r="45" spans="1:9">
      <c r="A45" s="167" t="s">
        <v>284</v>
      </c>
      <c r="B45" s="142">
        <v>474</v>
      </c>
      <c r="C45" s="142">
        <v>698</v>
      </c>
      <c r="D45" s="142">
        <v>7694</v>
      </c>
      <c r="E45" s="142">
        <v>7842</v>
      </c>
      <c r="F45" s="144">
        <v>-32.091690544412607</v>
      </c>
      <c r="G45" s="144">
        <v>-1.8872736546799287</v>
      </c>
      <c r="H45" s="144">
        <v>2.66</v>
      </c>
      <c r="I45" s="144">
        <v>2.72</v>
      </c>
    </row>
    <row r="46" spans="1:9">
      <c r="A46" s="166" t="s">
        <v>629</v>
      </c>
      <c r="B46" s="142">
        <v>16</v>
      </c>
      <c r="C46" s="142">
        <v>45</v>
      </c>
      <c r="D46" s="142">
        <v>706</v>
      </c>
      <c r="E46" s="142">
        <v>566</v>
      </c>
      <c r="F46" s="144">
        <v>-64.444444444444443</v>
      </c>
      <c r="G46" s="144">
        <v>24.734982332155479</v>
      </c>
      <c r="H46" s="144">
        <v>0.24</v>
      </c>
      <c r="I46" s="144">
        <v>0.2</v>
      </c>
    </row>
    <row r="47" spans="1:9">
      <c r="A47" s="167" t="s">
        <v>280</v>
      </c>
      <c r="B47" s="142">
        <v>16</v>
      </c>
      <c r="C47" s="142">
        <v>45</v>
      </c>
      <c r="D47" s="142">
        <v>706</v>
      </c>
      <c r="E47" s="142">
        <v>566</v>
      </c>
      <c r="F47" s="144">
        <v>-64.444444444444443</v>
      </c>
      <c r="G47" s="144">
        <v>24.734982332155479</v>
      </c>
      <c r="H47" s="144">
        <v>0.24</v>
      </c>
      <c r="I47" s="144">
        <v>0.2</v>
      </c>
    </row>
    <row r="48" spans="1:9">
      <c r="A48" s="166" t="s">
        <v>1100</v>
      </c>
      <c r="B48" s="142">
        <v>0</v>
      </c>
      <c r="C48" s="142">
        <v>0</v>
      </c>
      <c r="D48" s="142">
        <v>2</v>
      </c>
      <c r="E48" s="142">
        <v>7</v>
      </c>
      <c r="F48" s="144">
        <v>0</v>
      </c>
      <c r="G48" s="144">
        <v>-71.428571428571431</v>
      </c>
      <c r="H48" s="144">
        <v>0</v>
      </c>
      <c r="I48" s="144">
        <v>0</v>
      </c>
    </row>
    <row r="49" spans="1:9">
      <c r="A49" s="167" t="s">
        <v>1100</v>
      </c>
      <c r="B49" s="142">
        <v>0</v>
      </c>
      <c r="C49" s="142">
        <v>0</v>
      </c>
      <c r="D49" s="142">
        <v>2</v>
      </c>
      <c r="E49" s="142">
        <v>7</v>
      </c>
      <c r="F49" s="144">
        <v>0</v>
      </c>
      <c r="G49" s="144">
        <v>-71.428571428571431</v>
      </c>
      <c r="H49" s="144">
        <v>0</v>
      </c>
      <c r="I49" s="144">
        <v>0</v>
      </c>
    </row>
    <row r="50" spans="1:9">
      <c r="A50" s="166" t="s">
        <v>1282</v>
      </c>
      <c r="B50" s="142">
        <v>1</v>
      </c>
      <c r="C50" s="142">
        <v>0</v>
      </c>
      <c r="D50" s="142">
        <v>18</v>
      </c>
      <c r="E50" s="142">
        <v>0</v>
      </c>
      <c r="F50" s="144">
        <v>0</v>
      </c>
      <c r="G50" s="144">
        <v>0</v>
      </c>
      <c r="H50" s="144">
        <v>0.01</v>
      </c>
      <c r="I50" s="144">
        <v>0</v>
      </c>
    </row>
    <row r="51" spans="1:9">
      <c r="A51" s="167" t="s">
        <v>295</v>
      </c>
      <c r="B51" s="142">
        <v>1</v>
      </c>
      <c r="C51" s="142">
        <v>0</v>
      </c>
      <c r="D51" s="142">
        <v>18</v>
      </c>
      <c r="E51" s="142">
        <v>0</v>
      </c>
      <c r="F51" s="144">
        <v>0</v>
      </c>
      <c r="G51" s="144">
        <v>0</v>
      </c>
      <c r="H51" s="144">
        <v>0.01</v>
      </c>
      <c r="I51" s="144">
        <v>0</v>
      </c>
    </row>
    <row r="52" spans="1:9">
      <c r="A52" s="166" t="s">
        <v>316</v>
      </c>
      <c r="B52" s="142">
        <v>171</v>
      </c>
      <c r="C52" s="142">
        <v>102</v>
      </c>
      <c r="D52" s="142">
        <v>1468</v>
      </c>
      <c r="E52" s="142">
        <v>1631</v>
      </c>
      <c r="F52" s="144">
        <v>67.64705882352942</v>
      </c>
      <c r="G52" s="144">
        <v>-9.9938687921520533</v>
      </c>
      <c r="H52" s="144">
        <v>0.51</v>
      </c>
      <c r="I52" s="144">
        <v>0.56999999999999995</v>
      </c>
    </row>
    <row r="53" spans="1:9">
      <c r="A53" s="167" t="s">
        <v>290</v>
      </c>
      <c r="B53" s="142">
        <v>171</v>
      </c>
      <c r="C53" s="142">
        <v>102</v>
      </c>
      <c r="D53" s="142">
        <v>1468</v>
      </c>
      <c r="E53" s="142">
        <v>1631</v>
      </c>
      <c r="F53" s="144">
        <v>67.64705882352942</v>
      </c>
      <c r="G53" s="144">
        <v>-9.9938687921520533</v>
      </c>
      <c r="H53" s="144">
        <v>0.51</v>
      </c>
      <c r="I53" s="144">
        <v>0.56999999999999995</v>
      </c>
    </row>
    <row r="54" spans="1:9">
      <c r="A54" s="166" t="s">
        <v>573</v>
      </c>
      <c r="B54" s="142">
        <v>39</v>
      </c>
      <c r="C54" s="142">
        <v>171</v>
      </c>
      <c r="D54" s="142">
        <v>1462</v>
      </c>
      <c r="E54" s="142">
        <v>2103</v>
      </c>
      <c r="F54" s="144">
        <v>-77.192982456140342</v>
      </c>
      <c r="G54" s="144">
        <v>-30.480266286257731</v>
      </c>
      <c r="H54" s="144">
        <v>0.5</v>
      </c>
      <c r="I54" s="144">
        <v>0.73</v>
      </c>
    </row>
    <row r="55" spans="1:9">
      <c r="A55" s="167" t="s">
        <v>573</v>
      </c>
      <c r="B55" s="142">
        <v>39</v>
      </c>
      <c r="C55" s="142">
        <v>171</v>
      </c>
      <c r="D55" s="142">
        <v>1462</v>
      </c>
      <c r="E55" s="142">
        <v>2103</v>
      </c>
      <c r="F55" s="144">
        <v>-77.192982456140342</v>
      </c>
      <c r="G55" s="144">
        <v>-30.480266286257731</v>
      </c>
      <c r="H55" s="144">
        <v>0.5</v>
      </c>
      <c r="I55" s="144">
        <v>0.73</v>
      </c>
    </row>
    <row r="56" spans="1:9">
      <c r="A56" s="166" t="s">
        <v>317</v>
      </c>
      <c r="B56" s="142">
        <v>235</v>
      </c>
      <c r="C56" s="142">
        <v>392</v>
      </c>
      <c r="D56" s="142">
        <v>3188</v>
      </c>
      <c r="E56" s="142">
        <v>2815</v>
      </c>
      <c r="F56" s="144">
        <v>-40.051020408163261</v>
      </c>
      <c r="G56" s="144">
        <v>13.25044404973357</v>
      </c>
      <c r="H56" s="144">
        <v>1.1000000000000001</v>
      </c>
      <c r="I56" s="144">
        <v>0.98</v>
      </c>
    </row>
    <row r="57" spans="1:9">
      <c r="A57" s="167" t="s">
        <v>277</v>
      </c>
      <c r="B57" s="142">
        <v>235</v>
      </c>
      <c r="C57" s="142">
        <v>392</v>
      </c>
      <c r="D57" s="142">
        <v>3188</v>
      </c>
      <c r="E57" s="142">
        <v>2815</v>
      </c>
      <c r="F57" s="144">
        <v>-40.051020408163261</v>
      </c>
      <c r="G57" s="144">
        <v>13.25044404973357</v>
      </c>
      <c r="H57" s="144">
        <v>1.1000000000000001</v>
      </c>
      <c r="I57" s="144">
        <v>0.98</v>
      </c>
    </row>
    <row r="58" spans="1:9">
      <c r="A58" s="166" t="s">
        <v>351</v>
      </c>
      <c r="B58" s="142">
        <v>1356</v>
      </c>
      <c r="C58" s="142">
        <v>1371</v>
      </c>
      <c r="D58" s="142">
        <v>14907</v>
      </c>
      <c r="E58" s="142">
        <v>15757</v>
      </c>
      <c r="F58" s="144">
        <v>-1.0940919037199124</v>
      </c>
      <c r="G58" s="144">
        <v>-5.3944278733261406</v>
      </c>
      <c r="H58" s="144">
        <v>5.15</v>
      </c>
      <c r="I58" s="144">
        <v>5.47</v>
      </c>
    </row>
    <row r="59" spans="1:9">
      <c r="A59" s="167" t="s">
        <v>378</v>
      </c>
      <c r="B59" s="142">
        <v>1352</v>
      </c>
      <c r="C59" s="142">
        <v>1361</v>
      </c>
      <c r="D59" s="142">
        <v>14790</v>
      </c>
      <c r="E59" s="142">
        <v>15618</v>
      </c>
      <c r="F59" s="144">
        <v>-0.66127847171197651</v>
      </c>
      <c r="G59" s="144">
        <v>-5.3015751056473297</v>
      </c>
      <c r="H59" s="144">
        <v>5.1100000000000003</v>
      </c>
      <c r="I59" s="144">
        <v>5.42</v>
      </c>
    </row>
    <row r="60" spans="1:9">
      <c r="A60" s="167" t="s">
        <v>278</v>
      </c>
      <c r="B60" s="142">
        <v>3</v>
      </c>
      <c r="C60" s="142">
        <v>8</v>
      </c>
      <c r="D60" s="142">
        <v>110</v>
      </c>
      <c r="E60" s="142">
        <v>136</v>
      </c>
      <c r="F60" s="144">
        <v>-62.5</v>
      </c>
      <c r="G60" s="144">
        <v>-19.117647058823529</v>
      </c>
      <c r="H60" s="144">
        <v>0.04</v>
      </c>
      <c r="I60" s="144">
        <v>0.05</v>
      </c>
    </row>
    <row r="61" spans="1:9">
      <c r="A61" s="167" t="s">
        <v>1157</v>
      </c>
      <c r="B61" s="142">
        <v>1</v>
      </c>
      <c r="C61" s="142">
        <v>2</v>
      </c>
      <c r="D61" s="142">
        <v>7</v>
      </c>
      <c r="E61" s="142">
        <v>3</v>
      </c>
      <c r="F61" s="144">
        <v>-50</v>
      </c>
      <c r="G61" s="144">
        <v>133.33333333333331</v>
      </c>
      <c r="H61" s="144">
        <v>0</v>
      </c>
      <c r="I61" s="144">
        <v>0</v>
      </c>
    </row>
    <row r="62" spans="1:9">
      <c r="A62" s="166" t="s">
        <v>1063</v>
      </c>
      <c r="B62" s="142">
        <v>8</v>
      </c>
      <c r="C62" s="142">
        <v>0</v>
      </c>
      <c r="D62" s="142">
        <v>201</v>
      </c>
      <c r="E62" s="142">
        <v>0</v>
      </c>
      <c r="F62" s="144">
        <v>0</v>
      </c>
      <c r="G62" s="144">
        <v>0</v>
      </c>
      <c r="H62" s="144">
        <v>7.0000000000000007E-2</v>
      </c>
      <c r="I62" s="144">
        <v>0</v>
      </c>
    </row>
    <row r="63" spans="1:9">
      <c r="A63" s="167" t="s">
        <v>1061</v>
      </c>
      <c r="B63" s="142">
        <v>8</v>
      </c>
      <c r="C63" s="142">
        <v>0</v>
      </c>
      <c r="D63" s="142">
        <v>201</v>
      </c>
      <c r="E63" s="142">
        <v>0</v>
      </c>
      <c r="F63" s="144">
        <v>0</v>
      </c>
      <c r="G63" s="144">
        <v>0</v>
      </c>
      <c r="H63" s="144">
        <v>7.0000000000000007E-2</v>
      </c>
      <c r="I63" s="144">
        <v>0</v>
      </c>
    </row>
    <row r="64" spans="1:9">
      <c r="A64" s="166" t="s">
        <v>318</v>
      </c>
      <c r="B64" s="142">
        <v>644</v>
      </c>
      <c r="C64" s="142">
        <v>729</v>
      </c>
      <c r="D64" s="142">
        <v>5428</v>
      </c>
      <c r="E64" s="142">
        <v>6370</v>
      </c>
      <c r="F64" s="144">
        <v>-11.659807956104252</v>
      </c>
      <c r="G64" s="144">
        <v>-14.788069073783362</v>
      </c>
      <c r="H64" s="144">
        <v>1.87</v>
      </c>
      <c r="I64" s="144">
        <v>2.21</v>
      </c>
    </row>
    <row r="65" spans="1:9">
      <c r="A65" s="167" t="s">
        <v>282</v>
      </c>
      <c r="B65" s="142">
        <v>644</v>
      </c>
      <c r="C65" s="142">
        <v>729</v>
      </c>
      <c r="D65" s="142">
        <v>5428</v>
      </c>
      <c r="E65" s="142">
        <v>6370</v>
      </c>
      <c r="F65" s="144">
        <v>-11.659807956104252</v>
      </c>
      <c r="G65" s="144">
        <v>-14.788069073783362</v>
      </c>
      <c r="H65" s="144">
        <v>1.87</v>
      </c>
      <c r="I65" s="144">
        <v>2.21</v>
      </c>
    </row>
    <row r="66" spans="1:9">
      <c r="A66" s="166" t="s">
        <v>406</v>
      </c>
      <c r="B66" s="142">
        <v>358</v>
      </c>
      <c r="C66" s="142">
        <v>604</v>
      </c>
      <c r="D66" s="142">
        <v>3638</v>
      </c>
      <c r="E66" s="142">
        <v>4465</v>
      </c>
      <c r="F66" s="144">
        <v>-40.728476821192054</v>
      </c>
      <c r="G66" s="144">
        <v>-18.521836506159016</v>
      </c>
      <c r="H66" s="144">
        <v>1.26</v>
      </c>
      <c r="I66" s="144">
        <v>1.55</v>
      </c>
    </row>
    <row r="67" spans="1:9">
      <c r="A67" s="167" t="s">
        <v>322</v>
      </c>
      <c r="B67" s="142">
        <v>358</v>
      </c>
      <c r="C67" s="142">
        <v>604</v>
      </c>
      <c r="D67" s="142">
        <v>3638</v>
      </c>
      <c r="E67" s="142">
        <v>4465</v>
      </c>
      <c r="F67" s="144">
        <v>-40.728476821192054</v>
      </c>
      <c r="G67" s="144">
        <v>-18.521836506159016</v>
      </c>
      <c r="H67" s="144">
        <v>1.26</v>
      </c>
      <c r="I67" s="144">
        <v>1.55</v>
      </c>
    </row>
    <row r="68" spans="1:9">
      <c r="A68" s="166" t="s">
        <v>439</v>
      </c>
      <c r="B68" s="142">
        <v>7</v>
      </c>
      <c r="C68" s="142">
        <v>67</v>
      </c>
      <c r="D68" s="142">
        <v>128</v>
      </c>
      <c r="E68" s="142">
        <v>218</v>
      </c>
      <c r="F68" s="144">
        <v>-89.552238805970148</v>
      </c>
      <c r="G68" s="144">
        <v>-41.284403669724774</v>
      </c>
      <c r="H68" s="144">
        <v>0.04</v>
      </c>
      <c r="I68" s="144">
        <v>0.08</v>
      </c>
    </row>
    <row r="69" spans="1:9">
      <c r="A69" s="167" t="s">
        <v>414</v>
      </c>
      <c r="B69" s="142">
        <v>7</v>
      </c>
      <c r="C69" s="142">
        <v>67</v>
      </c>
      <c r="D69" s="142">
        <v>120</v>
      </c>
      <c r="E69" s="142">
        <v>218</v>
      </c>
      <c r="F69" s="144">
        <v>-89.552238805970148</v>
      </c>
      <c r="G69" s="144">
        <v>-44.954128440366972</v>
      </c>
      <c r="H69" s="144">
        <v>0.04</v>
      </c>
      <c r="I69" s="144">
        <v>0.08</v>
      </c>
    </row>
    <row r="70" spans="1:9">
      <c r="A70" s="167" t="s">
        <v>1232</v>
      </c>
      <c r="B70" s="142">
        <v>0</v>
      </c>
      <c r="C70" s="142">
        <v>0</v>
      </c>
      <c r="D70" s="142">
        <v>3</v>
      </c>
      <c r="E70" s="142">
        <v>0</v>
      </c>
      <c r="F70" s="144">
        <v>0</v>
      </c>
      <c r="G70" s="144">
        <v>0</v>
      </c>
      <c r="H70" s="144">
        <v>0</v>
      </c>
      <c r="I70" s="144">
        <v>0</v>
      </c>
    </row>
    <row r="71" spans="1:9">
      <c r="A71" s="167" t="s">
        <v>1254</v>
      </c>
      <c r="B71" s="142">
        <v>0</v>
      </c>
      <c r="C71" s="142">
        <v>0</v>
      </c>
      <c r="D71" s="142">
        <v>5</v>
      </c>
      <c r="E71" s="142">
        <v>0</v>
      </c>
      <c r="F71" s="144">
        <v>0</v>
      </c>
      <c r="G71" s="144">
        <v>0</v>
      </c>
      <c r="H71" s="144">
        <v>0</v>
      </c>
      <c r="I71" s="144">
        <v>0</v>
      </c>
    </row>
    <row r="72" spans="1:9">
      <c r="A72" s="166" t="s">
        <v>574</v>
      </c>
      <c r="B72" s="142">
        <v>1789</v>
      </c>
      <c r="C72" s="142">
        <v>1645</v>
      </c>
      <c r="D72" s="142">
        <v>20331</v>
      </c>
      <c r="E72" s="142">
        <v>9186</v>
      </c>
      <c r="F72" s="144">
        <v>8.7537993920972639</v>
      </c>
      <c r="G72" s="144">
        <v>121.32593076420639</v>
      </c>
      <c r="H72" s="144">
        <v>7.02</v>
      </c>
      <c r="I72" s="144">
        <v>3.19</v>
      </c>
    </row>
    <row r="73" spans="1:9">
      <c r="A73" s="167" t="s">
        <v>291</v>
      </c>
      <c r="B73" s="142">
        <v>1789</v>
      </c>
      <c r="C73" s="142">
        <v>1645</v>
      </c>
      <c r="D73" s="142">
        <v>20331</v>
      </c>
      <c r="E73" s="142">
        <v>9186</v>
      </c>
      <c r="F73" s="144">
        <v>8.7537993920972639</v>
      </c>
      <c r="G73" s="144">
        <v>121.32593076420639</v>
      </c>
      <c r="H73" s="144">
        <v>7.02</v>
      </c>
      <c r="I73" s="144">
        <v>3.19</v>
      </c>
    </row>
    <row r="74" spans="1:9">
      <c r="A74" s="166" t="s">
        <v>319</v>
      </c>
      <c r="B74" s="142">
        <v>2309</v>
      </c>
      <c r="C74" s="142">
        <v>2054</v>
      </c>
      <c r="D74" s="142">
        <v>26042</v>
      </c>
      <c r="E74" s="142">
        <v>24506</v>
      </c>
      <c r="F74" s="144">
        <v>12.414800389483933</v>
      </c>
      <c r="G74" s="144">
        <v>6.2678527707500207</v>
      </c>
      <c r="H74" s="144">
        <v>8.99</v>
      </c>
      <c r="I74" s="144">
        <v>8.51</v>
      </c>
    </row>
    <row r="75" spans="1:9">
      <c r="A75" s="167" t="s">
        <v>275</v>
      </c>
      <c r="B75" s="142">
        <v>285</v>
      </c>
      <c r="C75" s="142">
        <v>178</v>
      </c>
      <c r="D75" s="142">
        <v>2594</v>
      </c>
      <c r="E75" s="142">
        <v>1226</v>
      </c>
      <c r="F75" s="144">
        <v>60.112359550561798</v>
      </c>
      <c r="G75" s="144">
        <v>111.58238172920065</v>
      </c>
      <c r="H75" s="144">
        <v>0.9</v>
      </c>
      <c r="I75" s="144">
        <v>0.43</v>
      </c>
    </row>
    <row r="76" spans="1:9">
      <c r="A76" s="167" t="s">
        <v>292</v>
      </c>
      <c r="B76" s="142">
        <v>2024</v>
      </c>
      <c r="C76" s="142">
        <v>1876</v>
      </c>
      <c r="D76" s="142">
        <v>23448</v>
      </c>
      <c r="E76" s="142">
        <v>23280</v>
      </c>
      <c r="F76" s="144">
        <v>7.8891257995735611</v>
      </c>
      <c r="G76" s="144">
        <v>0.72164948453608246</v>
      </c>
      <c r="H76" s="144">
        <v>8.09</v>
      </c>
      <c r="I76" s="144">
        <v>8.08</v>
      </c>
    </row>
    <row r="77" spans="1:9">
      <c r="A77" s="166" t="s">
        <v>320</v>
      </c>
      <c r="B77" s="142">
        <v>7878</v>
      </c>
      <c r="C77" s="142">
        <v>8265</v>
      </c>
      <c r="D77" s="142">
        <v>74488</v>
      </c>
      <c r="E77" s="142">
        <v>67709</v>
      </c>
      <c r="F77" s="144">
        <v>-4.6823956442831216</v>
      </c>
      <c r="G77" s="144">
        <v>10.011962959133941</v>
      </c>
      <c r="H77" s="144">
        <v>25.72</v>
      </c>
      <c r="I77" s="144">
        <v>23.509999999999998</v>
      </c>
    </row>
    <row r="78" spans="1:9">
      <c r="A78" s="167" t="s">
        <v>259</v>
      </c>
      <c r="B78" s="142">
        <v>2205</v>
      </c>
      <c r="C78" s="142">
        <v>1780</v>
      </c>
      <c r="D78" s="142">
        <v>18539</v>
      </c>
      <c r="E78" s="142">
        <v>13874</v>
      </c>
      <c r="F78" s="144">
        <v>23.876404494382022</v>
      </c>
      <c r="G78" s="144">
        <v>33.624044976214499</v>
      </c>
      <c r="H78" s="144">
        <v>6.4</v>
      </c>
      <c r="I78" s="144">
        <v>4.82</v>
      </c>
    </row>
    <row r="79" spans="1:9">
      <c r="A79" s="167" t="s">
        <v>285</v>
      </c>
      <c r="B79" s="142">
        <v>206</v>
      </c>
      <c r="C79" s="142">
        <v>368</v>
      </c>
      <c r="D79" s="142">
        <v>2946</v>
      </c>
      <c r="E79" s="142">
        <v>2669</v>
      </c>
      <c r="F79" s="144">
        <v>-44.021739130434781</v>
      </c>
      <c r="G79" s="144">
        <v>10.378418883476957</v>
      </c>
      <c r="H79" s="144">
        <v>1.02</v>
      </c>
      <c r="I79" s="144">
        <v>0.93</v>
      </c>
    </row>
    <row r="80" spans="1:9">
      <c r="A80" s="167" t="s">
        <v>287</v>
      </c>
      <c r="B80" s="142">
        <v>230</v>
      </c>
      <c r="C80" s="142">
        <v>900</v>
      </c>
      <c r="D80" s="142">
        <v>2482</v>
      </c>
      <c r="E80" s="142">
        <v>5724</v>
      </c>
      <c r="F80" s="144">
        <v>-74.444444444444443</v>
      </c>
      <c r="G80" s="144">
        <v>-56.638714185883998</v>
      </c>
      <c r="H80" s="144">
        <v>0.86</v>
      </c>
      <c r="I80" s="144">
        <v>1.99</v>
      </c>
    </row>
    <row r="81" spans="1:9">
      <c r="A81" s="167" t="s">
        <v>288</v>
      </c>
      <c r="B81" s="142">
        <v>1505</v>
      </c>
      <c r="C81" s="142">
        <v>1230</v>
      </c>
      <c r="D81" s="142">
        <v>13955</v>
      </c>
      <c r="E81" s="142">
        <v>11730</v>
      </c>
      <c r="F81" s="144">
        <v>22.35772357723577</v>
      </c>
      <c r="G81" s="144">
        <v>18.968456947996589</v>
      </c>
      <c r="H81" s="144">
        <v>4.82</v>
      </c>
      <c r="I81" s="144">
        <v>4.07</v>
      </c>
    </row>
    <row r="82" spans="1:9">
      <c r="A82" s="167" t="s">
        <v>293</v>
      </c>
      <c r="B82" s="142">
        <v>3148</v>
      </c>
      <c r="C82" s="142">
        <v>3987</v>
      </c>
      <c r="D82" s="142">
        <v>32744</v>
      </c>
      <c r="E82" s="142">
        <v>33712</v>
      </c>
      <c r="F82" s="144">
        <v>-21.043391020817655</v>
      </c>
      <c r="G82" s="144">
        <v>-2.8713811105837683</v>
      </c>
      <c r="H82" s="144">
        <v>11.3</v>
      </c>
      <c r="I82" s="144">
        <v>11.7</v>
      </c>
    </row>
    <row r="83" spans="1:9">
      <c r="A83" s="167" t="s">
        <v>1060</v>
      </c>
      <c r="B83" s="142">
        <v>584</v>
      </c>
      <c r="C83" s="142">
        <v>0</v>
      </c>
      <c r="D83" s="142">
        <v>3822</v>
      </c>
      <c r="E83" s="142">
        <v>0</v>
      </c>
      <c r="F83" s="144">
        <v>0</v>
      </c>
      <c r="G83" s="144">
        <v>0</v>
      </c>
      <c r="H83" s="144">
        <v>1.32</v>
      </c>
      <c r="I83" s="144">
        <v>0</v>
      </c>
    </row>
    <row r="84" spans="1:9">
      <c r="A84" s="166" t="s">
        <v>321</v>
      </c>
      <c r="B84" s="142">
        <v>6091</v>
      </c>
      <c r="C84" s="142">
        <v>8804</v>
      </c>
      <c r="D84" s="142">
        <v>41308</v>
      </c>
      <c r="E84" s="142">
        <v>45907</v>
      </c>
      <c r="F84" s="144">
        <v>-30.815538391640164</v>
      </c>
      <c r="G84" s="144">
        <v>-10.018080031367765</v>
      </c>
      <c r="H84" s="144">
        <v>14.26</v>
      </c>
      <c r="I84" s="144">
        <v>15.93</v>
      </c>
    </row>
    <row r="85" spans="1:9">
      <c r="A85" s="167" t="s">
        <v>322</v>
      </c>
      <c r="B85" s="142">
        <v>0</v>
      </c>
      <c r="C85" s="142">
        <v>0</v>
      </c>
      <c r="D85" s="142">
        <v>0</v>
      </c>
      <c r="E85" s="142">
        <v>8</v>
      </c>
      <c r="F85" s="144">
        <v>0</v>
      </c>
      <c r="G85" s="144">
        <v>-100</v>
      </c>
      <c r="H85" s="144">
        <v>0</v>
      </c>
      <c r="I85" s="144">
        <v>0</v>
      </c>
    </row>
    <row r="86" spans="1:9">
      <c r="A86" s="167" t="s">
        <v>294</v>
      </c>
      <c r="B86" s="142">
        <v>6091</v>
      </c>
      <c r="C86" s="142">
        <v>8804</v>
      </c>
      <c r="D86" s="142">
        <v>41308</v>
      </c>
      <c r="E86" s="142">
        <v>45899</v>
      </c>
      <c r="F86" s="144">
        <v>-30.815538391640164</v>
      </c>
      <c r="G86" s="144">
        <v>-10.002396566373994</v>
      </c>
      <c r="H86" s="144">
        <v>14.26</v>
      </c>
      <c r="I86" s="144">
        <v>15.93</v>
      </c>
    </row>
    <row r="87" spans="1:9">
      <c r="A87" s="166" t="s">
        <v>1159</v>
      </c>
      <c r="B87" s="142">
        <v>73</v>
      </c>
      <c r="C87" s="142">
        <v>0</v>
      </c>
      <c r="D87" s="142">
        <v>235</v>
      </c>
      <c r="E87" s="142">
        <v>10</v>
      </c>
      <c r="F87" s="144">
        <v>0</v>
      </c>
      <c r="G87" s="144">
        <v>2250</v>
      </c>
      <c r="H87" s="144">
        <v>0.08</v>
      </c>
      <c r="I87" s="144">
        <v>0</v>
      </c>
    </row>
    <row r="88" spans="1:9">
      <c r="A88" s="167" t="s">
        <v>1158</v>
      </c>
      <c r="B88" s="142">
        <v>73</v>
      </c>
      <c r="C88" s="142">
        <v>0</v>
      </c>
      <c r="D88" s="142">
        <v>235</v>
      </c>
      <c r="E88" s="142">
        <v>10</v>
      </c>
      <c r="F88" s="144">
        <v>0</v>
      </c>
      <c r="G88" s="144">
        <v>2250</v>
      </c>
      <c r="H88" s="144">
        <v>0.08</v>
      </c>
      <c r="I88" s="144">
        <v>0</v>
      </c>
    </row>
    <row r="89" spans="1:9">
      <c r="A89" s="166" t="s">
        <v>207</v>
      </c>
      <c r="B89" s="142">
        <v>61</v>
      </c>
      <c r="C89" s="142">
        <v>107</v>
      </c>
      <c r="D89" s="142">
        <v>580</v>
      </c>
      <c r="E89" s="142">
        <v>638</v>
      </c>
      <c r="F89" s="144">
        <v>-42.990654205607477</v>
      </c>
      <c r="G89" s="144">
        <v>-9.0909090909090917</v>
      </c>
      <c r="H89" s="144">
        <v>0.2</v>
      </c>
      <c r="I89" s="144">
        <v>0.22</v>
      </c>
    </row>
    <row r="90" spans="1:9">
      <c r="A90" s="167" t="s">
        <v>295</v>
      </c>
      <c r="B90" s="142">
        <v>60</v>
      </c>
      <c r="C90" s="142">
        <v>107</v>
      </c>
      <c r="D90" s="142">
        <v>577</v>
      </c>
      <c r="E90" s="142">
        <v>638</v>
      </c>
      <c r="F90" s="144">
        <v>-43.925233644859816</v>
      </c>
      <c r="G90" s="144">
        <v>-9.5611285266457671</v>
      </c>
      <c r="H90" s="144">
        <v>0.2</v>
      </c>
      <c r="I90" s="144">
        <v>0.22</v>
      </c>
    </row>
    <row r="91" spans="1:9">
      <c r="A91" s="167" t="s">
        <v>276</v>
      </c>
      <c r="B91" s="142">
        <v>1</v>
      </c>
      <c r="C91" s="142">
        <v>0</v>
      </c>
      <c r="D91" s="142">
        <v>3</v>
      </c>
      <c r="E91" s="142">
        <v>0</v>
      </c>
      <c r="F91" s="144">
        <v>0</v>
      </c>
      <c r="G91" s="144">
        <v>0</v>
      </c>
      <c r="H91" s="144">
        <v>0</v>
      </c>
      <c r="I91" s="144">
        <v>0</v>
      </c>
    </row>
    <row r="92" spans="1:9">
      <c r="A92" s="166" t="s">
        <v>454</v>
      </c>
      <c r="B92" s="142">
        <v>29274</v>
      </c>
      <c r="C92" s="142">
        <v>35476</v>
      </c>
      <c r="D92" s="142">
        <v>289665</v>
      </c>
      <c r="E92" s="142">
        <v>288087</v>
      </c>
      <c r="F92" s="144">
        <v>-17.482241515390687</v>
      </c>
      <c r="G92" s="144">
        <v>0.54775120015828549</v>
      </c>
      <c r="H92" s="144">
        <v>99.97999999999999</v>
      </c>
      <c r="I92" s="144">
        <v>100.01999999999998</v>
      </c>
    </row>
    <row r="93" spans="1:9">
      <c r="B93"/>
      <c r="C93"/>
      <c r="D93"/>
      <c r="E93"/>
      <c r="F93"/>
      <c r="G93"/>
      <c r="H93"/>
      <c r="I93"/>
    </row>
    <row r="94" spans="1:9">
      <c r="B94"/>
      <c r="C94"/>
      <c r="D94"/>
      <c r="E94"/>
      <c r="F94"/>
      <c r="G94"/>
      <c r="H94"/>
      <c r="I94"/>
    </row>
    <row r="95" spans="1:9">
      <c r="A95" s="25" t="s">
        <v>677</v>
      </c>
      <c r="C95" s="55"/>
    </row>
    <row r="96" spans="1:9">
      <c r="C96" s="55"/>
      <c r="F96" s="55"/>
    </row>
    <row r="97" spans="1:6">
      <c r="E97" s="55"/>
      <c r="F97" s="55"/>
    </row>
    <row r="98" spans="1:6">
      <c r="A98" s="20" t="s">
        <v>1298</v>
      </c>
      <c r="B98" s="55"/>
      <c r="C98" s="55"/>
      <c r="E98" s="55"/>
      <c r="F98" s="55"/>
    </row>
    <row r="99" spans="1:6">
      <c r="A99" s="55" t="s">
        <v>1299</v>
      </c>
      <c r="B99" s="55" t="s">
        <v>673</v>
      </c>
      <c r="C99" s="55"/>
      <c r="E99" s="55"/>
      <c r="F99" s="55"/>
    </row>
    <row r="100" spans="1:6">
      <c r="A100" s="55" t="s">
        <v>600</v>
      </c>
      <c r="B100" s="55" t="s">
        <v>588</v>
      </c>
    </row>
    <row r="101" spans="1:6">
      <c r="A101" s="55" t="s">
        <v>458</v>
      </c>
      <c r="B101" s="55" t="s">
        <v>1045</v>
      </c>
    </row>
    <row r="102" spans="1:6">
      <c r="A102" s="55" t="s">
        <v>698</v>
      </c>
      <c r="B102" s="55" t="s">
        <v>1046</v>
      </c>
    </row>
    <row r="103" spans="1:6">
      <c r="A103" s="55" t="s">
        <v>1047</v>
      </c>
      <c r="B103" s="55" t="s">
        <v>1048</v>
      </c>
    </row>
    <row r="104" spans="1:6">
      <c r="A104" s="55" t="s">
        <v>1049</v>
      </c>
      <c r="B104" s="55" t="s">
        <v>1050</v>
      </c>
    </row>
    <row r="105" spans="1:6">
      <c r="A105" s="55" t="s">
        <v>1121</v>
      </c>
      <c r="B105" s="55" t="s">
        <v>1122</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L9" sqref="L9"/>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3" ht="19.25" customHeight="1" thickBot="1">
      <c r="C2" s="56" t="s">
        <v>331</v>
      </c>
      <c r="D2" s="56"/>
      <c r="E2" s="56"/>
      <c r="F2" s="56"/>
    </row>
    <row r="3" spans="1:13" ht="14" customHeight="1"/>
    <row r="4" spans="1:13">
      <c r="F4" s="259" t="s">
        <v>452</v>
      </c>
      <c r="G4" s="259"/>
      <c r="H4" s="259"/>
      <c r="I4" s="259"/>
    </row>
    <row r="5" spans="1:13">
      <c r="A5" s="96"/>
      <c r="B5" s="256" t="s">
        <v>535</v>
      </c>
      <c r="C5" s="257"/>
      <c r="D5" s="258" t="s">
        <v>537</v>
      </c>
      <c r="E5" s="257"/>
      <c r="F5" s="256" t="s">
        <v>535</v>
      </c>
      <c r="G5" s="257"/>
      <c r="H5" s="258" t="s">
        <v>537</v>
      </c>
      <c r="I5" s="257"/>
      <c r="J5" s="111" t="s">
        <v>536</v>
      </c>
    </row>
    <row r="6" spans="1:13">
      <c r="A6" s="108" t="s">
        <v>470</v>
      </c>
      <c r="B6" s="109" t="str">
        <f>Innehåll!D79</f>
        <v xml:space="preserve"> 2023-12</v>
      </c>
      <c r="C6" s="109" t="str">
        <f>Innehåll!D80</f>
        <v xml:space="preserve"> 2022-12</v>
      </c>
      <c r="D6" s="109" t="str">
        <f>B6</f>
        <v xml:space="preserve"> 2023-12</v>
      </c>
      <c r="E6" s="110" t="str">
        <f>C6</f>
        <v xml:space="preserve"> 2022-12</v>
      </c>
      <c r="F6" s="109" t="str">
        <f>Innehåll!D81</f>
        <v>YTD  2023</v>
      </c>
      <c r="G6" s="109" t="str">
        <f>Innehåll!D82</f>
        <v>YTD  2022</v>
      </c>
      <c r="H6" s="111" t="str">
        <f>F6</f>
        <v>YTD  2023</v>
      </c>
      <c r="I6" s="112" t="str">
        <f>G6</f>
        <v>YTD  2022</v>
      </c>
      <c r="J6" s="111" t="str">
        <f>Innehåll!D81</f>
        <v>YTD  2023</v>
      </c>
    </row>
    <row r="7" spans="1:13" ht="15" hidden="1" customHeight="1">
      <c r="A7" s="67" t="s">
        <v>332</v>
      </c>
      <c r="B7" s="68" t="s">
        <v>26</v>
      </c>
      <c r="C7" s="69" t="s">
        <v>298</v>
      </c>
      <c r="D7" s="25" t="s">
        <v>333</v>
      </c>
      <c r="E7" s="25" t="s">
        <v>334</v>
      </c>
      <c r="F7" s="25" t="s">
        <v>299</v>
      </c>
      <c r="G7" s="25" t="s">
        <v>300</v>
      </c>
      <c r="H7" s="25" t="s">
        <v>335</v>
      </c>
      <c r="I7" s="25" t="s">
        <v>336</v>
      </c>
      <c r="J7" s="58" t="s">
        <v>337</v>
      </c>
    </row>
    <row r="8" spans="1:13">
      <c r="A8" s="41" t="s">
        <v>20</v>
      </c>
      <c r="B8" s="61">
        <v>11415</v>
      </c>
      <c r="C8" s="61">
        <v>18205</v>
      </c>
      <c r="D8" s="58">
        <f>IF(getAggPBFuelTypes[[#This Row],[antalPerioden]]&gt;0,((B8/getAggPBFuelTypes[[#Totals],[antalPerioden]]) * 100),0)</f>
        <v>38.993646238983395</v>
      </c>
      <c r="E8" s="58">
        <f>((C8/getAggPBFuelTypes[[#Totals],[antalPeriodenFG]]) * 100)</f>
        <v>51.316382906753866</v>
      </c>
      <c r="F8" s="61">
        <v>112115</v>
      </c>
      <c r="G8" s="61">
        <v>95035</v>
      </c>
      <c r="H8" s="58">
        <f>((F8/getAggPBFuelTypes[[#Totals],[antalAret]]) * 100)</f>
        <v>38.705055840367322</v>
      </c>
      <c r="I8" s="58">
        <f>((G8/getAggPBFuelTypes[[#Totals],[antalAretFG]]) * 100)</f>
        <v>32.988298673664552</v>
      </c>
      <c r="J8" s="42">
        <f t="shared" ref="J8:J15" si="0">IF(G8 = 0,0,(F8-G8)/G8)</f>
        <v>0.17972325985163362</v>
      </c>
    </row>
    <row r="9" spans="1:13">
      <c r="A9" s="41" t="s">
        <v>19</v>
      </c>
      <c r="B9" s="61">
        <v>7059</v>
      </c>
      <c r="C9" s="61">
        <v>8259</v>
      </c>
      <c r="D9" s="58">
        <f>IF(getAggPBFuelTypes[[#This Row],[antalPerioden]]&gt;0,((B9/getAggPBFuelTypes[[#Totals],[antalPerioden]]) * 100),0)</f>
        <v>24.113547858167657</v>
      </c>
      <c r="E9" s="58">
        <f>((C9/getAggPBFuelTypes[[#Totals],[antalPeriodenFG]]) * 100)</f>
        <v>23.280527680685534</v>
      </c>
      <c r="F9" s="61">
        <v>61019</v>
      </c>
      <c r="G9" s="61">
        <v>66614</v>
      </c>
      <c r="H9" s="58">
        <f>((F9/getAggPBFuelTypes[[#Totals],[antalAret]]) * 100)</f>
        <v>21.065368615469595</v>
      </c>
      <c r="I9" s="58">
        <f>((G9/getAggPBFuelTypes[[#Totals],[antalAretFG]]) * 100)</f>
        <v>23.122876075629932</v>
      </c>
      <c r="J9" s="42">
        <f t="shared" si="0"/>
        <v>-8.399135316900351E-2</v>
      </c>
    </row>
    <row r="10" spans="1:13">
      <c r="A10" s="41" t="s">
        <v>16</v>
      </c>
      <c r="B10" s="61">
        <v>6121</v>
      </c>
      <c r="C10" s="61">
        <v>4247</v>
      </c>
      <c r="D10" s="58">
        <f>IF(getAggPBFuelTypes[[#This Row],[antalPerioden]]&gt;0,((B10/getAggPBFuelTypes[[#Totals],[antalPerioden]]) * 100),0)</f>
        <v>20.909339345494296</v>
      </c>
      <c r="E10" s="58">
        <f>((C10/getAggPBFuelTypes[[#Totals],[antalPeriodenFG]]) * 100)</f>
        <v>11.971473672341865</v>
      </c>
      <c r="F10" s="61">
        <v>62535</v>
      </c>
      <c r="G10" s="61">
        <v>63008</v>
      </c>
      <c r="H10" s="58">
        <f>((F10/getAggPBFuelTypes[[#Totals],[antalAret]]) * 100)</f>
        <v>21.588731810884987</v>
      </c>
      <c r="I10" s="58">
        <f>((G10/getAggPBFuelTypes[[#Totals],[antalAretFG]]) * 100)</f>
        <v>21.871170861580008</v>
      </c>
      <c r="J10" s="42">
        <f t="shared" si="0"/>
        <v>-7.5069832402234636E-3</v>
      </c>
    </row>
    <row r="11" spans="1:13">
      <c r="A11" s="41" t="s">
        <v>18</v>
      </c>
      <c r="B11" s="61">
        <v>2179</v>
      </c>
      <c r="C11" s="61">
        <v>2016</v>
      </c>
      <c r="D11" s="58">
        <f>IF(getAggPBFuelTypes[[#This Row],[antalPerioden]]&gt;0,((B11/getAggPBFuelTypes[[#Totals],[antalPerioden]]) * 100),0)</f>
        <v>7.4434651909544307</v>
      </c>
      <c r="E11" s="58">
        <f>((C11/getAggPBFuelTypes[[#Totals],[antalPeriodenFG]]) * 100)</f>
        <v>5.6827150749802682</v>
      </c>
      <c r="F11" s="61">
        <v>23405</v>
      </c>
      <c r="G11" s="61">
        <v>25507</v>
      </c>
      <c r="H11" s="58">
        <f>((F11/getAggPBFuelTypes[[#Totals],[antalAret]]) * 100)</f>
        <v>8.0800234753939897</v>
      </c>
      <c r="I11" s="58">
        <f>((G11/getAggPBFuelTypes[[#Totals],[antalAretFG]]) * 100)</f>
        <v>8.8539225997702093</v>
      </c>
      <c r="J11" s="42">
        <f t="shared" si="0"/>
        <v>-8.240875053906771E-2</v>
      </c>
    </row>
    <row r="12" spans="1:13">
      <c r="A12" s="41" t="s">
        <v>17</v>
      </c>
      <c r="B12" s="61">
        <v>2028</v>
      </c>
      <c r="C12" s="61">
        <v>2377</v>
      </c>
      <c r="D12" s="58">
        <f>IF(getAggPBFuelTypes[[#This Row],[antalPerioden]]&gt;0,((B12/getAggPBFuelTypes[[#Totals],[antalPerioden]]) * 100),0)</f>
        <v>6.9276491084238572</v>
      </c>
      <c r="E12" s="58">
        <f>((C12/getAggPBFuelTypes[[#Totals],[antalPeriodenFG]]) * 100)</f>
        <v>6.7003044311647315</v>
      </c>
      <c r="F12" s="61">
        <v>23816</v>
      </c>
      <c r="G12" s="61">
        <v>33146</v>
      </c>
      <c r="H12" s="58">
        <f>((F12/getAggPBFuelTypes[[#Totals],[antalAret]]) * 100)</f>
        <v>8.2219115184782421</v>
      </c>
      <c r="I12" s="58">
        <f>((G12/getAggPBFuelTypes[[#Totals],[antalAretFG]]) * 100)</f>
        <v>11.50555214223481</v>
      </c>
      <c r="J12" s="42">
        <f t="shared" si="0"/>
        <v>-0.28148192843782055</v>
      </c>
    </row>
    <row r="13" spans="1:13">
      <c r="A13" s="41" t="s">
        <v>22</v>
      </c>
      <c r="B13" s="61">
        <v>319</v>
      </c>
      <c r="C13" s="61">
        <v>237</v>
      </c>
      <c r="D13" s="58">
        <f>IF(getAggPBFuelTypes[[#This Row],[antalPerioden]]&gt;0,((B13/getAggPBFuelTypes[[#Totals],[antalPerioden]]) * 100),0)</f>
        <v>1.0897041743526679</v>
      </c>
      <c r="E13" s="58">
        <f>((C13/getAggPBFuelTypes[[#Totals],[antalPeriodenFG]]) * 100)</f>
        <v>0.66805727815988269</v>
      </c>
      <c r="F13" s="61">
        <v>4713</v>
      </c>
      <c r="G13" s="61">
        <v>2894</v>
      </c>
      <c r="H13" s="58">
        <f>((F13/getAggPBFuelTypes[[#Totals],[antalAret]]) * 100)</f>
        <v>1.6270519393092022</v>
      </c>
      <c r="I13" s="58">
        <f>((G13/getAggPBFuelTypes[[#Totals],[antalAretFG]]) * 100)</f>
        <v>1.0045576509873753</v>
      </c>
      <c r="J13" s="42">
        <f t="shared" si="0"/>
        <v>0.62854181064270909</v>
      </c>
    </row>
    <row r="14" spans="1:13">
      <c r="A14" s="70" t="s">
        <v>21</v>
      </c>
      <c r="B14" s="71">
        <v>153</v>
      </c>
      <c r="C14" s="72">
        <v>135</v>
      </c>
      <c r="D14" s="58">
        <f>IF(getAggPBFuelTypes[[#This Row],[antalPerioden]]&gt;0,((B14/getAggPBFuelTypes[[#Totals],[antalPerioden]]) * 100),0)</f>
        <v>0.52264808362369342</v>
      </c>
      <c r="E14" s="58">
        <f>((C14/getAggPBFuelTypes[[#Totals],[antalPeriodenFG]]) * 100)</f>
        <v>0.38053895591385722</v>
      </c>
      <c r="F14" s="61">
        <v>2061</v>
      </c>
      <c r="G14" s="61">
        <v>1881</v>
      </c>
      <c r="H14" s="58">
        <f>((F14/getAggPBFuelTypes[[#Totals],[antalAret]]) * 100)</f>
        <v>0.71151157371446327</v>
      </c>
      <c r="I14" s="58">
        <f>((G14/getAggPBFuelTypes[[#Totals],[antalAretFG]]) * 100)</f>
        <v>0.65292776140540876</v>
      </c>
      <c r="J14" s="42">
        <f t="shared" si="0"/>
        <v>9.569377990430622E-2</v>
      </c>
    </row>
    <row r="15" spans="1:13">
      <c r="A15" s="154" t="s">
        <v>1182</v>
      </c>
      <c r="B15" s="146">
        <v>0</v>
      </c>
      <c r="C15" s="146">
        <v>0</v>
      </c>
      <c r="D15" s="147">
        <f>IF(getAggPBFuelTypes[[#This Row],[antalPerioden]]&gt;0,((B15/getAggPBFuelTypes[[#Totals],[antalPerioden]]) * 100),0)</f>
        <v>0</v>
      </c>
      <c r="E15" s="147">
        <f>((C15/getAggPBFuelTypes[[#Totals],[antalPeriodenFG]]) * 100)</f>
        <v>0</v>
      </c>
      <c r="F15" s="146">
        <v>1</v>
      </c>
      <c r="G15" s="146">
        <v>2</v>
      </c>
      <c r="H15" s="147">
        <f>((F15/getAggPBFuelTypes[[#Totals],[antalAret]]) * 100)</f>
        <v>3.4522638220012774E-4</v>
      </c>
      <c r="I15" s="147">
        <f>((G15/getAggPBFuelTypes[[#Totals],[antalAretFG]]) * 100)</f>
        <v>6.942347277037839E-4</v>
      </c>
      <c r="J15" s="224">
        <f t="shared" si="0"/>
        <v>-0.5</v>
      </c>
      <c r="M15" s="8"/>
    </row>
    <row r="16" spans="1:13">
      <c r="A16" s="139" t="s">
        <v>454</v>
      </c>
      <c r="B16" s="140">
        <f>SUBTOTAL(109,getAggPBFuelTypes[antalPerioden])</f>
        <v>29274</v>
      </c>
      <c r="C16" s="140">
        <f>SUBTOTAL(109,getAggPBFuelTypes[antalPeriodenFG])</f>
        <v>35476</v>
      </c>
      <c r="D16" s="141">
        <f>SUBTOTAL(109,getAggPBFuelTypes[Column1])</f>
        <v>99.999999999999986</v>
      </c>
      <c r="E16" s="141">
        <f>SUBTOTAL(109,getAggPBFuelTypes[Column1])</f>
        <v>99.999999999999986</v>
      </c>
      <c r="F16" s="140">
        <f>SUBTOTAL(109,getAggPBFuelTypes[antalAret])</f>
        <v>289665</v>
      </c>
      <c r="G16" s="140">
        <f>SUBTOTAL(109,getAggPBFuelTypes[antalAretFG])</f>
        <v>288087</v>
      </c>
      <c r="H16" s="141">
        <f>SUBTOTAL(109,getAggPBFuelTypes[Column1])</f>
        <v>99.999999999999986</v>
      </c>
      <c r="I16" s="141">
        <f>SUBTOTAL(109,getAggPBFuelTypes[Column1])</f>
        <v>99.999999999999986</v>
      </c>
      <c r="J16" s="221"/>
      <c r="K16" s="211"/>
      <c r="L16" s="217"/>
    </row>
    <row r="17" spans="1:16">
      <c r="A17" s="25"/>
      <c r="B17" s="25"/>
      <c r="C17" s="25"/>
      <c r="D17" s="58"/>
      <c r="E17" s="58"/>
      <c r="F17" s="25"/>
      <c r="G17" s="25"/>
      <c r="H17" s="58"/>
      <c r="I17" s="58"/>
    </row>
    <row r="18" spans="1:16">
      <c r="A18" s="55" t="s">
        <v>679</v>
      </c>
      <c r="B18" s="25"/>
      <c r="C18" s="25"/>
      <c r="D18" s="25"/>
      <c r="E18" s="25"/>
      <c r="F18" s="25"/>
      <c r="G18" s="25"/>
      <c r="H18" s="60"/>
      <c r="I18" s="25"/>
    </row>
    <row r="19" spans="1:16">
      <c r="A19" s="7" t="s">
        <v>680</v>
      </c>
      <c r="B19" s="25"/>
      <c r="C19" s="25"/>
      <c r="D19" s="25"/>
      <c r="E19" s="25"/>
      <c r="F19" s="25"/>
      <c r="G19" s="25"/>
      <c r="H19" s="60"/>
      <c r="I19" s="25"/>
    </row>
    <row r="20" spans="1:16">
      <c r="A20" s="55" t="s">
        <v>681</v>
      </c>
      <c r="B20" s="25"/>
      <c r="C20" s="25"/>
      <c r="D20" s="25"/>
      <c r="E20" s="25"/>
      <c r="F20" s="25"/>
      <c r="G20" s="25"/>
      <c r="H20" s="60"/>
      <c r="I20" s="25"/>
    </row>
    <row r="21" spans="1:16">
      <c r="A21" s="55" t="s">
        <v>682</v>
      </c>
      <c r="B21" s="25"/>
      <c r="C21" s="25"/>
      <c r="D21" s="25"/>
      <c r="E21" s="25"/>
      <c r="F21" s="25"/>
      <c r="G21" s="25"/>
      <c r="H21" s="60"/>
      <c r="I21" s="25"/>
    </row>
    <row r="22" spans="1:16">
      <c r="A22" s="55" t="s">
        <v>683</v>
      </c>
      <c r="B22" s="25"/>
      <c r="C22" s="25"/>
      <c r="D22" s="25"/>
      <c r="E22" s="25"/>
      <c r="F22" s="25"/>
      <c r="G22" s="25"/>
      <c r="H22" s="60"/>
      <c r="I22" s="25"/>
    </row>
    <row r="23" spans="1:16">
      <c r="A23" s="55" t="s">
        <v>440</v>
      </c>
      <c r="B23" s="25"/>
      <c r="C23" s="25"/>
      <c r="D23" s="25"/>
      <c r="E23" s="25"/>
      <c r="F23" s="25"/>
      <c r="G23" s="25"/>
      <c r="H23" s="60"/>
      <c r="I23" s="25"/>
    </row>
    <row r="28" spans="1:16" ht="20" thickBot="1">
      <c r="L28" s="66" t="s">
        <v>223</v>
      </c>
      <c r="M28" s="66"/>
      <c r="N28" s="66"/>
      <c r="O28" s="66"/>
      <c r="P28" s="113"/>
    </row>
    <row r="29" spans="1:16">
      <c r="L29" s="25"/>
      <c r="M29" s="25"/>
      <c r="N29" s="25"/>
      <c r="O29" s="25"/>
      <c r="P29" s="25"/>
    </row>
    <row r="30" spans="1:16" ht="16" thickBot="1">
      <c r="L30" s="73" t="str">
        <f>Innehåll!D85</f>
        <v>Jan - dec 2023</v>
      </c>
      <c r="M30" s="74" t="s">
        <v>538</v>
      </c>
      <c r="N30" s="25"/>
      <c r="O30" s="25"/>
      <c r="P30" s="25"/>
    </row>
    <row r="31" spans="1:16">
      <c r="L31" s="25"/>
      <c r="M31" s="25"/>
      <c r="N31" s="25"/>
      <c r="O31" s="25"/>
      <c r="P31" s="25"/>
    </row>
    <row r="32" spans="1:16">
      <c r="L32" s="58" t="str">
        <f>A8</f>
        <v>El</v>
      </c>
      <c r="M32" s="58">
        <f t="shared" ref="M32:M38" si="1">INDEX($H$8:$H$16,MATCH(L32,$A$8:$A$16,0))</f>
        <v>38.705055840367322</v>
      </c>
      <c r="N32" s="25"/>
      <c r="P32" s="25"/>
    </row>
    <row r="33" spans="12:16">
      <c r="L33" s="58" t="str">
        <f t="shared" ref="L33:L38" si="2">A9</f>
        <v>Laddhybrid</v>
      </c>
      <c r="M33" s="58">
        <f t="shared" si="1"/>
        <v>21.065368615469595</v>
      </c>
      <c r="N33" s="25"/>
      <c r="P33" s="25"/>
    </row>
    <row r="34" spans="12:16">
      <c r="L34" s="58" t="str">
        <f t="shared" si="2"/>
        <v>Bensin</v>
      </c>
      <c r="M34" s="58">
        <f t="shared" si="1"/>
        <v>21.588731810884987</v>
      </c>
      <c r="N34" s="25"/>
      <c r="P34" s="25"/>
    </row>
    <row r="35" spans="12:16">
      <c r="L35" s="58" t="str">
        <f t="shared" si="2"/>
        <v>Elhybrid</v>
      </c>
      <c r="M35" s="58">
        <f t="shared" si="1"/>
        <v>8.0800234753939897</v>
      </c>
      <c r="N35" s="25"/>
      <c r="P35" s="25"/>
    </row>
    <row r="36" spans="12:16">
      <c r="L36" s="58" t="str">
        <f t="shared" si="2"/>
        <v>Diesel</v>
      </c>
      <c r="M36" s="58">
        <f t="shared" si="1"/>
        <v>8.2219115184782421</v>
      </c>
      <c r="N36" s="25"/>
      <c r="P36" s="25"/>
    </row>
    <row r="37" spans="12:16">
      <c r="L37" s="58" t="str">
        <f t="shared" si="2"/>
        <v>Etanol</v>
      </c>
      <c r="M37" s="58">
        <f t="shared" si="1"/>
        <v>1.6270519393092022</v>
      </c>
      <c r="N37" s="25"/>
      <c r="P37" s="25"/>
    </row>
    <row r="38" spans="12:16">
      <c r="L38" s="58" t="str">
        <f t="shared" si="2"/>
        <v>Gas</v>
      </c>
      <c r="M38" s="58">
        <f t="shared" si="1"/>
        <v>0.71151157371446327</v>
      </c>
      <c r="N38" s="25"/>
      <c r="P38" s="25"/>
    </row>
    <row r="39" spans="12:16">
      <c r="L39" s="25"/>
      <c r="M39" s="58"/>
      <c r="N39" s="25"/>
      <c r="O39" s="25"/>
      <c r="P39" s="25"/>
    </row>
    <row r="40" spans="12:16">
      <c r="M40" s="8"/>
    </row>
    <row r="43" spans="12:16" ht="15" hidden="1" customHeight="1"/>
    <row r="60" spans="1:1">
      <c r="A60" s="25" t="s">
        <v>677</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87"/>
  <sheetViews>
    <sheetView showZeros="0" workbookViewId="0">
      <selection activeCell="O30" sqref="O30"/>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476</v>
      </c>
      <c r="P2" s="66"/>
      <c r="Q2" s="66"/>
      <c r="R2" s="66"/>
      <c r="S2" s="66"/>
      <c r="T2" s="66"/>
      <c r="U2" s="113"/>
    </row>
    <row r="3" spans="1:21" ht="15" customHeight="1">
      <c r="A3" s="9"/>
      <c r="O3" s="25" t="s">
        <v>475</v>
      </c>
      <c r="P3" s="25"/>
      <c r="Q3" s="25"/>
      <c r="R3" s="25"/>
      <c r="S3" s="25"/>
      <c r="T3" s="25"/>
      <c r="U3" s="25"/>
    </row>
    <row r="4" spans="1:21" ht="15" customHeight="1">
      <c r="A4" s="9"/>
      <c r="O4" s="6"/>
      <c r="P4" s="6"/>
      <c r="Q4" s="16"/>
      <c r="R4" s="16"/>
      <c r="S4" s="16"/>
      <c r="T4" s="16"/>
      <c r="U4" s="25"/>
    </row>
    <row r="5" spans="1:21" ht="15" customHeight="1" thickBot="1">
      <c r="A5" s="9"/>
      <c r="O5" s="19" t="s">
        <v>455</v>
      </c>
      <c r="P5" s="19">
        <v>2021</v>
      </c>
      <c r="Q5" s="19">
        <v>2022</v>
      </c>
      <c r="R5" s="19">
        <v>2023</v>
      </c>
      <c r="S5" s="25"/>
      <c r="T5" s="25"/>
      <c r="U5" s="25"/>
    </row>
    <row r="6" spans="1:21" ht="15" customHeight="1">
      <c r="A6" s="9"/>
      <c r="O6" s="16" t="s">
        <v>2</v>
      </c>
      <c r="P6" s="75">
        <v>33.5</v>
      </c>
      <c r="Q6" s="75">
        <v>52.9</v>
      </c>
      <c r="R6" s="75">
        <v>52.1</v>
      </c>
      <c r="S6" s="25"/>
      <c r="T6" s="25"/>
      <c r="U6" s="25"/>
    </row>
    <row r="7" spans="1:21" ht="15" customHeight="1">
      <c r="A7" s="9"/>
      <c r="O7" s="16" t="s">
        <v>3</v>
      </c>
      <c r="P7" s="75">
        <v>34.200000000000003</v>
      </c>
      <c r="Q7" s="75">
        <v>51.6</v>
      </c>
      <c r="R7" s="75">
        <v>54</v>
      </c>
      <c r="S7" s="25"/>
      <c r="T7" s="25"/>
      <c r="U7" s="25"/>
    </row>
    <row r="8" spans="1:21" ht="15" customHeight="1">
      <c r="A8" s="9"/>
      <c r="O8" s="16" t="s">
        <v>4</v>
      </c>
      <c r="P8" s="75">
        <v>37</v>
      </c>
      <c r="Q8" s="75">
        <v>55.6</v>
      </c>
      <c r="R8" s="75">
        <v>59.9</v>
      </c>
      <c r="S8" s="25"/>
      <c r="T8" s="25"/>
      <c r="U8" s="25"/>
    </row>
    <row r="9" spans="1:21" ht="15" customHeight="1">
      <c r="A9" s="9"/>
      <c r="O9" s="16" t="s">
        <v>5</v>
      </c>
      <c r="P9" s="75">
        <v>43.2</v>
      </c>
      <c r="Q9" s="75">
        <v>48.2</v>
      </c>
      <c r="R9" s="75">
        <v>55.8</v>
      </c>
      <c r="S9" s="25"/>
      <c r="T9" s="25"/>
      <c r="U9" s="25"/>
    </row>
    <row r="10" spans="1:21" ht="15" customHeight="1">
      <c r="A10" s="9"/>
      <c r="O10" s="16" t="s">
        <v>6</v>
      </c>
      <c r="P10" s="75">
        <v>39</v>
      </c>
      <c r="Q10" s="75">
        <v>47.4</v>
      </c>
      <c r="R10" s="75">
        <v>61.9</v>
      </c>
      <c r="S10" s="25"/>
      <c r="T10" s="25"/>
      <c r="U10" s="25"/>
    </row>
    <row r="11" spans="1:21" ht="15" customHeight="1">
      <c r="A11" s="9"/>
      <c r="O11" s="16" t="s">
        <v>7</v>
      </c>
      <c r="P11" s="75">
        <v>49.4</v>
      </c>
      <c r="Q11" s="75">
        <v>55</v>
      </c>
      <c r="R11" s="75">
        <v>59.2</v>
      </c>
      <c r="S11" s="25"/>
      <c r="T11" s="25"/>
      <c r="U11" s="25"/>
    </row>
    <row r="12" spans="1:21" ht="15" customHeight="1">
      <c r="A12" s="9"/>
      <c r="O12" s="16" t="s">
        <v>8</v>
      </c>
      <c r="P12" s="75">
        <v>37.6</v>
      </c>
      <c r="Q12" s="75">
        <v>49.9</v>
      </c>
      <c r="R12" s="75">
        <v>59.9</v>
      </c>
      <c r="S12" s="25"/>
      <c r="T12" s="25"/>
      <c r="U12" s="25"/>
    </row>
    <row r="13" spans="1:21" ht="15" customHeight="1">
      <c r="A13" s="9"/>
      <c r="O13" s="16" t="s">
        <v>9</v>
      </c>
      <c r="P13" s="75">
        <v>47.1</v>
      </c>
      <c r="Q13" s="75">
        <v>45.9</v>
      </c>
      <c r="R13" s="75">
        <v>60.1</v>
      </c>
      <c r="S13" s="25"/>
      <c r="T13" s="25"/>
      <c r="U13" s="25"/>
    </row>
    <row r="14" spans="1:21" ht="15" customHeight="1">
      <c r="A14" s="9"/>
      <c r="O14" s="16" t="s">
        <v>10</v>
      </c>
      <c r="P14" s="75">
        <v>53.9</v>
      </c>
      <c r="Q14" s="75">
        <v>55.1</v>
      </c>
      <c r="R14" s="75">
        <v>63.4</v>
      </c>
      <c r="S14" s="25"/>
      <c r="T14" s="25"/>
      <c r="U14" s="25"/>
    </row>
    <row r="15" spans="1:21" ht="15" customHeight="1">
      <c r="A15" s="9"/>
      <c r="O15" s="16" t="s">
        <v>11</v>
      </c>
      <c r="P15" s="75">
        <v>50.9</v>
      </c>
      <c r="Q15" s="75">
        <v>59.4</v>
      </c>
      <c r="R15" s="75">
        <v>60.6</v>
      </c>
      <c r="S15" s="25"/>
      <c r="T15" s="25"/>
      <c r="U15" s="25"/>
    </row>
    <row r="16" spans="1:21" ht="15" customHeight="1">
      <c r="A16" s="9"/>
      <c r="O16" s="16" t="s">
        <v>12</v>
      </c>
      <c r="P16" s="75">
        <v>54.3</v>
      </c>
      <c r="Q16" s="75">
        <v>64.599999999999994</v>
      </c>
      <c r="R16" s="75">
        <v>60.5</v>
      </c>
      <c r="S16" s="25"/>
      <c r="T16" s="25"/>
      <c r="U16" s="25"/>
    </row>
    <row r="17" spans="1:21" ht="15" customHeight="1">
      <c r="A17" s="9"/>
      <c r="O17" s="26" t="s">
        <v>13</v>
      </c>
      <c r="P17" s="76">
        <v>60.7</v>
      </c>
      <c r="Q17" s="76">
        <v>74.599999999999994</v>
      </c>
      <c r="R17" s="76">
        <v>63.1</v>
      </c>
      <c r="S17" s="25"/>
      <c r="T17" s="25"/>
      <c r="U17" s="25"/>
    </row>
    <row r="18" spans="1:21" ht="15" customHeight="1">
      <c r="A18" s="9"/>
      <c r="O18" s="6" t="s">
        <v>534</v>
      </c>
      <c r="P18" s="23">
        <v>45</v>
      </c>
      <c r="Q18" s="23">
        <v>56.1</v>
      </c>
      <c r="R18" s="23">
        <f>IF(getAggModelsPB[[#Totals],[antalÅret]] &gt; 0,getAggRechargeModels[[#Totals],[antalÅret]]  / getAggModelsPB[[#Totals],[antalÅret]] * 100,0)</f>
        <v>59.77249581413011</v>
      </c>
      <c r="S18" s="25"/>
      <c r="T18" s="25"/>
      <c r="U18" s="25"/>
    </row>
    <row r="19" spans="1:21" ht="15" customHeight="1">
      <c r="A19" s="9"/>
      <c r="O19" s="6" t="s">
        <v>533</v>
      </c>
      <c r="P19" s="23">
        <v>45</v>
      </c>
      <c r="Q19" s="23">
        <v>56.1</v>
      </c>
      <c r="R19" s="38">
        <v>59.8</v>
      </c>
      <c r="S19" s="25"/>
      <c r="T19" s="25"/>
      <c r="U19" s="25"/>
    </row>
    <row r="20" spans="1:21" ht="15" customHeight="1">
      <c r="A20" s="9"/>
    </row>
    <row r="21" spans="1:21" ht="15" customHeight="1">
      <c r="A21" s="9"/>
    </row>
    <row r="22" spans="1:21" ht="15" customHeight="1">
      <c r="A22" s="9"/>
    </row>
    <row r="23" spans="1:21" ht="15" customHeight="1">
      <c r="A23" s="9"/>
    </row>
    <row r="24" spans="1:21" ht="15" customHeight="1">
      <c r="A24" s="9"/>
    </row>
    <row r="25" spans="1:21" ht="15" customHeight="1">
      <c r="A25" s="9"/>
    </row>
    <row r="26" spans="1:21" ht="15" customHeight="1">
      <c r="A26" s="9"/>
    </row>
    <row r="27" spans="1:21" ht="15" customHeight="1">
      <c r="A27" s="9"/>
    </row>
    <row r="28" spans="1:21" ht="15" customHeight="1">
      <c r="A28" s="9"/>
    </row>
    <row r="29" spans="1:21" ht="15" customHeight="1">
      <c r="A29" s="9"/>
    </row>
    <row r="30" spans="1:21" ht="15" customHeight="1">
      <c r="A30" s="9"/>
    </row>
    <row r="31" spans="1:21" ht="15" customHeight="1">
      <c r="A31" s="9"/>
    </row>
    <row r="32" spans="1:21" ht="15" customHeight="1">
      <c r="A32" s="9"/>
    </row>
    <row r="33" spans="1:14" ht="15" customHeight="1">
      <c r="A33" s="9"/>
    </row>
    <row r="34" spans="1:14" ht="15" customHeight="1">
      <c r="A34" s="9"/>
    </row>
    <row r="35" spans="1:14" ht="15" customHeight="1">
      <c r="A35" s="9"/>
    </row>
    <row r="36" spans="1:14" ht="19.25" customHeight="1" thickBot="1">
      <c r="A36" s="66" t="s">
        <v>461</v>
      </c>
      <c r="B36" s="66"/>
      <c r="C36" s="66"/>
    </row>
    <row r="37" spans="1:14" ht="15" customHeight="1">
      <c r="A37" s="9"/>
    </row>
    <row r="38" spans="1:14">
      <c r="A38" s="7" t="s">
        <v>451</v>
      </c>
      <c r="B38" s="55"/>
      <c r="C38" s="55"/>
      <c r="D38" s="55"/>
      <c r="E38" s="55"/>
      <c r="F38" s="55"/>
      <c r="G38" s="55"/>
      <c r="H38" s="260" t="s">
        <v>452</v>
      </c>
      <c r="I38" s="260"/>
      <c r="J38" s="260"/>
      <c r="K38" s="260"/>
      <c r="L38" s="260"/>
      <c r="M38" s="260"/>
      <c r="N38" s="55"/>
    </row>
    <row r="39" spans="1:14">
      <c r="A39" s="103"/>
      <c r="B39" s="114"/>
      <c r="C39" s="114"/>
      <c r="D39" s="261" t="s">
        <v>535</v>
      </c>
      <c r="E39" s="262"/>
      <c r="F39" s="263" t="s">
        <v>535</v>
      </c>
      <c r="G39" s="264"/>
      <c r="H39" s="263" t="s">
        <v>536</v>
      </c>
      <c r="I39" s="264"/>
      <c r="J39" s="263" t="s">
        <v>537</v>
      </c>
      <c r="K39" s="264"/>
      <c r="L39" s="263" t="s">
        <v>537</v>
      </c>
      <c r="M39" s="264"/>
      <c r="N39" s="55"/>
    </row>
    <row r="40" spans="1:14">
      <c r="A40" s="103"/>
      <c r="B40" s="115" t="s">
        <v>453</v>
      </c>
      <c r="C40" s="116" t="s">
        <v>539</v>
      </c>
      <c r="D40" s="117" t="str">
        <f>Innehåll!D79</f>
        <v xml:space="preserve"> 2023-12</v>
      </c>
      <c r="E40" s="117" t="str">
        <f>Innehåll!D80</f>
        <v xml:space="preserve"> 2022-12</v>
      </c>
      <c r="F40" s="117" t="str">
        <f>Innehåll!D81</f>
        <v>YTD  2023</v>
      </c>
      <c r="G40" s="117" t="str">
        <f>Innehåll!D82</f>
        <v>YTD  2022</v>
      </c>
      <c r="H40" s="117" t="str">
        <f>D40</f>
        <v xml:space="preserve"> 2023-12</v>
      </c>
      <c r="I40" s="118" t="str">
        <f>F40</f>
        <v>YTD  2023</v>
      </c>
      <c r="J40" s="117" t="str">
        <f>D40</f>
        <v xml:space="preserve"> 2023-12</v>
      </c>
      <c r="K40" s="119" t="str">
        <f>F40</f>
        <v>YTD  2023</v>
      </c>
      <c r="L40" s="120" t="str">
        <f>E40</f>
        <v xml:space="preserve"> 2022-12</v>
      </c>
      <c r="M40" s="120" t="str">
        <f>G40</f>
        <v>YTD  2022</v>
      </c>
      <c r="N40" s="55"/>
    </row>
    <row r="41" spans="1:14" ht="15" hidden="1" customHeight="1">
      <c r="A41" s="55" t="s">
        <v>24</v>
      </c>
      <c r="B41" s="55" t="s">
        <v>225</v>
      </c>
      <c r="C41" s="55" t="s">
        <v>226</v>
      </c>
      <c r="D41" s="55" t="s">
        <v>26</v>
      </c>
      <c r="E41" s="55" t="s">
        <v>27</v>
      </c>
      <c r="F41" s="55" t="s">
        <v>28</v>
      </c>
      <c r="G41" s="55" t="s">
        <v>29</v>
      </c>
      <c r="H41" s="55" t="s">
        <v>30</v>
      </c>
      <c r="I41" s="55" t="s">
        <v>31</v>
      </c>
      <c r="J41" s="55" t="s">
        <v>32</v>
      </c>
      <c r="K41" s="55" t="s">
        <v>33</v>
      </c>
      <c r="L41" s="55" t="s">
        <v>34</v>
      </c>
      <c r="M41" s="55" t="s">
        <v>35</v>
      </c>
      <c r="N41" s="55"/>
    </row>
    <row r="42" spans="1:14">
      <c r="A42" s="55">
        <v>1</v>
      </c>
      <c r="B42" s="55" t="s">
        <v>599</v>
      </c>
      <c r="C42" s="55" t="s">
        <v>20</v>
      </c>
      <c r="D42" s="22">
        <v>1098</v>
      </c>
      <c r="E42" s="22">
        <v>1090</v>
      </c>
      <c r="F42" s="22">
        <v>16412</v>
      </c>
      <c r="G42" s="22">
        <v>6550</v>
      </c>
      <c r="H42" s="55">
        <v>0.73</v>
      </c>
      <c r="I42" s="55">
        <v>150.56</v>
      </c>
      <c r="J42" s="55">
        <v>5.94</v>
      </c>
      <c r="K42" s="55">
        <v>9.48</v>
      </c>
      <c r="L42" s="55">
        <v>4.12</v>
      </c>
      <c r="M42" s="55">
        <v>4.05</v>
      </c>
      <c r="N42" s="55"/>
    </row>
    <row r="43" spans="1:14">
      <c r="A43" s="55">
        <v>2</v>
      </c>
      <c r="B43" s="55" t="s">
        <v>478</v>
      </c>
      <c r="C43" s="55" t="s">
        <v>20</v>
      </c>
      <c r="D43" s="22">
        <v>1371</v>
      </c>
      <c r="E43" s="22">
        <v>1729</v>
      </c>
      <c r="F43" s="22">
        <v>11007</v>
      </c>
      <c r="G43" s="22">
        <v>8882</v>
      </c>
      <c r="H43" s="55">
        <v>-20.71</v>
      </c>
      <c r="I43" s="55">
        <v>23.92</v>
      </c>
      <c r="J43" s="55">
        <v>7.42</v>
      </c>
      <c r="K43" s="55">
        <v>6.36</v>
      </c>
      <c r="L43" s="55">
        <v>6.53</v>
      </c>
      <c r="M43" s="55">
        <v>5.49</v>
      </c>
      <c r="N43" s="55"/>
    </row>
    <row r="44" spans="1:14">
      <c r="A44" s="55">
        <v>3</v>
      </c>
      <c r="B44" s="55" t="s">
        <v>392</v>
      </c>
      <c r="C44" s="55" t="s">
        <v>19</v>
      </c>
      <c r="D44" s="22">
        <v>1663</v>
      </c>
      <c r="E44" s="22">
        <v>1892</v>
      </c>
      <c r="F44" s="22">
        <v>9791</v>
      </c>
      <c r="G44" s="22">
        <v>8138</v>
      </c>
      <c r="H44" s="55">
        <v>-12.1</v>
      </c>
      <c r="I44" s="55">
        <v>20.309999999999999</v>
      </c>
      <c r="J44" s="55">
        <v>9</v>
      </c>
      <c r="K44" s="55">
        <v>5.65</v>
      </c>
      <c r="L44" s="55">
        <v>7.15</v>
      </c>
      <c r="M44" s="55">
        <v>5.03</v>
      </c>
      <c r="N44" s="55"/>
    </row>
    <row r="45" spans="1:14">
      <c r="A45" s="55">
        <v>4</v>
      </c>
      <c r="B45" s="55" t="s">
        <v>422</v>
      </c>
      <c r="C45" s="55" t="s">
        <v>20</v>
      </c>
      <c r="D45" s="22">
        <v>798</v>
      </c>
      <c r="E45" s="22">
        <v>2616</v>
      </c>
      <c r="F45" s="22">
        <v>9142</v>
      </c>
      <c r="G45" s="22">
        <v>8242</v>
      </c>
      <c r="H45" s="55">
        <v>-69.5</v>
      </c>
      <c r="I45" s="55">
        <v>10.92</v>
      </c>
      <c r="J45" s="55">
        <v>4.32</v>
      </c>
      <c r="K45" s="55">
        <v>5.28</v>
      </c>
      <c r="L45" s="55">
        <v>9.89</v>
      </c>
      <c r="M45" s="55">
        <v>5.0999999999999996</v>
      </c>
      <c r="N45" s="55"/>
    </row>
    <row r="46" spans="1:14">
      <c r="A46" s="55">
        <v>5</v>
      </c>
      <c r="B46" s="55" t="s">
        <v>566</v>
      </c>
      <c r="C46" s="55" t="s">
        <v>20</v>
      </c>
      <c r="D46" s="22">
        <v>786</v>
      </c>
      <c r="E46" s="22">
        <v>552</v>
      </c>
      <c r="F46" s="22">
        <v>5597</v>
      </c>
      <c r="G46" s="22">
        <v>4234</v>
      </c>
      <c r="H46" s="55">
        <v>42.39</v>
      </c>
      <c r="I46" s="55">
        <v>32.19</v>
      </c>
      <c r="J46" s="55">
        <v>4.25</v>
      </c>
      <c r="K46" s="55">
        <v>3.23</v>
      </c>
      <c r="L46" s="55">
        <v>2.09</v>
      </c>
      <c r="M46" s="55">
        <v>2.62</v>
      </c>
      <c r="N46" s="55"/>
    </row>
    <row r="47" spans="1:14">
      <c r="A47" s="55">
        <v>6</v>
      </c>
      <c r="B47" s="55" t="s">
        <v>686</v>
      </c>
      <c r="C47" s="55" t="s">
        <v>19</v>
      </c>
      <c r="D47" s="22">
        <v>491</v>
      </c>
      <c r="E47" s="22">
        <v>492</v>
      </c>
      <c r="F47" s="22">
        <v>4537</v>
      </c>
      <c r="G47" s="22">
        <v>3782</v>
      </c>
      <c r="H47" s="55">
        <v>-0.2</v>
      </c>
      <c r="I47" s="55">
        <v>19.96</v>
      </c>
      <c r="J47" s="55">
        <v>2.66</v>
      </c>
      <c r="K47" s="55">
        <v>2.62</v>
      </c>
      <c r="L47" s="55">
        <v>1.86</v>
      </c>
      <c r="M47" s="55">
        <v>2.34</v>
      </c>
      <c r="N47" s="55"/>
    </row>
    <row r="48" spans="1:14">
      <c r="A48" s="55">
        <v>7</v>
      </c>
      <c r="B48" s="55" t="s">
        <v>591</v>
      </c>
      <c r="C48" s="55" t="s">
        <v>20</v>
      </c>
      <c r="D48" s="22">
        <v>655</v>
      </c>
      <c r="E48" s="22">
        <v>291</v>
      </c>
      <c r="F48" s="22">
        <v>4411</v>
      </c>
      <c r="G48" s="22">
        <v>2170</v>
      </c>
      <c r="H48" s="55">
        <v>125.09</v>
      </c>
      <c r="I48" s="55">
        <v>103.27</v>
      </c>
      <c r="J48" s="55">
        <v>3.55</v>
      </c>
      <c r="K48" s="55">
        <v>2.5499999999999998</v>
      </c>
      <c r="L48" s="55">
        <v>1.1000000000000001</v>
      </c>
      <c r="M48" s="55">
        <v>1.34</v>
      </c>
      <c r="N48" s="55"/>
    </row>
    <row r="49" spans="1:14">
      <c r="A49" s="55">
        <v>8</v>
      </c>
      <c r="B49" s="55" t="s">
        <v>627</v>
      </c>
      <c r="C49" s="55" t="s">
        <v>20</v>
      </c>
      <c r="D49" s="22">
        <v>256</v>
      </c>
      <c r="E49" s="22">
        <v>631</v>
      </c>
      <c r="F49" s="22">
        <v>4345</v>
      </c>
      <c r="G49" s="22">
        <v>3970</v>
      </c>
      <c r="H49" s="55">
        <v>-59.43</v>
      </c>
      <c r="I49" s="55">
        <v>9.4499999999999993</v>
      </c>
      <c r="J49" s="55">
        <v>1.39</v>
      </c>
      <c r="K49" s="55">
        <v>2.5099999999999998</v>
      </c>
      <c r="L49" s="55">
        <v>2.38</v>
      </c>
      <c r="M49" s="55">
        <v>2.46</v>
      </c>
      <c r="N49" s="55"/>
    </row>
    <row r="50" spans="1:14">
      <c r="A50" s="55">
        <v>9</v>
      </c>
      <c r="B50" s="55" t="s">
        <v>229</v>
      </c>
      <c r="C50" s="55" t="s">
        <v>20</v>
      </c>
      <c r="D50" s="22">
        <v>249</v>
      </c>
      <c r="E50" s="22">
        <v>583</v>
      </c>
      <c r="F50" s="22">
        <v>3980</v>
      </c>
      <c r="G50" s="22">
        <v>6542</v>
      </c>
      <c r="H50" s="55">
        <v>-57.29</v>
      </c>
      <c r="I50" s="55">
        <v>-39.159999999999997</v>
      </c>
      <c r="J50" s="55">
        <v>1.35</v>
      </c>
      <c r="K50" s="55">
        <v>2.2999999999999998</v>
      </c>
      <c r="L50" s="55">
        <v>2.2000000000000002</v>
      </c>
      <c r="M50" s="55">
        <v>4.05</v>
      </c>
      <c r="N50" s="55"/>
    </row>
    <row r="51" spans="1:14">
      <c r="A51" s="55">
        <v>10</v>
      </c>
      <c r="B51" s="55" t="s">
        <v>372</v>
      </c>
      <c r="C51" s="55" t="s">
        <v>19</v>
      </c>
      <c r="D51" s="22">
        <v>399</v>
      </c>
      <c r="E51" s="22">
        <v>203</v>
      </c>
      <c r="F51" s="22">
        <v>3889</v>
      </c>
      <c r="G51" s="22">
        <v>5214</v>
      </c>
      <c r="H51" s="55">
        <v>96.55</v>
      </c>
      <c r="I51" s="55">
        <v>-25.41</v>
      </c>
      <c r="J51" s="55">
        <v>2.16</v>
      </c>
      <c r="K51" s="55">
        <v>2.25</v>
      </c>
      <c r="L51" s="55">
        <v>0.77</v>
      </c>
      <c r="M51" s="55">
        <v>3.23</v>
      </c>
      <c r="N51" s="55"/>
    </row>
    <row r="52" spans="1:14">
      <c r="A52" s="55">
        <v>11</v>
      </c>
      <c r="B52" s="55" t="s">
        <v>403</v>
      </c>
      <c r="C52" s="55" t="s">
        <v>20</v>
      </c>
      <c r="D52" s="22">
        <v>358</v>
      </c>
      <c r="E52" s="22">
        <v>604</v>
      </c>
      <c r="F52" s="22">
        <v>3638</v>
      </c>
      <c r="G52" s="22">
        <v>4465</v>
      </c>
      <c r="H52" s="55">
        <v>-40.729999999999997</v>
      </c>
      <c r="I52" s="55">
        <v>-18.52</v>
      </c>
      <c r="J52" s="55">
        <v>1.94</v>
      </c>
      <c r="K52" s="55">
        <v>2.1</v>
      </c>
      <c r="L52" s="55">
        <v>2.2799999999999998</v>
      </c>
      <c r="M52" s="55">
        <v>2.76</v>
      </c>
      <c r="N52" s="55"/>
    </row>
    <row r="53" spans="1:14">
      <c r="A53" s="55">
        <v>12</v>
      </c>
      <c r="B53" s="55" t="s">
        <v>635</v>
      </c>
      <c r="C53" s="55" t="s">
        <v>20</v>
      </c>
      <c r="D53" s="22">
        <v>436</v>
      </c>
      <c r="E53" s="22">
        <v>1349</v>
      </c>
      <c r="F53" s="22">
        <v>3324</v>
      </c>
      <c r="G53" s="22">
        <v>3339</v>
      </c>
      <c r="H53" s="55">
        <v>-67.680000000000007</v>
      </c>
      <c r="I53" s="55">
        <v>-0.45</v>
      </c>
      <c r="J53" s="55">
        <v>2.36</v>
      </c>
      <c r="K53" s="55">
        <v>1.92</v>
      </c>
      <c r="L53" s="55">
        <v>5.0999999999999996</v>
      </c>
      <c r="M53" s="55">
        <v>2.0699999999999998</v>
      </c>
      <c r="N53" s="55"/>
    </row>
    <row r="54" spans="1:14">
      <c r="A54" s="55">
        <v>13</v>
      </c>
      <c r="B54" s="55" t="s">
        <v>1018</v>
      </c>
      <c r="C54" s="55" t="s">
        <v>20</v>
      </c>
      <c r="D54" s="22">
        <v>211</v>
      </c>
      <c r="E54" s="22">
        <v>980</v>
      </c>
      <c r="F54" s="22">
        <v>3213</v>
      </c>
      <c r="G54" s="22">
        <v>1063</v>
      </c>
      <c r="H54" s="55">
        <v>-78.47</v>
      </c>
      <c r="I54" s="55">
        <v>202.26</v>
      </c>
      <c r="J54" s="55">
        <v>1.1399999999999999</v>
      </c>
      <c r="K54" s="55">
        <v>1.86</v>
      </c>
      <c r="L54" s="55">
        <v>3.7</v>
      </c>
      <c r="M54" s="55">
        <v>0.66</v>
      </c>
      <c r="N54" s="55"/>
    </row>
    <row r="55" spans="1:14">
      <c r="A55" s="55">
        <v>14</v>
      </c>
      <c r="B55" s="55" t="s">
        <v>55</v>
      </c>
      <c r="C55" s="55" t="s">
        <v>20</v>
      </c>
      <c r="D55" s="22">
        <v>630</v>
      </c>
      <c r="E55" s="22">
        <v>157</v>
      </c>
      <c r="F55" s="22">
        <v>3011</v>
      </c>
      <c r="G55" s="22">
        <v>2238</v>
      </c>
      <c r="H55" s="55">
        <v>301.27</v>
      </c>
      <c r="I55" s="55">
        <v>34.54</v>
      </c>
      <c r="J55" s="55">
        <v>3.41</v>
      </c>
      <c r="K55" s="55">
        <v>1.74</v>
      </c>
      <c r="L55" s="55">
        <v>0.59</v>
      </c>
      <c r="M55" s="55">
        <v>1.38</v>
      </c>
      <c r="N55" s="55"/>
    </row>
    <row r="56" spans="1:14">
      <c r="A56" s="55">
        <v>15</v>
      </c>
      <c r="B56" s="55" t="s">
        <v>416</v>
      </c>
      <c r="C56" s="55" t="s">
        <v>20</v>
      </c>
      <c r="D56" s="22">
        <v>330</v>
      </c>
      <c r="E56" s="22">
        <v>399</v>
      </c>
      <c r="F56" s="22">
        <v>2692</v>
      </c>
      <c r="G56" s="22">
        <v>1987</v>
      </c>
      <c r="H56" s="55">
        <v>-17.29</v>
      </c>
      <c r="I56" s="55">
        <v>35.479999999999997</v>
      </c>
      <c r="J56" s="55">
        <v>1.79</v>
      </c>
      <c r="K56" s="55">
        <v>1.55</v>
      </c>
      <c r="L56" s="55">
        <v>1.51</v>
      </c>
      <c r="M56" s="55">
        <v>1.23</v>
      </c>
      <c r="N56" s="55"/>
    </row>
    <row r="57" spans="1:14">
      <c r="A57" s="55">
        <v>16</v>
      </c>
      <c r="B57" s="55" t="s">
        <v>393</v>
      </c>
      <c r="C57" s="55" t="s">
        <v>19</v>
      </c>
      <c r="D57" s="22">
        <v>273</v>
      </c>
      <c r="E57" s="22">
        <v>180</v>
      </c>
      <c r="F57" s="22">
        <v>2659</v>
      </c>
      <c r="G57" s="22">
        <v>1979</v>
      </c>
      <c r="H57" s="55">
        <v>51.67</v>
      </c>
      <c r="I57" s="55">
        <v>34.36</v>
      </c>
      <c r="J57" s="55">
        <v>1.48</v>
      </c>
      <c r="K57" s="55">
        <v>1.54</v>
      </c>
      <c r="L57" s="55">
        <v>0.68</v>
      </c>
      <c r="M57" s="55">
        <v>1.22</v>
      </c>
      <c r="N57" s="55"/>
    </row>
    <row r="58" spans="1:14">
      <c r="A58" s="55">
        <v>17</v>
      </c>
      <c r="B58" s="55" t="s">
        <v>1002</v>
      </c>
      <c r="C58" s="55" t="s">
        <v>20</v>
      </c>
      <c r="D58" s="22">
        <v>106</v>
      </c>
      <c r="E58" s="22">
        <v>198</v>
      </c>
      <c r="F58" s="22">
        <v>2536</v>
      </c>
      <c r="G58" s="22">
        <v>313</v>
      </c>
      <c r="H58" s="55">
        <v>-46.46</v>
      </c>
      <c r="I58" s="55">
        <v>710.22</v>
      </c>
      <c r="J58" s="55">
        <v>0.56999999999999995</v>
      </c>
      <c r="K58" s="55">
        <v>1.46</v>
      </c>
      <c r="L58" s="55">
        <v>0.75</v>
      </c>
      <c r="M58" s="55">
        <v>0.19</v>
      </c>
      <c r="N58" s="55"/>
    </row>
    <row r="59" spans="1:14">
      <c r="A59" s="55">
        <v>18</v>
      </c>
      <c r="B59" s="55" t="s">
        <v>408</v>
      </c>
      <c r="C59" s="55" t="s">
        <v>19</v>
      </c>
      <c r="D59" s="22">
        <v>340</v>
      </c>
      <c r="E59" s="22">
        <v>1346</v>
      </c>
      <c r="F59" s="22">
        <v>2403</v>
      </c>
      <c r="G59" s="22">
        <v>4633</v>
      </c>
      <c r="H59" s="55">
        <v>-74.739999999999995</v>
      </c>
      <c r="I59" s="55">
        <v>-48.13</v>
      </c>
      <c r="J59" s="55">
        <v>1.84</v>
      </c>
      <c r="K59" s="55">
        <v>1.39</v>
      </c>
      <c r="L59" s="55">
        <v>5.09</v>
      </c>
      <c r="M59" s="55">
        <v>2.87</v>
      </c>
      <c r="N59" s="55"/>
    </row>
    <row r="60" spans="1:14">
      <c r="A60" s="55">
        <v>19</v>
      </c>
      <c r="B60" s="55" t="s">
        <v>94</v>
      </c>
      <c r="C60" s="55" t="s">
        <v>20</v>
      </c>
      <c r="D60" s="22">
        <v>320</v>
      </c>
      <c r="E60" s="22">
        <v>535</v>
      </c>
      <c r="F60" s="22">
        <v>2269</v>
      </c>
      <c r="G60" s="22">
        <v>3851</v>
      </c>
      <c r="H60" s="55">
        <v>-40.19</v>
      </c>
      <c r="I60" s="55">
        <v>-41.08</v>
      </c>
      <c r="J60" s="55">
        <v>1.73</v>
      </c>
      <c r="K60" s="55">
        <v>1.31</v>
      </c>
      <c r="L60" s="55">
        <v>2.02</v>
      </c>
      <c r="M60" s="55">
        <v>2.38</v>
      </c>
      <c r="N60" s="55"/>
    </row>
    <row r="61" spans="1:14">
      <c r="A61" s="55">
        <v>20</v>
      </c>
      <c r="B61" s="55" t="s">
        <v>687</v>
      </c>
      <c r="C61" s="55" t="s">
        <v>20</v>
      </c>
      <c r="D61" s="22">
        <v>166</v>
      </c>
      <c r="E61" s="22">
        <v>76</v>
      </c>
      <c r="F61" s="22">
        <v>2203</v>
      </c>
      <c r="G61" s="22">
        <v>679</v>
      </c>
      <c r="H61" s="55">
        <v>118.42</v>
      </c>
      <c r="I61" s="55">
        <v>224.45</v>
      </c>
      <c r="J61" s="55">
        <v>0.9</v>
      </c>
      <c r="K61" s="55">
        <v>1.27</v>
      </c>
      <c r="L61" s="55">
        <v>0.28999999999999998</v>
      </c>
      <c r="M61" s="55">
        <v>0.42</v>
      </c>
      <c r="N61" s="55"/>
    </row>
    <row r="62" spans="1:14">
      <c r="A62" s="55">
        <v>21</v>
      </c>
      <c r="B62" s="55" t="s">
        <v>423</v>
      </c>
      <c r="C62" s="55" t="s">
        <v>19</v>
      </c>
      <c r="D62" s="22">
        <v>225</v>
      </c>
      <c r="E62" s="22">
        <v>22</v>
      </c>
      <c r="F62" s="22">
        <v>2182</v>
      </c>
      <c r="G62" s="22">
        <v>1415</v>
      </c>
      <c r="H62" s="55">
        <v>922.73</v>
      </c>
      <c r="I62" s="55">
        <v>54.2</v>
      </c>
      <c r="J62" s="55">
        <v>1.22</v>
      </c>
      <c r="K62" s="55">
        <v>1.26</v>
      </c>
      <c r="L62" s="55">
        <v>0.08</v>
      </c>
      <c r="M62" s="55">
        <v>0.88</v>
      </c>
      <c r="N62" s="55"/>
    </row>
    <row r="63" spans="1:14">
      <c r="A63" s="55">
        <v>22</v>
      </c>
      <c r="B63" s="55" t="s">
        <v>231</v>
      </c>
      <c r="C63" s="55" t="s">
        <v>19</v>
      </c>
      <c r="D63" s="22">
        <v>334</v>
      </c>
      <c r="E63" s="22">
        <v>284</v>
      </c>
      <c r="F63" s="22">
        <v>2116</v>
      </c>
      <c r="G63" s="22">
        <v>1435</v>
      </c>
      <c r="H63" s="55">
        <v>17.61</v>
      </c>
      <c r="I63" s="55">
        <v>47.46</v>
      </c>
      <c r="J63" s="55">
        <v>1.81</v>
      </c>
      <c r="K63" s="55">
        <v>1.22</v>
      </c>
      <c r="L63" s="55">
        <v>1.07</v>
      </c>
      <c r="M63" s="55">
        <v>0.89</v>
      </c>
      <c r="N63" s="55"/>
    </row>
    <row r="64" spans="1:14">
      <c r="A64" s="55">
        <v>23</v>
      </c>
      <c r="B64" s="55" t="s">
        <v>136</v>
      </c>
      <c r="C64" s="55" t="s">
        <v>20</v>
      </c>
      <c r="D64" s="22">
        <v>268</v>
      </c>
      <c r="E64" s="22">
        <v>60</v>
      </c>
      <c r="F64" s="22">
        <v>2047</v>
      </c>
      <c r="G64" s="22">
        <v>1442</v>
      </c>
      <c r="H64" s="55">
        <v>346.67</v>
      </c>
      <c r="I64" s="55">
        <v>41.96</v>
      </c>
      <c r="J64" s="55">
        <v>1.45</v>
      </c>
      <c r="K64" s="55">
        <v>1.18</v>
      </c>
      <c r="L64" s="55">
        <v>0.23</v>
      </c>
      <c r="M64" s="55">
        <v>0.89</v>
      </c>
      <c r="N64" s="55"/>
    </row>
    <row r="65" spans="1:14">
      <c r="A65" s="55">
        <v>24</v>
      </c>
      <c r="B65" s="55" t="s">
        <v>376</v>
      </c>
      <c r="C65" s="55" t="s">
        <v>19</v>
      </c>
      <c r="D65" s="22">
        <v>411</v>
      </c>
      <c r="E65" s="22">
        <v>600</v>
      </c>
      <c r="F65" s="22">
        <v>1933</v>
      </c>
      <c r="G65" s="22">
        <v>3845</v>
      </c>
      <c r="H65" s="55">
        <v>-31.5</v>
      </c>
      <c r="I65" s="55">
        <v>-49.73</v>
      </c>
      <c r="J65" s="55">
        <v>2.2200000000000002</v>
      </c>
      <c r="K65" s="55">
        <v>1.1200000000000001</v>
      </c>
      <c r="L65" s="55">
        <v>2.27</v>
      </c>
      <c r="M65" s="55">
        <v>2.38</v>
      </c>
      <c r="N65" s="55"/>
    </row>
    <row r="66" spans="1:14">
      <c r="A66" s="55">
        <v>25</v>
      </c>
      <c r="B66" s="55" t="s">
        <v>691</v>
      </c>
      <c r="C66" s="55" t="s">
        <v>20</v>
      </c>
      <c r="D66" s="22">
        <v>50</v>
      </c>
      <c r="E66" s="22">
        <v>403</v>
      </c>
      <c r="F66" s="22">
        <v>1783</v>
      </c>
      <c r="G66" s="22">
        <v>1523</v>
      </c>
      <c r="H66" s="55">
        <v>-87.59</v>
      </c>
      <c r="I66" s="55">
        <v>17.07</v>
      </c>
      <c r="J66" s="55">
        <v>0.27</v>
      </c>
      <c r="K66" s="55">
        <v>1.03</v>
      </c>
      <c r="L66" s="55">
        <v>1.52</v>
      </c>
      <c r="M66" s="55">
        <v>0.94</v>
      </c>
      <c r="N66" s="55"/>
    </row>
    <row r="67" spans="1:14">
      <c r="A67" s="55">
        <v>26</v>
      </c>
      <c r="B67" s="55" t="s">
        <v>693</v>
      </c>
      <c r="C67" s="55" t="s">
        <v>20</v>
      </c>
      <c r="D67" s="22">
        <v>211</v>
      </c>
      <c r="E67" s="22">
        <v>447</v>
      </c>
      <c r="F67" s="22">
        <v>1733</v>
      </c>
      <c r="G67" s="22">
        <v>1667</v>
      </c>
      <c r="H67" s="55">
        <v>-52.8</v>
      </c>
      <c r="I67" s="55">
        <v>3.96</v>
      </c>
      <c r="J67" s="55">
        <v>1.1399999999999999</v>
      </c>
      <c r="K67" s="55">
        <v>1</v>
      </c>
      <c r="L67" s="55">
        <v>1.69</v>
      </c>
      <c r="M67" s="55">
        <v>1.03</v>
      </c>
      <c r="N67" s="55"/>
    </row>
    <row r="68" spans="1:14">
      <c r="A68" s="55">
        <v>27</v>
      </c>
      <c r="B68" s="55" t="s">
        <v>644</v>
      </c>
      <c r="C68" s="55" t="s">
        <v>20</v>
      </c>
      <c r="D68" s="22">
        <v>203</v>
      </c>
      <c r="E68" s="22">
        <v>96</v>
      </c>
      <c r="F68" s="22">
        <v>1716</v>
      </c>
      <c r="G68" s="22">
        <v>645</v>
      </c>
      <c r="H68" s="55">
        <v>111.46</v>
      </c>
      <c r="I68" s="55">
        <v>166.05</v>
      </c>
      <c r="J68" s="55">
        <v>1.1000000000000001</v>
      </c>
      <c r="K68" s="55">
        <v>0.99</v>
      </c>
      <c r="L68" s="55">
        <v>0.36</v>
      </c>
      <c r="M68" s="55">
        <v>0.4</v>
      </c>
      <c r="N68" s="55"/>
    </row>
    <row r="69" spans="1:14">
      <c r="A69" s="55">
        <v>28</v>
      </c>
      <c r="B69" s="55" t="s">
        <v>227</v>
      </c>
      <c r="C69" s="55" t="s">
        <v>19</v>
      </c>
      <c r="D69" s="22">
        <v>111</v>
      </c>
      <c r="E69" s="22">
        <v>140</v>
      </c>
      <c r="F69" s="22">
        <v>1638</v>
      </c>
      <c r="G69" s="22">
        <v>1739</v>
      </c>
      <c r="H69" s="55">
        <v>-20.71</v>
      </c>
      <c r="I69" s="55">
        <v>-5.81</v>
      </c>
      <c r="J69" s="55">
        <v>0.6</v>
      </c>
      <c r="K69" s="55">
        <v>0.95</v>
      </c>
      <c r="L69" s="55">
        <v>0.53</v>
      </c>
      <c r="M69" s="55">
        <v>1.08</v>
      </c>
      <c r="N69" s="55"/>
    </row>
    <row r="70" spans="1:14">
      <c r="A70" s="55">
        <v>29</v>
      </c>
      <c r="B70" s="55" t="s">
        <v>1021</v>
      </c>
      <c r="C70" s="55" t="s">
        <v>20</v>
      </c>
      <c r="D70" s="22">
        <v>211</v>
      </c>
      <c r="E70" s="22">
        <v>127</v>
      </c>
      <c r="F70" s="22">
        <v>1587</v>
      </c>
      <c r="G70" s="22">
        <v>138</v>
      </c>
      <c r="H70" s="55">
        <v>66.14</v>
      </c>
      <c r="I70" s="55">
        <v>1050</v>
      </c>
      <c r="J70" s="55">
        <v>1.1399999999999999</v>
      </c>
      <c r="K70" s="55">
        <v>0.92</v>
      </c>
      <c r="L70" s="55">
        <v>0.48</v>
      </c>
      <c r="M70" s="55">
        <v>0.09</v>
      </c>
      <c r="N70" s="55"/>
    </row>
    <row r="71" spans="1:14">
      <c r="A71" s="55">
        <v>30</v>
      </c>
      <c r="B71" s="55" t="s">
        <v>642</v>
      </c>
      <c r="C71" s="55" t="s">
        <v>19</v>
      </c>
      <c r="D71" s="22">
        <v>135</v>
      </c>
      <c r="E71" s="22">
        <v>108</v>
      </c>
      <c r="F71" s="22">
        <v>1584</v>
      </c>
      <c r="G71" s="22">
        <v>1105</v>
      </c>
      <c r="H71" s="55">
        <v>25</v>
      </c>
      <c r="I71" s="55">
        <v>43.35</v>
      </c>
      <c r="J71" s="55">
        <v>0.73</v>
      </c>
      <c r="K71" s="55">
        <v>0.91</v>
      </c>
      <c r="L71" s="55">
        <v>0.41</v>
      </c>
      <c r="M71" s="55">
        <v>0.68</v>
      </c>
      <c r="N71" s="55"/>
    </row>
    <row r="72" spans="1:14">
      <c r="A72" s="55">
        <v>31</v>
      </c>
      <c r="B72" s="55" t="s">
        <v>571</v>
      </c>
      <c r="C72" s="55" t="s">
        <v>19</v>
      </c>
      <c r="D72" s="22">
        <v>39</v>
      </c>
      <c r="E72" s="22">
        <v>171</v>
      </c>
      <c r="F72" s="22">
        <v>1462</v>
      </c>
      <c r="G72" s="22">
        <v>1983</v>
      </c>
      <c r="H72" s="55">
        <v>-77.19</v>
      </c>
      <c r="I72" s="55">
        <v>-26.27</v>
      </c>
      <c r="J72" s="55">
        <v>0.21</v>
      </c>
      <c r="K72" s="55">
        <v>0.84</v>
      </c>
      <c r="L72" s="55">
        <v>0.65</v>
      </c>
      <c r="M72" s="55">
        <v>1.23</v>
      </c>
      <c r="N72" s="55"/>
    </row>
    <row r="73" spans="1:14">
      <c r="A73" s="55">
        <v>32</v>
      </c>
      <c r="B73" s="55" t="s">
        <v>979</v>
      </c>
      <c r="C73" s="55" t="s">
        <v>19</v>
      </c>
      <c r="D73" s="22">
        <v>136</v>
      </c>
      <c r="E73" s="22">
        <v>316</v>
      </c>
      <c r="F73" s="22">
        <v>1416</v>
      </c>
      <c r="G73" s="22">
        <v>1022</v>
      </c>
      <c r="H73" s="55">
        <v>-56.96</v>
      </c>
      <c r="I73" s="55">
        <v>38.549999999999997</v>
      </c>
      <c r="J73" s="55">
        <v>0.74</v>
      </c>
      <c r="K73" s="55">
        <v>0.82</v>
      </c>
      <c r="L73" s="55">
        <v>1.19</v>
      </c>
      <c r="M73" s="55">
        <v>0.63</v>
      </c>
      <c r="N73" s="55"/>
    </row>
    <row r="74" spans="1:14">
      <c r="A74" s="55">
        <v>33</v>
      </c>
      <c r="B74" s="55" t="s">
        <v>637</v>
      </c>
      <c r="C74" s="55" t="s">
        <v>20</v>
      </c>
      <c r="D74" s="22">
        <v>128</v>
      </c>
      <c r="E74" s="22">
        <v>0</v>
      </c>
      <c r="F74" s="22">
        <v>1414</v>
      </c>
      <c r="G74" s="22">
        <v>0</v>
      </c>
      <c r="H74" s="55">
        <v>0</v>
      </c>
      <c r="I74" s="55">
        <v>0</v>
      </c>
      <c r="J74" s="55">
        <v>0.69</v>
      </c>
      <c r="K74" s="55">
        <v>0.82</v>
      </c>
      <c r="L74" s="55">
        <v>0</v>
      </c>
      <c r="M74" s="55">
        <v>0</v>
      </c>
      <c r="N74" s="55"/>
    </row>
    <row r="75" spans="1:14">
      <c r="A75" s="55">
        <v>34</v>
      </c>
      <c r="B75" s="55" t="s">
        <v>488</v>
      </c>
      <c r="C75" s="55" t="s">
        <v>19</v>
      </c>
      <c r="D75" s="22">
        <v>168</v>
      </c>
      <c r="E75" s="22">
        <v>11</v>
      </c>
      <c r="F75" s="22">
        <v>1374</v>
      </c>
      <c r="G75" s="22">
        <v>1079</v>
      </c>
      <c r="H75" s="55">
        <v>1427.27</v>
      </c>
      <c r="I75" s="55">
        <v>27.34</v>
      </c>
      <c r="J75" s="55">
        <v>0.91</v>
      </c>
      <c r="K75" s="55">
        <v>0.79</v>
      </c>
      <c r="L75" s="55">
        <v>0.04</v>
      </c>
      <c r="M75" s="55">
        <v>0.67</v>
      </c>
      <c r="N75" s="55"/>
    </row>
    <row r="76" spans="1:14">
      <c r="A76" s="55">
        <v>35</v>
      </c>
      <c r="B76" s="55" t="s">
        <v>1023</v>
      </c>
      <c r="C76" s="55" t="s">
        <v>19</v>
      </c>
      <c r="D76" s="22">
        <v>141</v>
      </c>
      <c r="E76" s="22">
        <v>12</v>
      </c>
      <c r="F76" s="22">
        <v>1287</v>
      </c>
      <c r="G76" s="22">
        <v>15</v>
      </c>
      <c r="H76" s="55">
        <v>1075</v>
      </c>
      <c r="I76" s="55">
        <v>8480</v>
      </c>
      <c r="J76" s="55">
        <v>0.76</v>
      </c>
      <c r="K76" s="55">
        <v>0.74</v>
      </c>
      <c r="L76" s="55">
        <v>0.05</v>
      </c>
      <c r="M76" s="55">
        <v>0.01</v>
      </c>
      <c r="N76" s="55"/>
    </row>
    <row r="77" spans="1:14">
      <c r="A77" s="55">
        <v>36</v>
      </c>
      <c r="B77" s="55" t="s">
        <v>399</v>
      </c>
      <c r="C77" s="55" t="s">
        <v>19</v>
      </c>
      <c r="D77" s="22">
        <v>93</v>
      </c>
      <c r="E77" s="22">
        <v>199</v>
      </c>
      <c r="F77" s="22">
        <v>1275</v>
      </c>
      <c r="G77" s="22">
        <v>1922</v>
      </c>
      <c r="H77" s="55">
        <v>-53.27</v>
      </c>
      <c r="I77" s="55">
        <v>-33.659999999999997</v>
      </c>
      <c r="J77" s="55">
        <v>0.5</v>
      </c>
      <c r="K77" s="55">
        <v>0.74</v>
      </c>
      <c r="L77" s="55">
        <v>0.75</v>
      </c>
      <c r="M77" s="55">
        <v>1.19</v>
      </c>
      <c r="N77" s="55"/>
    </row>
    <row r="78" spans="1:14">
      <c r="A78" s="55">
        <v>37</v>
      </c>
      <c r="B78" s="55" t="s">
        <v>636</v>
      </c>
      <c r="C78" s="55" t="s">
        <v>20</v>
      </c>
      <c r="D78" s="22">
        <v>7</v>
      </c>
      <c r="E78" s="22">
        <v>641</v>
      </c>
      <c r="F78" s="22">
        <v>1206</v>
      </c>
      <c r="G78" s="22">
        <v>2356</v>
      </c>
      <c r="H78" s="55">
        <v>-98.91</v>
      </c>
      <c r="I78" s="55">
        <v>-48.81</v>
      </c>
      <c r="J78" s="55">
        <v>0.04</v>
      </c>
      <c r="K78" s="55">
        <v>0.7</v>
      </c>
      <c r="L78" s="55">
        <v>2.42</v>
      </c>
      <c r="M78" s="55">
        <v>1.46</v>
      </c>
      <c r="N78" s="55"/>
    </row>
    <row r="79" spans="1:14">
      <c r="A79" s="55">
        <v>38</v>
      </c>
      <c r="B79" s="55" t="s">
        <v>411</v>
      </c>
      <c r="C79" s="55" t="s">
        <v>19</v>
      </c>
      <c r="D79" s="22">
        <v>102</v>
      </c>
      <c r="E79" s="22">
        <v>196</v>
      </c>
      <c r="F79" s="22">
        <v>1192</v>
      </c>
      <c r="G79" s="22">
        <v>1863</v>
      </c>
      <c r="H79" s="55">
        <v>-47.96</v>
      </c>
      <c r="I79" s="55">
        <v>-36.020000000000003</v>
      </c>
      <c r="J79" s="55">
        <v>0.55000000000000004</v>
      </c>
      <c r="K79" s="55">
        <v>0.69</v>
      </c>
      <c r="L79" s="55">
        <v>0.74</v>
      </c>
      <c r="M79" s="55">
        <v>1.1499999999999999</v>
      </c>
      <c r="N79" s="55"/>
    </row>
    <row r="80" spans="1:14">
      <c r="A80" s="55">
        <v>39</v>
      </c>
      <c r="B80" s="55" t="s">
        <v>1123</v>
      </c>
      <c r="C80" s="55" t="s">
        <v>20</v>
      </c>
      <c r="D80" s="22">
        <v>67</v>
      </c>
      <c r="E80" s="22">
        <v>0</v>
      </c>
      <c r="F80" s="22">
        <v>1190</v>
      </c>
      <c r="G80" s="22">
        <v>100</v>
      </c>
      <c r="H80" s="55">
        <v>0</v>
      </c>
      <c r="I80" s="55">
        <v>1090</v>
      </c>
      <c r="J80" s="55">
        <v>0.36</v>
      </c>
      <c r="K80" s="55">
        <v>0.69</v>
      </c>
      <c r="L80" s="55">
        <v>0</v>
      </c>
      <c r="M80" s="55">
        <v>0.06</v>
      </c>
      <c r="N80" s="55"/>
    </row>
    <row r="81" spans="1:14">
      <c r="A81" s="55">
        <v>40</v>
      </c>
      <c r="B81" s="55" t="s">
        <v>696</v>
      </c>
      <c r="C81" s="55" t="s">
        <v>20</v>
      </c>
      <c r="D81" s="22">
        <v>132</v>
      </c>
      <c r="E81" s="22">
        <v>81</v>
      </c>
      <c r="F81" s="22">
        <v>1122</v>
      </c>
      <c r="G81" s="22">
        <v>773</v>
      </c>
      <c r="H81" s="55">
        <v>62.96</v>
      </c>
      <c r="I81" s="55">
        <v>45.15</v>
      </c>
      <c r="J81" s="55">
        <v>0.71</v>
      </c>
      <c r="K81" s="55">
        <v>0.65</v>
      </c>
      <c r="L81" s="55">
        <v>0.31</v>
      </c>
      <c r="M81" s="55">
        <v>0.48</v>
      </c>
      <c r="N81" s="55"/>
    </row>
    <row r="82" spans="1:14">
      <c r="A82" s="55">
        <v>41</v>
      </c>
      <c r="B82" s="55" t="s">
        <v>597</v>
      </c>
      <c r="C82" s="55" t="s">
        <v>20</v>
      </c>
      <c r="D82" s="22">
        <v>159</v>
      </c>
      <c r="E82" s="22">
        <v>155</v>
      </c>
      <c r="F82" s="22">
        <v>1103</v>
      </c>
      <c r="G82" s="22">
        <v>553</v>
      </c>
      <c r="H82" s="55">
        <v>2.58</v>
      </c>
      <c r="I82" s="55">
        <v>99.46</v>
      </c>
      <c r="J82" s="55">
        <v>0.86</v>
      </c>
      <c r="K82" s="55">
        <v>0.64</v>
      </c>
      <c r="L82" s="55">
        <v>0.59</v>
      </c>
      <c r="M82" s="55">
        <v>0.34</v>
      </c>
      <c r="N82" s="55"/>
    </row>
    <row r="83" spans="1:14">
      <c r="A83" s="55">
        <v>42</v>
      </c>
      <c r="B83" s="55" t="s">
        <v>583</v>
      </c>
      <c r="C83" s="55" t="s">
        <v>20</v>
      </c>
      <c r="D83" s="22">
        <v>55</v>
      </c>
      <c r="E83" s="22">
        <v>213</v>
      </c>
      <c r="F83" s="22">
        <v>1094</v>
      </c>
      <c r="G83" s="22">
        <v>2903</v>
      </c>
      <c r="H83" s="55">
        <v>-74.180000000000007</v>
      </c>
      <c r="I83" s="55">
        <v>-62.31</v>
      </c>
      <c r="J83" s="55">
        <v>0.3</v>
      </c>
      <c r="K83" s="55">
        <v>0.63</v>
      </c>
      <c r="L83" s="55">
        <v>0.8</v>
      </c>
      <c r="M83" s="55">
        <v>1.8</v>
      </c>
      <c r="N83" s="55"/>
    </row>
    <row r="84" spans="1:14">
      <c r="A84" s="55">
        <v>43</v>
      </c>
      <c r="B84" s="55" t="s">
        <v>658</v>
      </c>
      <c r="C84" s="55" t="s">
        <v>20</v>
      </c>
      <c r="D84" s="22">
        <v>60</v>
      </c>
      <c r="E84" s="22">
        <v>99</v>
      </c>
      <c r="F84" s="22">
        <v>1036</v>
      </c>
      <c r="G84" s="22">
        <v>952</v>
      </c>
      <c r="H84" s="55">
        <v>-39.39</v>
      </c>
      <c r="I84" s="55">
        <v>8.82</v>
      </c>
      <c r="J84" s="55">
        <v>0.32</v>
      </c>
      <c r="K84" s="55">
        <v>0.6</v>
      </c>
      <c r="L84" s="55">
        <v>0.37</v>
      </c>
      <c r="M84" s="55">
        <v>0.59</v>
      </c>
      <c r="N84" s="55"/>
    </row>
    <row r="85" spans="1:14">
      <c r="A85" s="55">
        <v>44</v>
      </c>
      <c r="B85" s="55" t="s">
        <v>487</v>
      </c>
      <c r="C85" s="55" t="s">
        <v>19</v>
      </c>
      <c r="D85" s="22">
        <v>141</v>
      </c>
      <c r="E85" s="22">
        <v>63</v>
      </c>
      <c r="F85" s="22">
        <v>1035</v>
      </c>
      <c r="G85" s="22">
        <v>372</v>
      </c>
      <c r="H85" s="55">
        <v>123.81</v>
      </c>
      <c r="I85" s="55">
        <v>178.23</v>
      </c>
      <c r="J85" s="55">
        <v>0.76</v>
      </c>
      <c r="K85" s="55">
        <v>0.6</v>
      </c>
      <c r="L85" s="55">
        <v>0.24</v>
      </c>
      <c r="M85" s="55">
        <v>0.23</v>
      </c>
      <c r="N85" s="55"/>
    </row>
    <row r="86" spans="1:14">
      <c r="A86" s="55">
        <v>45</v>
      </c>
      <c r="B86" s="55" t="s">
        <v>557</v>
      </c>
      <c r="C86" s="55" t="s">
        <v>20</v>
      </c>
      <c r="D86" s="22">
        <v>106</v>
      </c>
      <c r="E86" s="22">
        <v>140</v>
      </c>
      <c r="F86" s="22">
        <v>987</v>
      </c>
      <c r="G86" s="22">
        <v>662</v>
      </c>
      <c r="H86" s="55">
        <v>-24.29</v>
      </c>
      <c r="I86" s="55">
        <v>49.09</v>
      </c>
      <c r="J86" s="55">
        <v>0.56999999999999995</v>
      </c>
      <c r="K86" s="55">
        <v>0.56999999999999995</v>
      </c>
      <c r="L86" s="55">
        <v>0.53</v>
      </c>
      <c r="M86" s="55">
        <v>0.41</v>
      </c>
      <c r="N86" s="55"/>
    </row>
    <row r="87" spans="1:14">
      <c r="A87" s="55">
        <v>46</v>
      </c>
      <c r="B87" s="55" t="s">
        <v>400</v>
      </c>
      <c r="C87" s="55" t="s">
        <v>20</v>
      </c>
      <c r="D87" s="22">
        <v>102</v>
      </c>
      <c r="E87" s="22">
        <v>134</v>
      </c>
      <c r="F87" s="22">
        <v>920</v>
      </c>
      <c r="G87" s="22">
        <v>1379</v>
      </c>
      <c r="H87" s="55">
        <v>-23.88</v>
      </c>
      <c r="I87" s="55">
        <v>-33.28</v>
      </c>
      <c r="J87" s="55">
        <v>0.55000000000000004</v>
      </c>
      <c r="K87" s="55">
        <v>0.53</v>
      </c>
      <c r="L87" s="55">
        <v>0.51</v>
      </c>
      <c r="M87" s="55">
        <v>0.85</v>
      </c>
      <c r="N87" s="55"/>
    </row>
    <row r="88" spans="1:14">
      <c r="A88" s="55">
        <v>47</v>
      </c>
      <c r="B88" s="55" t="s">
        <v>688</v>
      </c>
      <c r="C88" s="55" t="s">
        <v>20</v>
      </c>
      <c r="D88" s="22">
        <v>103</v>
      </c>
      <c r="E88" s="22">
        <v>375</v>
      </c>
      <c r="F88" s="22">
        <v>914</v>
      </c>
      <c r="G88" s="22">
        <v>950</v>
      </c>
      <c r="H88" s="55">
        <v>-72.53</v>
      </c>
      <c r="I88" s="55">
        <v>-3.79</v>
      </c>
      <c r="J88" s="55">
        <v>0.56000000000000005</v>
      </c>
      <c r="K88" s="55">
        <v>0.53</v>
      </c>
      <c r="L88" s="55">
        <v>1.42</v>
      </c>
      <c r="M88" s="55">
        <v>0.59</v>
      </c>
      <c r="N88" s="55"/>
    </row>
    <row r="89" spans="1:14">
      <c r="A89" s="55">
        <v>48</v>
      </c>
      <c r="B89" s="55" t="s">
        <v>1008</v>
      </c>
      <c r="C89" s="55" t="s">
        <v>20</v>
      </c>
      <c r="D89" s="22">
        <v>80</v>
      </c>
      <c r="E89" s="22">
        <v>8</v>
      </c>
      <c r="F89" s="22">
        <v>909</v>
      </c>
      <c r="G89" s="22">
        <v>107</v>
      </c>
      <c r="H89" s="55">
        <v>900</v>
      </c>
      <c r="I89" s="55">
        <v>749.53</v>
      </c>
      <c r="J89" s="55">
        <v>0.43</v>
      </c>
      <c r="K89" s="55">
        <v>0.53</v>
      </c>
      <c r="L89" s="55">
        <v>0.03</v>
      </c>
      <c r="M89" s="55">
        <v>7.0000000000000007E-2</v>
      </c>
      <c r="N89" s="55"/>
    </row>
    <row r="90" spans="1:14">
      <c r="A90" s="55">
        <v>49</v>
      </c>
      <c r="B90" s="55" t="s">
        <v>380</v>
      </c>
      <c r="C90" s="55" t="s">
        <v>19</v>
      </c>
      <c r="D90" s="22">
        <v>25</v>
      </c>
      <c r="E90" s="22">
        <v>102</v>
      </c>
      <c r="F90" s="22">
        <v>880</v>
      </c>
      <c r="G90" s="22">
        <v>2257</v>
      </c>
      <c r="H90" s="55">
        <v>-75.489999999999995</v>
      </c>
      <c r="I90" s="55">
        <v>-61.01</v>
      </c>
      <c r="J90" s="55">
        <v>0.14000000000000001</v>
      </c>
      <c r="K90" s="55">
        <v>0.51</v>
      </c>
      <c r="L90" s="55">
        <v>0.39</v>
      </c>
      <c r="M90" s="55">
        <v>1.4</v>
      </c>
      <c r="N90" s="55"/>
    </row>
    <row r="91" spans="1:14">
      <c r="A91" s="55">
        <v>50</v>
      </c>
      <c r="B91" s="55" t="s">
        <v>40</v>
      </c>
      <c r="C91" s="55" t="s">
        <v>19</v>
      </c>
      <c r="D91" s="22">
        <v>79</v>
      </c>
      <c r="E91" s="22">
        <v>28</v>
      </c>
      <c r="F91" s="22">
        <v>834</v>
      </c>
      <c r="G91" s="22">
        <v>532</v>
      </c>
      <c r="H91" s="55">
        <v>182.14</v>
      </c>
      <c r="I91" s="55">
        <v>56.77</v>
      </c>
      <c r="J91" s="55">
        <v>0.43</v>
      </c>
      <c r="K91" s="55">
        <v>0.48</v>
      </c>
      <c r="L91" s="55">
        <v>0.11</v>
      </c>
      <c r="M91" s="55">
        <v>0.33</v>
      </c>
      <c r="N91" s="55"/>
    </row>
    <row r="92" spans="1:14">
      <c r="A92" s="55">
        <v>51</v>
      </c>
      <c r="B92" s="55" t="s">
        <v>228</v>
      </c>
      <c r="C92" s="55" t="s">
        <v>19</v>
      </c>
      <c r="D92" s="22">
        <v>45</v>
      </c>
      <c r="E92" s="22">
        <v>36</v>
      </c>
      <c r="F92" s="22">
        <v>828</v>
      </c>
      <c r="G92" s="22">
        <v>1019</v>
      </c>
      <c r="H92" s="55">
        <v>25</v>
      </c>
      <c r="I92" s="55">
        <v>-18.739999999999998</v>
      </c>
      <c r="J92" s="55">
        <v>0.24</v>
      </c>
      <c r="K92" s="55">
        <v>0.48</v>
      </c>
      <c r="L92" s="55">
        <v>0.14000000000000001</v>
      </c>
      <c r="M92" s="55">
        <v>0.63</v>
      </c>
      <c r="N92" s="55"/>
    </row>
    <row r="93" spans="1:14">
      <c r="A93" s="55">
        <v>52</v>
      </c>
      <c r="B93" s="55" t="s">
        <v>493</v>
      </c>
      <c r="C93" s="55" t="s">
        <v>20</v>
      </c>
      <c r="D93" s="22">
        <v>46</v>
      </c>
      <c r="E93" s="22">
        <v>282</v>
      </c>
      <c r="F93" s="22">
        <v>814</v>
      </c>
      <c r="G93" s="22">
        <v>774</v>
      </c>
      <c r="H93" s="55">
        <v>-83.69</v>
      </c>
      <c r="I93" s="55">
        <v>5.17</v>
      </c>
      <c r="J93" s="55">
        <v>0.25</v>
      </c>
      <c r="K93" s="55">
        <v>0.47</v>
      </c>
      <c r="L93" s="55">
        <v>1.07</v>
      </c>
      <c r="M93" s="55">
        <v>0.48</v>
      </c>
      <c r="N93" s="55"/>
    </row>
    <row r="94" spans="1:14">
      <c r="A94" s="55">
        <v>53</v>
      </c>
      <c r="B94" s="55" t="s">
        <v>394</v>
      </c>
      <c r="C94" s="55" t="s">
        <v>19</v>
      </c>
      <c r="D94" s="22">
        <v>2</v>
      </c>
      <c r="E94" s="22">
        <v>469</v>
      </c>
      <c r="F94" s="22">
        <v>753</v>
      </c>
      <c r="G94" s="22">
        <v>1924</v>
      </c>
      <c r="H94" s="62">
        <v>-99.57</v>
      </c>
      <c r="I94" s="62">
        <v>-60.86</v>
      </c>
      <c r="J94" s="55">
        <v>0.01</v>
      </c>
      <c r="K94" s="55">
        <v>0.43</v>
      </c>
      <c r="L94" s="55">
        <v>1.77</v>
      </c>
      <c r="M94" s="55">
        <v>1.19</v>
      </c>
      <c r="N94" s="55"/>
    </row>
    <row r="95" spans="1:14">
      <c r="A95" s="55">
        <v>54</v>
      </c>
      <c r="B95" s="55" t="s">
        <v>651</v>
      </c>
      <c r="C95" s="55" t="s">
        <v>19</v>
      </c>
      <c r="D95" s="22">
        <v>80</v>
      </c>
      <c r="E95" s="22">
        <v>55</v>
      </c>
      <c r="F95" s="22">
        <v>722</v>
      </c>
      <c r="G95" s="22">
        <v>379</v>
      </c>
      <c r="H95" s="78">
        <v>45.45</v>
      </c>
      <c r="I95" s="78">
        <v>90.5</v>
      </c>
      <c r="J95" s="55">
        <v>0.43</v>
      </c>
      <c r="K95" s="55">
        <v>0.42</v>
      </c>
      <c r="L95" s="55">
        <v>0.21</v>
      </c>
      <c r="M95" s="55">
        <v>0.23</v>
      </c>
      <c r="N95" s="55"/>
    </row>
    <row r="96" spans="1:14">
      <c r="A96" s="55">
        <v>55</v>
      </c>
      <c r="B96" s="55" t="s">
        <v>1089</v>
      </c>
      <c r="C96" s="55" t="s">
        <v>20</v>
      </c>
      <c r="D96" s="22">
        <v>145</v>
      </c>
      <c r="E96" s="22">
        <v>23</v>
      </c>
      <c r="F96" s="22">
        <v>720</v>
      </c>
      <c r="G96" s="22">
        <v>125</v>
      </c>
      <c r="H96" s="55">
        <v>530.42999999999995</v>
      </c>
      <c r="I96" s="55">
        <v>476</v>
      </c>
      <c r="J96" s="55">
        <v>0.78</v>
      </c>
      <c r="K96" s="55">
        <v>0.42</v>
      </c>
      <c r="L96" s="55">
        <v>0.09</v>
      </c>
      <c r="M96" s="55">
        <v>0.08</v>
      </c>
      <c r="N96" s="55"/>
    </row>
    <row r="97" spans="1:14">
      <c r="A97" s="55">
        <v>56</v>
      </c>
      <c r="B97" s="55" t="s">
        <v>404</v>
      </c>
      <c r="C97" s="55" t="s">
        <v>19</v>
      </c>
      <c r="D97" s="22">
        <v>47</v>
      </c>
      <c r="E97" s="22">
        <v>73</v>
      </c>
      <c r="F97" s="22">
        <v>705</v>
      </c>
      <c r="G97" s="22">
        <v>516</v>
      </c>
      <c r="H97" s="55">
        <v>-35.619999999999997</v>
      </c>
      <c r="I97" s="55">
        <v>36.630000000000003</v>
      </c>
      <c r="J97" s="55">
        <v>0.25</v>
      </c>
      <c r="K97" s="55">
        <v>0.41</v>
      </c>
      <c r="L97" s="55">
        <v>0.28000000000000003</v>
      </c>
      <c r="M97" s="55">
        <v>0.32</v>
      </c>
      <c r="N97" s="55"/>
    </row>
    <row r="98" spans="1:14">
      <c r="A98" s="55">
        <v>57</v>
      </c>
      <c r="B98" s="55" t="s">
        <v>1033</v>
      </c>
      <c r="C98" s="55" t="s">
        <v>20</v>
      </c>
      <c r="D98" s="22">
        <v>169</v>
      </c>
      <c r="E98" s="22">
        <v>139</v>
      </c>
      <c r="F98" s="22">
        <v>682</v>
      </c>
      <c r="G98" s="22">
        <v>139</v>
      </c>
      <c r="H98" s="55">
        <v>21.58</v>
      </c>
      <c r="I98" s="55">
        <v>390.65</v>
      </c>
      <c r="J98" s="55">
        <v>0.91</v>
      </c>
      <c r="K98" s="55">
        <v>0.39</v>
      </c>
      <c r="L98" s="55">
        <v>0.53</v>
      </c>
      <c r="M98" s="55">
        <v>0.09</v>
      </c>
      <c r="N98" s="55"/>
    </row>
    <row r="99" spans="1:14">
      <c r="A99" s="55">
        <v>58</v>
      </c>
      <c r="B99" s="55" t="s">
        <v>363</v>
      </c>
      <c r="C99" s="55" t="s">
        <v>20</v>
      </c>
      <c r="D99" s="22">
        <v>73</v>
      </c>
      <c r="E99" s="22">
        <v>142</v>
      </c>
      <c r="F99" s="22">
        <v>673</v>
      </c>
      <c r="G99" s="22">
        <v>823</v>
      </c>
      <c r="H99" s="55">
        <v>-48.59</v>
      </c>
      <c r="I99" s="55">
        <v>-18.23</v>
      </c>
      <c r="J99" s="55">
        <v>0.4</v>
      </c>
      <c r="K99" s="55">
        <v>0.39</v>
      </c>
      <c r="L99" s="55">
        <v>0.54</v>
      </c>
      <c r="M99" s="55">
        <v>0.51</v>
      </c>
      <c r="N99" s="55"/>
    </row>
    <row r="100" spans="1:14">
      <c r="A100" s="55">
        <v>59</v>
      </c>
      <c r="B100" s="55" t="s">
        <v>116</v>
      </c>
      <c r="C100" s="55" t="s">
        <v>19</v>
      </c>
      <c r="D100" s="22">
        <v>42</v>
      </c>
      <c r="E100" s="22">
        <v>138</v>
      </c>
      <c r="F100" s="22">
        <v>670</v>
      </c>
      <c r="G100" s="22">
        <v>1104</v>
      </c>
      <c r="H100" s="55">
        <v>-69.569999999999993</v>
      </c>
      <c r="I100" s="55">
        <v>-39.31</v>
      </c>
      <c r="J100" s="55">
        <v>0.23</v>
      </c>
      <c r="K100" s="55">
        <v>0.39</v>
      </c>
      <c r="L100" s="55">
        <v>0.52</v>
      </c>
      <c r="M100" s="55">
        <v>0.68</v>
      </c>
      <c r="N100" s="55"/>
    </row>
    <row r="101" spans="1:14">
      <c r="A101" s="55">
        <v>60</v>
      </c>
      <c r="B101" s="55" t="s">
        <v>1266</v>
      </c>
      <c r="C101" s="55" t="s">
        <v>20</v>
      </c>
      <c r="D101" s="22">
        <v>313</v>
      </c>
      <c r="E101" s="22">
        <v>0</v>
      </c>
      <c r="F101" s="22">
        <v>651</v>
      </c>
      <c r="G101" s="22">
        <v>0</v>
      </c>
      <c r="H101" s="55">
        <v>0</v>
      </c>
      <c r="I101" s="55">
        <v>0</v>
      </c>
      <c r="J101" s="55">
        <v>1.69</v>
      </c>
      <c r="K101" s="55">
        <v>0.38</v>
      </c>
      <c r="L101" s="55">
        <v>0</v>
      </c>
      <c r="M101" s="55">
        <v>0</v>
      </c>
      <c r="N101" s="55"/>
    </row>
    <row r="102" spans="1:14">
      <c r="A102" s="55">
        <v>61</v>
      </c>
      <c r="B102" s="55" t="s">
        <v>559</v>
      </c>
      <c r="C102" s="55" t="s">
        <v>20</v>
      </c>
      <c r="D102" s="22">
        <v>2</v>
      </c>
      <c r="E102" s="22">
        <v>35</v>
      </c>
      <c r="F102" s="22">
        <v>627</v>
      </c>
      <c r="G102" s="22">
        <v>952</v>
      </c>
      <c r="H102" s="55">
        <v>-94.29</v>
      </c>
      <c r="I102" s="55">
        <v>-34.14</v>
      </c>
      <c r="J102" s="55">
        <v>0.01</v>
      </c>
      <c r="K102" s="55">
        <v>0.36</v>
      </c>
      <c r="L102" s="55">
        <v>0.13</v>
      </c>
      <c r="M102" s="55">
        <v>0.59</v>
      </c>
      <c r="N102" s="55"/>
    </row>
    <row r="103" spans="1:14">
      <c r="A103" s="55">
        <v>62</v>
      </c>
      <c r="B103" s="55" t="s">
        <v>358</v>
      </c>
      <c r="C103" s="55" t="s">
        <v>19</v>
      </c>
      <c r="D103" s="22">
        <v>1</v>
      </c>
      <c r="E103" s="22">
        <v>105</v>
      </c>
      <c r="F103" s="22">
        <v>607</v>
      </c>
      <c r="G103" s="22">
        <v>477</v>
      </c>
      <c r="H103" s="55">
        <v>-99.05</v>
      </c>
      <c r="I103" s="55">
        <v>27.25</v>
      </c>
      <c r="J103" s="55">
        <v>0.01</v>
      </c>
      <c r="K103" s="55">
        <v>0.35</v>
      </c>
      <c r="L103" s="55">
        <v>0.4</v>
      </c>
      <c r="M103" s="55">
        <v>0.3</v>
      </c>
      <c r="N103" s="55"/>
    </row>
    <row r="104" spans="1:14">
      <c r="A104" s="55">
        <v>63</v>
      </c>
      <c r="B104" s="55" t="s">
        <v>1183</v>
      </c>
      <c r="C104" s="55" t="s">
        <v>20</v>
      </c>
      <c r="D104" s="22">
        <v>96</v>
      </c>
      <c r="E104" s="22">
        <v>0</v>
      </c>
      <c r="F104" s="22">
        <v>590</v>
      </c>
      <c r="G104" s="22">
        <v>0</v>
      </c>
      <c r="H104" s="55">
        <v>0</v>
      </c>
      <c r="I104" s="55">
        <v>0</v>
      </c>
      <c r="J104" s="55">
        <v>0.52</v>
      </c>
      <c r="K104" s="55">
        <v>0.34</v>
      </c>
      <c r="L104" s="55">
        <v>0</v>
      </c>
      <c r="M104" s="55">
        <v>0</v>
      </c>
      <c r="N104" s="55"/>
    </row>
    <row r="105" spans="1:14">
      <c r="A105" s="55">
        <v>64</v>
      </c>
      <c r="B105" s="55" t="s">
        <v>373</v>
      </c>
      <c r="C105" s="55" t="s">
        <v>19</v>
      </c>
      <c r="D105" s="22">
        <v>45</v>
      </c>
      <c r="E105" s="22">
        <v>42</v>
      </c>
      <c r="F105" s="22">
        <v>580</v>
      </c>
      <c r="G105" s="22">
        <v>1015</v>
      </c>
      <c r="H105" s="55">
        <v>7.14</v>
      </c>
      <c r="I105" s="55">
        <v>-42.86</v>
      </c>
      <c r="J105" s="55">
        <v>0.24</v>
      </c>
      <c r="K105" s="55">
        <v>0.33</v>
      </c>
      <c r="L105" s="55">
        <v>0.16</v>
      </c>
      <c r="M105" s="55">
        <v>0.63</v>
      </c>
      <c r="N105" s="55"/>
    </row>
    <row r="106" spans="1:14">
      <c r="A106" s="55">
        <v>65</v>
      </c>
      <c r="B106" s="55" t="s">
        <v>75</v>
      </c>
      <c r="C106" s="55" t="s">
        <v>19</v>
      </c>
      <c r="D106" s="22">
        <v>51</v>
      </c>
      <c r="E106" s="22">
        <v>21</v>
      </c>
      <c r="F106" s="22">
        <v>553</v>
      </c>
      <c r="G106" s="22">
        <v>403</v>
      </c>
      <c r="H106" s="55">
        <v>142.86000000000001</v>
      </c>
      <c r="I106" s="55">
        <v>37.22</v>
      </c>
      <c r="J106" s="55">
        <v>0.28000000000000003</v>
      </c>
      <c r="K106" s="55">
        <v>0.32</v>
      </c>
      <c r="L106" s="55">
        <v>0.08</v>
      </c>
      <c r="M106" s="55">
        <v>0.25</v>
      </c>
      <c r="N106" s="55"/>
    </row>
    <row r="107" spans="1:14">
      <c r="A107" s="55">
        <v>66</v>
      </c>
      <c r="B107" s="55" t="s">
        <v>374</v>
      </c>
      <c r="C107" s="55" t="s">
        <v>19</v>
      </c>
      <c r="D107" s="22">
        <v>46</v>
      </c>
      <c r="E107" s="22">
        <v>23</v>
      </c>
      <c r="F107" s="22">
        <v>553</v>
      </c>
      <c r="G107" s="22">
        <v>129</v>
      </c>
      <c r="H107" s="55">
        <v>100</v>
      </c>
      <c r="I107" s="55">
        <v>328.68</v>
      </c>
      <c r="J107" s="55">
        <v>0.25</v>
      </c>
      <c r="K107" s="55">
        <v>0.32</v>
      </c>
      <c r="L107" s="55">
        <v>0.09</v>
      </c>
      <c r="M107" s="55">
        <v>0.08</v>
      </c>
      <c r="N107" s="55"/>
    </row>
    <row r="108" spans="1:14">
      <c r="A108" s="55">
        <v>67</v>
      </c>
      <c r="B108" s="55" t="s">
        <v>389</v>
      </c>
      <c r="C108" s="55" t="s">
        <v>19</v>
      </c>
      <c r="D108" s="22">
        <v>56</v>
      </c>
      <c r="E108" s="22">
        <v>57</v>
      </c>
      <c r="F108" s="22">
        <v>545</v>
      </c>
      <c r="G108" s="22">
        <v>1269</v>
      </c>
      <c r="H108" s="55">
        <v>-1.75</v>
      </c>
      <c r="I108" s="55">
        <v>-57.05</v>
      </c>
      <c r="J108" s="55">
        <v>0.3</v>
      </c>
      <c r="K108" s="55">
        <v>0.31</v>
      </c>
      <c r="L108" s="55">
        <v>0.22</v>
      </c>
      <c r="M108" s="55">
        <v>0.79</v>
      </c>
      <c r="N108" s="55"/>
    </row>
    <row r="109" spans="1:14">
      <c r="A109" s="55">
        <v>68</v>
      </c>
      <c r="B109" s="55" t="s">
        <v>1029</v>
      </c>
      <c r="C109" s="55" t="s">
        <v>20</v>
      </c>
      <c r="D109" s="22">
        <v>31</v>
      </c>
      <c r="E109" s="22">
        <v>211</v>
      </c>
      <c r="F109" s="22">
        <v>542</v>
      </c>
      <c r="G109" s="22">
        <v>211</v>
      </c>
      <c r="H109" s="55">
        <v>-85.31</v>
      </c>
      <c r="I109" s="55">
        <v>156.87</v>
      </c>
      <c r="J109" s="55">
        <v>0.17</v>
      </c>
      <c r="K109" s="55">
        <v>0.31</v>
      </c>
      <c r="L109" s="55">
        <v>0.8</v>
      </c>
      <c r="M109" s="55">
        <v>0.13</v>
      </c>
      <c r="N109" s="55"/>
    </row>
    <row r="110" spans="1:14">
      <c r="A110" s="55">
        <v>69</v>
      </c>
      <c r="B110" s="55" t="s">
        <v>234</v>
      </c>
      <c r="C110" s="55" t="s">
        <v>19</v>
      </c>
      <c r="D110" s="22">
        <v>29</v>
      </c>
      <c r="E110" s="22">
        <v>45</v>
      </c>
      <c r="F110" s="22">
        <v>539</v>
      </c>
      <c r="G110" s="22">
        <v>176</v>
      </c>
      <c r="H110" s="55">
        <v>-35.56</v>
      </c>
      <c r="I110" s="55">
        <v>206.25</v>
      </c>
      <c r="J110" s="55">
        <v>0.16</v>
      </c>
      <c r="K110" s="55">
        <v>0.31</v>
      </c>
      <c r="L110" s="55">
        <v>0.17</v>
      </c>
      <c r="M110" s="55">
        <v>0.11</v>
      </c>
      <c r="N110" s="55"/>
    </row>
    <row r="111" spans="1:14">
      <c r="A111" s="55">
        <v>70</v>
      </c>
      <c r="B111" s="55" t="s">
        <v>99</v>
      </c>
      <c r="C111" s="55" t="s">
        <v>20</v>
      </c>
      <c r="D111" s="22">
        <v>4</v>
      </c>
      <c r="E111" s="22">
        <v>83</v>
      </c>
      <c r="F111" s="22">
        <v>536</v>
      </c>
      <c r="G111" s="22">
        <v>1306</v>
      </c>
      <c r="H111" s="55">
        <v>-95.18</v>
      </c>
      <c r="I111" s="55">
        <v>-58.96</v>
      </c>
      <c r="J111" s="55">
        <v>0.02</v>
      </c>
      <c r="K111" s="55">
        <v>0.31</v>
      </c>
      <c r="L111" s="55">
        <v>0.31</v>
      </c>
      <c r="M111" s="55">
        <v>0.81</v>
      </c>
      <c r="N111" s="55"/>
    </row>
    <row r="112" spans="1:14">
      <c r="A112" s="55">
        <v>71</v>
      </c>
      <c r="B112" s="55" t="s">
        <v>1210</v>
      </c>
      <c r="C112" s="55" t="s">
        <v>19</v>
      </c>
      <c r="D112" s="22">
        <v>71</v>
      </c>
      <c r="E112" s="22">
        <v>0</v>
      </c>
      <c r="F112" s="22">
        <v>532</v>
      </c>
      <c r="G112" s="22">
        <v>0</v>
      </c>
      <c r="H112" s="55">
        <v>0</v>
      </c>
      <c r="I112" s="55">
        <v>0</v>
      </c>
      <c r="J112" s="55">
        <v>0.38</v>
      </c>
      <c r="K112" s="55">
        <v>0.31</v>
      </c>
      <c r="L112" s="55">
        <v>0</v>
      </c>
      <c r="M112" s="55">
        <v>0</v>
      </c>
      <c r="N112" s="55"/>
    </row>
    <row r="113" spans="1:14">
      <c r="A113" s="55">
        <v>72</v>
      </c>
      <c r="B113" s="55" t="s">
        <v>1090</v>
      </c>
      <c r="C113" s="55" t="s">
        <v>19</v>
      </c>
      <c r="D113" s="22">
        <v>134</v>
      </c>
      <c r="E113" s="22">
        <v>0</v>
      </c>
      <c r="F113" s="22">
        <v>478</v>
      </c>
      <c r="G113" s="22">
        <v>0</v>
      </c>
      <c r="H113" s="55">
        <v>0</v>
      </c>
      <c r="I113" s="55">
        <v>0</v>
      </c>
      <c r="J113" s="55">
        <v>0.73</v>
      </c>
      <c r="K113" s="55">
        <v>0.28000000000000003</v>
      </c>
      <c r="L113" s="55">
        <v>0</v>
      </c>
      <c r="M113" s="55">
        <v>0</v>
      </c>
      <c r="N113" s="55"/>
    </row>
    <row r="114" spans="1:14">
      <c r="A114" s="55">
        <v>73</v>
      </c>
      <c r="B114" s="55" t="s">
        <v>401</v>
      </c>
      <c r="C114" s="55" t="s">
        <v>19</v>
      </c>
      <c r="D114" s="22">
        <v>38</v>
      </c>
      <c r="E114" s="22">
        <v>2</v>
      </c>
      <c r="F114" s="22">
        <v>477</v>
      </c>
      <c r="G114" s="22">
        <v>813</v>
      </c>
      <c r="H114" s="55">
        <v>1800</v>
      </c>
      <c r="I114" s="55">
        <v>-41.33</v>
      </c>
      <c r="J114" s="55">
        <v>0.21</v>
      </c>
      <c r="K114" s="55">
        <v>0.28000000000000003</v>
      </c>
      <c r="L114" s="55">
        <v>0.01</v>
      </c>
      <c r="M114" s="55">
        <v>0.5</v>
      </c>
      <c r="N114" s="55"/>
    </row>
    <row r="115" spans="1:14">
      <c r="A115" s="55">
        <v>74</v>
      </c>
      <c r="B115" s="55" t="s">
        <v>1057</v>
      </c>
      <c r="C115" s="55" t="s">
        <v>19</v>
      </c>
      <c r="D115" s="22">
        <v>186</v>
      </c>
      <c r="E115" s="22">
        <v>0</v>
      </c>
      <c r="F115" s="22">
        <v>457</v>
      </c>
      <c r="G115" s="22">
        <v>0</v>
      </c>
      <c r="H115" s="55">
        <v>0</v>
      </c>
      <c r="I115" s="55">
        <v>0</v>
      </c>
      <c r="J115" s="55">
        <v>1.01</v>
      </c>
      <c r="K115" s="55">
        <v>0.26</v>
      </c>
      <c r="L115" s="55">
        <v>0</v>
      </c>
      <c r="M115" s="55">
        <v>0</v>
      </c>
      <c r="N115" s="55"/>
    </row>
    <row r="116" spans="1:14">
      <c r="A116" s="55">
        <v>75</v>
      </c>
      <c r="B116" s="55" t="s">
        <v>638</v>
      </c>
      <c r="C116" s="55" t="s">
        <v>20</v>
      </c>
      <c r="D116" s="22">
        <v>45</v>
      </c>
      <c r="E116" s="22">
        <v>35</v>
      </c>
      <c r="F116" s="22">
        <v>451</v>
      </c>
      <c r="G116" s="22">
        <v>399</v>
      </c>
      <c r="H116" s="55">
        <v>28.57</v>
      </c>
      <c r="I116" s="55">
        <v>13.03</v>
      </c>
      <c r="J116" s="55">
        <v>0.24</v>
      </c>
      <c r="K116" s="55">
        <v>0.26</v>
      </c>
      <c r="L116" s="55">
        <v>0.13</v>
      </c>
      <c r="M116" s="55">
        <v>0.25</v>
      </c>
      <c r="N116" s="55"/>
    </row>
    <row r="117" spans="1:14">
      <c r="A117" s="55">
        <v>76</v>
      </c>
      <c r="B117" s="55" t="s">
        <v>590</v>
      </c>
      <c r="C117" s="55" t="s">
        <v>20</v>
      </c>
      <c r="D117" s="22">
        <v>12</v>
      </c>
      <c r="E117" s="22">
        <v>325</v>
      </c>
      <c r="F117" s="22">
        <v>443</v>
      </c>
      <c r="G117" s="22">
        <v>2239</v>
      </c>
      <c r="H117" s="55">
        <v>-96.31</v>
      </c>
      <c r="I117" s="55">
        <v>-80.209999999999994</v>
      </c>
      <c r="J117" s="55">
        <v>0.06</v>
      </c>
      <c r="K117" s="55">
        <v>0.26</v>
      </c>
      <c r="L117" s="55">
        <v>1.23</v>
      </c>
      <c r="M117" s="55">
        <v>1.39</v>
      </c>
      <c r="N117" s="55"/>
    </row>
    <row r="118" spans="1:14">
      <c r="A118" s="55">
        <v>77</v>
      </c>
      <c r="B118" s="55" t="s">
        <v>405</v>
      </c>
      <c r="C118" s="55" t="s">
        <v>20</v>
      </c>
      <c r="D118" s="22">
        <v>1</v>
      </c>
      <c r="E118" s="22">
        <v>12</v>
      </c>
      <c r="F118" s="22">
        <v>423</v>
      </c>
      <c r="G118" s="22">
        <v>437</v>
      </c>
      <c r="H118" s="55">
        <v>-91.67</v>
      </c>
      <c r="I118" s="55">
        <v>-3.2</v>
      </c>
      <c r="J118" s="55">
        <v>0.01</v>
      </c>
      <c r="K118" s="55">
        <v>0.24</v>
      </c>
      <c r="L118" s="55">
        <v>0.05</v>
      </c>
      <c r="M118" s="55">
        <v>0.27</v>
      </c>
      <c r="N118" s="55"/>
    </row>
    <row r="119" spans="1:14">
      <c r="A119" s="55">
        <v>78</v>
      </c>
      <c r="B119" s="55" t="s">
        <v>481</v>
      </c>
      <c r="C119" s="55" t="s">
        <v>19</v>
      </c>
      <c r="D119" s="22">
        <v>51</v>
      </c>
      <c r="E119" s="22">
        <v>1</v>
      </c>
      <c r="F119" s="22">
        <v>410</v>
      </c>
      <c r="G119" s="22">
        <v>584</v>
      </c>
      <c r="H119" s="55">
        <v>5000</v>
      </c>
      <c r="I119" s="55">
        <v>-29.79</v>
      </c>
      <c r="J119" s="55">
        <v>0.28000000000000003</v>
      </c>
      <c r="K119" s="55">
        <v>0.24</v>
      </c>
      <c r="L119" s="55">
        <v>0</v>
      </c>
      <c r="M119" s="55">
        <v>0.36</v>
      </c>
      <c r="N119" s="55"/>
    </row>
    <row r="120" spans="1:14">
      <c r="A120" s="55">
        <v>79</v>
      </c>
      <c r="B120" s="55" t="s">
        <v>395</v>
      </c>
      <c r="C120" s="55" t="s">
        <v>20</v>
      </c>
      <c r="D120" s="22">
        <v>58</v>
      </c>
      <c r="E120" s="22">
        <v>52</v>
      </c>
      <c r="F120" s="22">
        <v>399</v>
      </c>
      <c r="G120" s="22">
        <v>837</v>
      </c>
      <c r="H120" s="55">
        <v>11.54</v>
      </c>
      <c r="I120" s="55">
        <v>-52.33</v>
      </c>
      <c r="J120" s="55">
        <v>0.31</v>
      </c>
      <c r="K120" s="55">
        <v>0.23</v>
      </c>
      <c r="L120" s="55">
        <v>0.2</v>
      </c>
      <c r="M120" s="55">
        <v>0.52</v>
      </c>
      <c r="N120" s="55"/>
    </row>
    <row r="121" spans="1:14">
      <c r="A121" s="55">
        <v>80</v>
      </c>
      <c r="B121" s="55" t="s">
        <v>352</v>
      </c>
      <c r="C121" s="55" t="s">
        <v>19</v>
      </c>
      <c r="D121" s="22">
        <v>2</v>
      </c>
      <c r="E121" s="22">
        <v>15</v>
      </c>
      <c r="F121" s="22">
        <v>399</v>
      </c>
      <c r="G121" s="22">
        <v>559</v>
      </c>
      <c r="H121" s="55">
        <v>-86.67</v>
      </c>
      <c r="I121" s="55">
        <v>-28.62</v>
      </c>
      <c r="J121" s="55">
        <v>0.01</v>
      </c>
      <c r="K121" s="55">
        <v>0.23</v>
      </c>
      <c r="L121" s="55">
        <v>0.06</v>
      </c>
      <c r="M121" s="55">
        <v>0.35</v>
      </c>
      <c r="N121" s="55"/>
    </row>
    <row r="122" spans="1:14">
      <c r="A122" s="55">
        <v>81</v>
      </c>
      <c r="B122" s="55" t="s">
        <v>1001</v>
      </c>
      <c r="C122" s="55" t="s">
        <v>20</v>
      </c>
      <c r="D122" s="22">
        <v>56</v>
      </c>
      <c r="E122" s="22">
        <v>96</v>
      </c>
      <c r="F122" s="22">
        <v>396</v>
      </c>
      <c r="G122" s="22">
        <v>210</v>
      </c>
      <c r="H122" s="55">
        <v>-41.67</v>
      </c>
      <c r="I122" s="55">
        <v>88.57</v>
      </c>
      <c r="J122" s="55">
        <v>0.3</v>
      </c>
      <c r="K122" s="55">
        <v>0.23</v>
      </c>
      <c r="L122" s="55">
        <v>0.36</v>
      </c>
      <c r="M122" s="55">
        <v>0.13</v>
      </c>
      <c r="N122" s="55"/>
    </row>
    <row r="123" spans="1:14">
      <c r="A123" s="55">
        <v>82</v>
      </c>
      <c r="B123" s="55" t="s">
        <v>441</v>
      </c>
      <c r="C123" s="55" t="s">
        <v>20</v>
      </c>
      <c r="D123" s="22">
        <v>34</v>
      </c>
      <c r="E123" s="22">
        <v>2</v>
      </c>
      <c r="F123" s="22">
        <v>381</v>
      </c>
      <c r="G123" s="22">
        <v>174</v>
      </c>
      <c r="H123" s="55">
        <v>1600</v>
      </c>
      <c r="I123" s="55">
        <v>118.97</v>
      </c>
      <c r="J123" s="55">
        <v>0.18</v>
      </c>
      <c r="K123" s="55">
        <v>0.22</v>
      </c>
      <c r="L123" s="55">
        <v>0.01</v>
      </c>
      <c r="M123" s="55">
        <v>0.11</v>
      </c>
      <c r="N123" s="55"/>
    </row>
    <row r="124" spans="1:14">
      <c r="A124" s="55">
        <v>83</v>
      </c>
      <c r="B124" s="55" t="s">
        <v>137</v>
      </c>
      <c r="C124" s="55" t="s">
        <v>20</v>
      </c>
      <c r="D124" s="22">
        <v>30</v>
      </c>
      <c r="E124" s="22">
        <v>187</v>
      </c>
      <c r="F124" s="22">
        <v>366</v>
      </c>
      <c r="G124" s="22">
        <v>187</v>
      </c>
      <c r="H124" s="55">
        <v>-83.96</v>
      </c>
      <c r="I124" s="55">
        <v>95.72</v>
      </c>
      <c r="J124" s="55">
        <v>0.16</v>
      </c>
      <c r="K124" s="55">
        <v>0.21</v>
      </c>
      <c r="L124" s="55">
        <v>0.71</v>
      </c>
      <c r="M124" s="55">
        <v>0.12</v>
      </c>
      <c r="N124" s="55"/>
    </row>
    <row r="125" spans="1:14">
      <c r="A125" s="55">
        <v>84</v>
      </c>
      <c r="B125" s="55" t="s">
        <v>375</v>
      </c>
      <c r="C125" s="55" t="s">
        <v>19</v>
      </c>
      <c r="D125" s="22">
        <v>11</v>
      </c>
      <c r="E125" s="22">
        <v>216</v>
      </c>
      <c r="F125" s="22">
        <v>357</v>
      </c>
      <c r="G125" s="22">
        <v>756</v>
      </c>
      <c r="H125" s="55">
        <v>-94.91</v>
      </c>
      <c r="I125" s="55">
        <v>-52.78</v>
      </c>
      <c r="J125" s="55">
        <v>0.06</v>
      </c>
      <c r="K125" s="55">
        <v>0.21</v>
      </c>
      <c r="L125" s="55">
        <v>0.82</v>
      </c>
      <c r="M125" s="55">
        <v>0.47</v>
      </c>
      <c r="N125" s="55"/>
    </row>
    <row r="126" spans="1:14">
      <c r="A126" s="55">
        <v>85</v>
      </c>
      <c r="B126" s="55" t="s">
        <v>431</v>
      </c>
      <c r="C126" s="55" t="s">
        <v>19</v>
      </c>
      <c r="D126" s="22">
        <v>62</v>
      </c>
      <c r="E126" s="22">
        <v>14</v>
      </c>
      <c r="F126" s="22">
        <v>354</v>
      </c>
      <c r="G126" s="22">
        <v>284</v>
      </c>
      <c r="H126" s="55">
        <v>342.86</v>
      </c>
      <c r="I126" s="55">
        <v>24.65</v>
      </c>
      <c r="J126" s="55">
        <v>0.34</v>
      </c>
      <c r="K126" s="55">
        <v>0.2</v>
      </c>
      <c r="L126" s="55">
        <v>0.05</v>
      </c>
      <c r="M126" s="55">
        <v>0.18</v>
      </c>
      <c r="N126" s="55"/>
    </row>
    <row r="127" spans="1:14">
      <c r="A127" s="55">
        <v>86</v>
      </c>
      <c r="B127" s="55" t="s">
        <v>430</v>
      </c>
      <c r="C127" s="55" t="s">
        <v>19</v>
      </c>
      <c r="D127" s="22">
        <v>27</v>
      </c>
      <c r="E127" s="22">
        <v>28</v>
      </c>
      <c r="F127" s="22">
        <v>340</v>
      </c>
      <c r="G127" s="22">
        <v>690</v>
      </c>
      <c r="H127" s="55">
        <v>-3.57</v>
      </c>
      <c r="I127" s="55">
        <v>-50.72</v>
      </c>
      <c r="J127" s="55">
        <v>0.15</v>
      </c>
      <c r="K127" s="55">
        <v>0.2</v>
      </c>
      <c r="L127" s="55">
        <v>0.11</v>
      </c>
      <c r="M127" s="55">
        <v>0.43</v>
      </c>
      <c r="N127" s="55"/>
    </row>
    <row r="128" spans="1:14">
      <c r="A128" s="55">
        <v>87</v>
      </c>
      <c r="B128" s="55" t="s">
        <v>172</v>
      </c>
      <c r="C128" s="55" t="s">
        <v>19</v>
      </c>
      <c r="D128" s="22">
        <v>11</v>
      </c>
      <c r="E128" s="22">
        <v>28</v>
      </c>
      <c r="F128" s="22">
        <v>310</v>
      </c>
      <c r="G128" s="22">
        <v>421</v>
      </c>
      <c r="H128" s="55">
        <v>-60.71</v>
      </c>
      <c r="I128" s="55">
        <v>-26.37</v>
      </c>
      <c r="J128" s="55">
        <v>0.06</v>
      </c>
      <c r="K128" s="55">
        <v>0.18</v>
      </c>
      <c r="L128" s="55">
        <v>0.11</v>
      </c>
      <c r="M128" s="55">
        <v>0.26</v>
      </c>
      <c r="N128" s="55"/>
    </row>
    <row r="129" spans="1:14">
      <c r="A129" s="55">
        <v>88</v>
      </c>
      <c r="B129" s="55" t="s">
        <v>496</v>
      </c>
      <c r="C129" s="55" t="s">
        <v>19</v>
      </c>
      <c r="D129" s="22">
        <v>38</v>
      </c>
      <c r="E129" s="22">
        <v>23</v>
      </c>
      <c r="F129" s="22">
        <v>308</v>
      </c>
      <c r="G129" s="22">
        <v>222</v>
      </c>
      <c r="H129" s="55">
        <v>65.22</v>
      </c>
      <c r="I129" s="55">
        <v>38.74</v>
      </c>
      <c r="J129" s="55">
        <v>0.21</v>
      </c>
      <c r="K129" s="55">
        <v>0.18</v>
      </c>
      <c r="L129" s="55">
        <v>0.09</v>
      </c>
      <c r="M129" s="55">
        <v>0.14000000000000001</v>
      </c>
      <c r="N129" s="55"/>
    </row>
    <row r="130" spans="1:14">
      <c r="A130" s="55">
        <v>89</v>
      </c>
      <c r="B130" s="55" t="s">
        <v>628</v>
      </c>
      <c r="C130" s="55" t="s">
        <v>19</v>
      </c>
      <c r="D130" s="22">
        <v>9</v>
      </c>
      <c r="E130" s="22">
        <v>28</v>
      </c>
      <c r="F130" s="22">
        <v>299</v>
      </c>
      <c r="G130" s="22">
        <v>297</v>
      </c>
      <c r="H130" s="55">
        <v>-67.86</v>
      </c>
      <c r="I130" s="55">
        <v>0.67</v>
      </c>
      <c r="J130" s="55">
        <v>0.05</v>
      </c>
      <c r="K130" s="55">
        <v>0.17</v>
      </c>
      <c r="L130" s="55">
        <v>0.11</v>
      </c>
      <c r="M130" s="55">
        <v>0.18</v>
      </c>
      <c r="N130" s="55"/>
    </row>
    <row r="131" spans="1:14">
      <c r="A131" s="55">
        <v>90</v>
      </c>
      <c r="B131" s="55" t="s">
        <v>410</v>
      </c>
      <c r="C131" s="55" t="s">
        <v>20</v>
      </c>
      <c r="D131" s="22">
        <v>2</v>
      </c>
      <c r="E131" s="22">
        <v>369</v>
      </c>
      <c r="F131" s="22">
        <v>284</v>
      </c>
      <c r="G131" s="22">
        <v>1506</v>
      </c>
      <c r="H131" s="55">
        <v>-99.46</v>
      </c>
      <c r="I131" s="55">
        <v>-81.14</v>
      </c>
      <c r="J131" s="55">
        <v>0.01</v>
      </c>
      <c r="K131" s="55">
        <v>0.16</v>
      </c>
      <c r="L131" s="55">
        <v>1.39</v>
      </c>
      <c r="M131" s="55">
        <v>0.93</v>
      </c>
      <c r="N131" s="55"/>
    </row>
    <row r="132" spans="1:14">
      <c r="A132" s="55">
        <v>91</v>
      </c>
      <c r="B132" s="55" t="s">
        <v>382</v>
      </c>
      <c r="C132" s="55" t="s">
        <v>19</v>
      </c>
      <c r="D132" s="22">
        <v>22</v>
      </c>
      <c r="E132" s="22">
        <v>43</v>
      </c>
      <c r="F132" s="22">
        <v>284</v>
      </c>
      <c r="G132" s="22">
        <v>250</v>
      </c>
      <c r="H132" s="55">
        <v>-48.84</v>
      </c>
      <c r="I132" s="55">
        <v>13.6</v>
      </c>
      <c r="J132" s="55">
        <v>0.12</v>
      </c>
      <c r="K132" s="55">
        <v>0.16</v>
      </c>
      <c r="L132" s="55">
        <v>0.16</v>
      </c>
      <c r="M132" s="55">
        <v>0.15</v>
      </c>
      <c r="N132" s="55"/>
    </row>
    <row r="133" spans="1:14">
      <c r="A133" s="55">
        <v>92</v>
      </c>
      <c r="B133" s="55" t="s">
        <v>584</v>
      </c>
      <c r="C133" s="55" t="s">
        <v>19</v>
      </c>
      <c r="D133" s="22">
        <v>4</v>
      </c>
      <c r="E133" s="22">
        <v>7</v>
      </c>
      <c r="F133" s="22">
        <v>259</v>
      </c>
      <c r="G133" s="22">
        <v>1361</v>
      </c>
      <c r="H133" s="55">
        <v>-42.86</v>
      </c>
      <c r="I133" s="55">
        <v>-80.97</v>
      </c>
      <c r="J133" s="55">
        <v>0.02</v>
      </c>
      <c r="K133" s="55">
        <v>0.15</v>
      </c>
      <c r="L133" s="55">
        <v>0.03</v>
      </c>
      <c r="M133" s="55">
        <v>0.84</v>
      </c>
      <c r="N133" s="55"/>
    </row>
    <row r="134" spans="1:14">
      <c r="A134" s="55">
        <v>93</v>
      </c>
      <c r="B134" s="55" t="s">
        <v>360</v>
      </c>
      <c r="C134" s="55" t="s">
        <v>19</v>
      </c>
      <c r="D134" s="22">
        <v>0</v>
      </c>
      <c r="E134" s="22">
        <v>26</v>
      </c>
      <c r="F134" s="22">
        <v>255</v>
      </c>
      <c r="G134" s="22">
        <v>1215</v>
      </c>
      <c r="H134" s="55">
        <v>-100</v>
      </c>
      <c r="I134" s="55">
        <v>-79.010000000000005</v>
      </c>
      <c r="J134" s="55">
        <v>0</v>
      </c>
      <c r="K134" s="55">
        <v>0.15</v>
      </c>
      <c r="L134" s="55">
        <v>0.1</v>
      </c>
      <c r="M134" s="55">
        <v>0.75</v>
      </c>
      <c r="N134" s="55"/>
    </row>
    <row r="135" spans="1:14">
      <c r="A135" s="55">
        <v>94</v>
      </c>
      <c r="B135" s="55" t="s">
        <v>125</v>
      </c>
      <c r="C135" s="55" t="s">
        <v>19</v>
      </c>
      <c r="D135" s="22">
        <v>48</v>
      </c>
      <c r="E135" s="22">
        <v>3</v>
      </c>
      <c r="F135" s="22">
        <v>255</v>
      </c>
      <c r="G135" s="22">
        <v>61</v>
      </c>
      <c r="H135" s="55">
        <v>1500</v>
      </c>
      <c r="I135" s="55">
        <v>318.02999999999997</v>
      </c>
      <c r="J135" s="55">
        <v>0.26</v>
      </c>
      <c r="K135" s="55">
        <v>0.15</v>
      </c>
      <c r="L135" s="55">
        <v>0.01</v>
      </c>
      <c r="M135" s="55">
        <v>0.04</v>
      </c>
      <c r="N135" s="55"/>
    </row>
    <row r="136" spans="1:14">
      <c r="A136" s="55">
        <v>95</v>
      </c>
      <c r="B136" s="55" t="s">
        <v>570</v>
      </c>
      <c r="C136" s="55" t="s">
        <v>20</v>
      </c>
      <c r="D136" s="22">
        <v>2</v>
      </c>
      <c r="E136" s="22">
        <v>39</v>
      </c>
      <c r="F136" s="22">
        <v>248</v>
      </c>
      <c r="G136" s="22">
        <v>603</v>
      </c>
      <c r="H136" s="55">
        <v>-94.87</v>
      </c>
      <c r="I136" s="55">
        <v>-58.87</v>
      </c>
      <c r="J136" s="55">
        <v>0.01</v>
      </c>
      <c r="K136" s="55">
        <v>0.14000000000000001</v>
      </c>
      <c r="L136" s="55">
        <v>0.15</v>
      </c>
      <c r="M136" s="55">
        <v>0.37</v>
      </c>
      <c r="N136" s="55"/>
    </row>
    <row r="137" spans="1:14">
      <c r="A137" s="55">
        <v>96</v>
      </c>
      <c r="B137" s="55" t="s">
        <v>413</v>
      </c>
      <c r="C137" s="55" t="s">
        <v>19</v>
      </c>
      <c r="D137" s="22">
        <v>19</v>
      </c>
      <c r="E137" s="22">
        <v>34</v>
      </c>
      <c r="F137" s="22">
        <v>243</v>
      </c>
      <c r="G137" s="22">
        <v>473</v>
      </c>
      <c r="H137" s="55">
        <v>-44.12</v>
      </c>
      <c r="I137" s="55">
        <v>-48.63</v>
      </c>
      <c r="J137" s="55">
        <v>0.1</v>
      </c>
      <c r="K137" s="55">
        <v>0.14000000000000001</v>
      </c>
      <c r="L137" s="55">
        <v>0.13</v>
      </c>
      <c r="M137" s="55">
        <v>0.28999999999999998</v>
      </c>
      <c r="N137" s="55"/>
    </row>
    <row r="138" spans="1:14">
      <c r="A138" s="55">
        <v>97</v>
      </c>
      <c r="B138" s="55" t="s">
        <v>396</v>
      </c>
      <c r="C138" s="55" t="s">
        <v>19</v>
      </c>
      <c r="D138" s="22">
        <v>0</v>
      </c>
      <c r="E138" s="22">
        <v>24</v>
      </c>
      <c r="F138" s="22">
        <v>238</v>
      </c>
      <c r="G138" s="22">
        <v>622</v>
      </c>
      <c r="H138" s="55">
        <v>-100</v>
      </c>
      <c r="I138" s="55">
        <v>-61.74</v>
      </c>
      <c r="J138" s="55">
        <v>0</v>
      </c>
      <c r="K138" s="55">
        <v>0.14000000000000001</v>
      </c>
      <c r="L138" s="55">
        <v>0.09</v>
      </c>
      <c r="M138" s="55">
        <v>0.38</v>
      </c>
      <c r="N138" s="55"/>
    </row>
    <row r="139" spans="1:14">
      <c r="A139" s="55">
        <v>98</v>
      </c>
      <c r="B139" s="55" t="s">
        <v>491</v>
      </c>
      <c r="C139" s="55" t="s">
        <v>19</v>
      </c>
      <c r="D139" s="22">
        <v>48</v>
      </c>
      <c r="E139" s="22">
        <v>15</v>
      </c>
      <c r="F139" s="22">
        <v>229</v>
      </c>
      <c r="G139" s="22">
        <v>148</v>
      </c>
      <c r="H139" s="55">
        <v>220</v>
      </c>
      <c r="I139" s="55">
        <v>54.73</v>
      </c>
      <c r="J139" s="55">
        <v>0.26</v>
      </c>
      <c r="K139" s="55">
        <v>0.13</v>
      </c>
      <c r="L139" s="55">
        <v>0.06</v>
      </c>
      <c r="M139" s="55">
        <v>0.09</v>
      </c>
      <c r="N139" s="55"/>
    </row>
    <row r="140" spans="1:14">
      <c r="A140" s="55">
        <v>99</v>
      </c>
      <c r="B140" s="55" t="s">
        <v>1035</v>
      </c>
      <c r="C140" s="55" t="s">
        <v>19</v>
      </c>
      <c r="D140" s="22">
        <v>13</v>
      </c>
      <c r="E140" s="22">
        <v>6</v>
      </c>
      <c r="F140" s="22">
        <v>227</v>
      </c>
      <c r="G140" s="22">
        <v>6</v>
      </c>
      <c r="H140" s="55">
        <v>116.67</v>
      </c>
      <c r="I140" s="55">
        <v>3683.33</v>
      </c>
      <c r="J140" s="55">
        <v>7.0000000000000007E-2</v>
      </c>
      <c r="K140" s="55">
        <v>0.13</v>
      </c>
      <c r="L140" s="55">
        <v>0.02</v>
      </c>
      <c r="M140" s="55">
        <v>0</v>
      </c>
      <c r="N140" s="55"/>
    </row>
    <row r="141" spans="1:14">
      <c r="A141" s="55">
        <v>100</v>
      </c>
      <c r="B141" s="55" t="s">
        <v>610</v>
      </c>
      <c r="C141" s="55" t="s">
        <v>20</v>
      </c>
      <c r="D141" s="22">
        <v>50</v>
      </c>
      <c r="E141" s="22">
        <v>142</v>
      </c>
      <c r="F141" s="22">
        <v>222</v>
      </c>
      <c r="G141" s="22">
        <v>764</v>
      </c>
      <c r="H141" s="55">
        <v>-64.790000000000006</v>
      </c>
      <c r="I141" s="55">
        <v>-70.94</v>
      </c>
      <c r="J141" s="55">
        <v>0.27</v>
      </c>
      <c r="K141" s="55">
        <v>0.13</v>
      </c>
      <c r="L141" s="55">
        <v>0.54</v>
      </c>
      <c r="M141" s="55">
        <v>0.47</v>
      </c>
      <c r="N141" s="55"/>
    </row>
    <row r="142" spans="1:14">
      <c r="A142" s="55">
        <v>101</v>
      </c>
      <c r="B142" s="55" t="s">
        <v>397</v>
      </c>
      <c r="C142" s="55" t="s">
        <v>20</v>
      </c>
      <c r="D142" s="22">
        <v>10</v>
      </c>
      <c r="E142" s="22">
        <v>90</v>
      </c>
      <c r="F142" s="22">
        <v>198</v>
      </c>
      <c r="G142" s="22">
        <v>505</v>
      </c>
      <c r="H142" s="55">
        <v>-88.89</v>
      </c>
      <c r="I142" s="55">
        <v>-60.79</v>
      </c>
      <c r="J142" s="55">
        <v>0.05</v>
      </c>
      <c r="K142" s="55">
        <v>0.11</v>
      </c>
      <c r="L142" s="55">
        <v>0.34</v>
      </c>
      <c r="M142" s="55">
        <v>0.31</v>
      </c>
      <c r="N142" s="55"/>
    </row>
    <row r="143" spans="1:14">
      <c r="A143" s="55">
        <v>102</v>
      </c>
      <c r="B143" s="55" t="s">
        <v>432</v>
      </c>
      <c r="C143" s="55" t="s">
        <v>20</v>
      </c>
      <c r="D143" s="22">
        <v>16</v>
      </c>
      <c r="E143" s="22">
        <v>20</v>
      </c>
      <c r="F143" s="22">
        <v>195</v>
      </c>
      <c r="G143" s="22">
        <v>603</v>
      </c>
      <c r="H143" s="55">
        <v>-20</v>
      </c>
      <c r="I143" s="55">
        <v>-67.66</v>
      </c>
      <c r="J143" s="55">
        <v>0.09</v>
      </c>
      <c r="K143" s="55">
        <v>0.11</v>
      </c>
      <c r="L143" s="55">
        <v>0.08</v>
      </c>
      <c r="M143" s="55">
        <v>0.37</v>
      </c>
      <c r="N143" s="55"/>
    </row>
    <row r="144" spans="1:14">
      <c r="A144" s="55">
        <v>103</v>
      </c>
      <c r="B144" s="55" t="s">
        <v>153</v>
      </c>
      <c r="C144" s="55" t="s">
        <v>19</v>
      </c>
      <c r="D144" s="22">
        <v>29</v>
      </c>
      <c r="E144" s="22">
        <v>25</v>
      </c>
      <c r="F144" s="22">
        <v>191</v>
      </c>
      <c r="G144" s="22">
        <v>431</v>
      </c>
      <c r="H144" s="55">
        <v>16</v>
      </c>
      <c r="I144" s="55">
        <v>-55.68</v>
      </c>
      <c r="J144" s="55">
        <v>0.16</v>
      </c>
      <c r="K144" s="55">
        <v>0.11</v>
      </c>
      <c r="L144" s="55">
        <v>0.09</v>
      </c>
      <c r="M144" s="55">
        <v>0.27</v>
      </c>
      <c r="N144" s="55"/>
    </row>
    <row r="145" spans="1:14">
      <c r="A145" s="55">
        <v>104</v>
      </c>
      <c r="B145" s="55" t="s">
        <v>1244</v>
      </c>
      <c r="C145" s="55" t="s">
        <v>20</v>
      </c>
      <c r="D145" s="22">
        <v>69</v>
      </c>
      <c r="E145" s="22">
        <v>0</v>
      </c>
      <c r="F145" s="22">
        <v>190</v>
      </c>
      <c r="G145" s="22">
        <v>0</v>
      </c>
      <c r="H145" s="55">
        <v>0</v>
      </c>
      <c r="I145" s="55">
        <v>0</v>
      </c>
      <c r="J145" s="55">
        <v>0.37</v>
      </c>
      <c r="K145" s="55">
        <v>0.11</v>
      </c>
      <c r="L145" s="55">
        <v>0</v>
      </c>
      <c r="M145" s="55">
        <v>0</v>
      </c>
      <c r="N145" s="55"/>
    </row>
    <row r="146" spans="1:14">
      <c r="A146" s="55">
        <v>105</v>
      </c>
      <c r="B146" s="55" t="s">
        <v>1253</v>
      </c>
      <c r="C146" s="55" t="s">
        <v>19</v>
      </c>
      <c r="D146" s="22">
        <v>153</v>
      </c>
      <c r="E146" s="22">
        <v>0</v>
      </c>
      <c r="F146" s="22">
        <v>188</v>
      </c>
      <c r="G146" s="22">
        <v>0</v>
      </c>
      <c r="H146" s="55">
        <v>0</v>
      </c>
      <c r="I146" s="55">
        <v>0</v>
      </c>
      <c r="J146" s="55">
        <v>0.83</v>
      </c>
      <c r="K146" s="55">
        <v>0.11</v>
      </c>
      <c r="L146" s="55">
        <v>0</v>
      </c>
      <c r="M146" s="55">
        <v>0</v>
      </c>
      <c r="N146" s="55"/>
    </row>
    <row r="147" spans="1:14">
      <c r="A147" s="55">
        <v>106</v>
      </c>
      <c r="B147" s="55" t="s">
        <v>235</v>
      </c>
      <c r="C147" s="55" t="s">
        <v>19</v>
      </c>
      <c r="D147" s="22">
        <v>18</v>
      </c>
      <c r="E147" s="22">
        <v>13</v>
      </c>
      <c r="F147" s="22">
        <v>170</v>
      </c>
      <c r="G147" s="22">
        <v>144</v>
      </c>
      <c r="H147" s="55">
        <v>38.46</v>
      </c>
      <c r="I147" s="55">
        <v>18.059999999999999</v>
      </c>
      <c r="J147" s="55">
        <v>0.1</v>
      </c>
      <c r="K147" s="55">
        <v>0.1</v>
      </c>
      <c r="L147" s="55">
        <v>0.05</v>
      </c>
      <c r="M147" s="55">
        <v>0.09</v>
      </c>
      <c r="N147" s="55"/>
    </row>
    <row r="148" spans="1:14">
      <c r="A148" s="55">
        <v>107</v>
      </c>
      <c r="B148" s="55" t="s">
        <v>490</v>
      </c>
      <c r="C148" s="55" t="s">
        <v>19</v>
      </c>
      <c r="D148" s="22">
        <v>24</v>
      </c>
      <c r="E148" s="22">
        <v>16</v>
      </c>
      <c r="F148" s="22">
        <v>164</v>
      </c>
      <c r="G148" s="22">
        <v>67</v>
      </c>
      <c r="H148" s="55">
        <v>50</v>
      </c>
      <c r="I148" s="55">
        <v>144.78</v>
      </c>
      <c r="J148" s="55">
        <v>0.13</v>
      </c>
      <c r="K148" s="55">
        <v>0.09</v>
      </c>
      <c r="L148" s="55">
        <v>0.06</v>
      </c>
      <c r="M148" s="55">
        <v>0.04</v>
      </c>
      <c r="N148" s="55"/>
    </row>
    <row r="149" spans="1:14">
      <c r="A149" s="55">
        <v>108</v>
      </c>
      <c r="B149" s="55" t="s">
        <v>1087</v>
      </c>
      <c r="C149" s="55" t="s">
        <v>19</v>
      </c>
      <c r="D149" s="22">
        <v>11</v>
      </c>
      <c r="E149" s="22">
        <v>0</v>
      </c>
      <c r="F149" s="22">
        <v>151</v>
      </c>
      <c r="G149" s="22">
        <v>0</v>
      </c>
      <c r="H149" s="55">
        <v>0</v>
      </c>
      <c r="I149" s="55">
        <v>0</v>
      </c>
      <c r="J149" s="55">
        <v>0.06</v>
      </c>
      <c r="K149" s="55">
        <v>0.09</v>
      </c>
      <c r="L149" s="55">
        <v>0</v>
      </c>
      <c r="M149" s="55">
        <v>0</v>
      </c>
      <c r="N149" s="55"/>
    </row>
    <row r="150" spans="1:14">
      <c r="A150" s="55">
        <v>109</v>
      </c>
      <c r="B150" s="55" t="s">
        <v>79</v>
      </c>
      <c r="C150" s="55" t="s">
        <v>20</v>
      </c>
      <c r="D150" s="22">
        <v>4</v>
      </c>
      <c r="E150" s="22">
        <v>80</v>
      </c>
      <c r="F150" s="22">
        <v>150</v>
      </c>
      <c r="G150" s="22">
        <v>636</v>
      </c>
      <c r="H150" s="55">
        <v>-95</v>
      </c>
      <c r="I150" s="55">
        <v>-76.42</v>
      </c>
      <c r="J150" s="55">
        <v>0.02</v>
      </c>
      <c r="K150" s="55">
        <v>0.09</v>
      </c>
      <c r="L150" s="55">
        <v>0.3</v>
      </c>
      <c r="M150" s="55">
        <v>0.39</v>
      </c>
      <c r="N150" s="55"/>
    </row>
    <row r="151" spans="1:14">
      <c r="A151" s="55">
        <v>110</v>
      </c>
      <c r="B151" s="55" t="s">
        <v>706</v>
      </c>
      <c r="C151" s="55" t="s">
        <v>20</v>
      </c>
      <c r="D151" s="22">
        <v>3</v>
      </c>
      <c r="E151" s="22">
        <v>14</v>
      </c>
      <c r="F151" s="22">
        <v>150</v>
      </c>
      <c r="G151" s="22">
        <v>98</v>
      </c>
      <c r="H151" s="55">
        <v>-78.569999999999993</v>
      </c>
      <c r="I151" s="55">
        <v>53.06</v>
      </c>
      <c r="J151" s="55">
        <v>0.02</v>
      </c>
      <c r="K151" s="55">
        <v>0.09</v>
      </c>
      <c r="L151" s="55">
        <v>0.05</v>
      </c>
      <c r="M151" s="55">
        <v>0.06</v>
      </c>
      <c r="N151" s="55"/>
    </row>
    <row r="152" spans="1:14">
      <c r="A152" s="55">
        <v>111</v>
      </c>
      <c r="B152" s="55" t="s">
        <v>987</v>
      </c>
      <c r="C152" s="55" t="s">
        <v>19</v>
      </c>
      <c r="D152" s="22">
        <v>3</v>
      </c>
      <c r="E152" s="22">
        <v>11</v>
      </c>
      <c r="F152" s="22">
        <v>150</v>
      </c>
      <c r="G152" s="22">
        <v>51</v>
      </c>
      <c r="H152" s="55">
        <v>-72.73</v>
      </c>
      <c r="I152" s="55">
        <v>194.12</v>
      </c>
      <c r="J152" s="55">
        <v>0.02</v>
      </c>
      <c r="K152" s="55">
        <v>0.09</v>
      </c>
      <c r="L152" s="55">
        <v>0.04</v>
      </c>
      <c r="M152" s="55">
        <v>0.03</v>
      </c>
      <c r="N152" s="55"/>
    </row>
    <row r="153" spans="1:14">
      <c r="A153" s="55">
        <v>112</v>
      </c>
      <c r="B153" s="55" t="s">
        <v>1130</v>
      </c>
      <c r="C153" s="55" t="s">
        <v>20</v>
      </c>
      <c r="D153" s="22">
        <v>12</v>
      </c>
      <c r="E153" s="22">
        <v>0</v>
      </c>
      <c r="F153" s="22">
        <v>146</v>
      </c>
      <c r="G153" s="22">
        <v>0</v>
      </c>
      <c r="H153" s="55">
        <v>0</v>
      </c>
      <c r="I153" s="55">
        <v>0</v>
      </c>
      <c r="J153" s="55">
        <v>0.06</v>
      </c>
      <c r="K153" s="55">
        <v>0.08</v>
      </c>
      <c r="L153" s="55">
        <v>0</v>
      </c>
      <c r="M153" s="55">
        <v>0</v>
      </c>
      <c r="N153" s="55"/>
    </row>
    <row r="154" spans="1:14">
      <c r="A154" s="55">
        <v>113</v>
      </c>
      <c r="B154" s="55" t="s">
        <v>1277</v>
      </c>
      <c r="C154" s="55" t="s">
        <v>19</v>
      </c>
      <c r="D154" s="22">
        <v>0</v>
      </c>
      <c r="E154" s="22">
        <v>0</v>
      </c>
      <c r="F154" s="22">
        <v>140</v>
      </c>
      <c r="G154" s="22">
        <v>0</v>
      </c>
      <c r="H154" s="62">
        <v>0</v>
      </c>
      <c r="I154" s="62">
        <v>0</v>
      </c>
      <c r="J154" s="55">
        <v>0</v>
      </c>
      <c r="K154" s="55">
        <v>0.08</v>
      </c>
      <c r="L154" s="55">
        <v>0</v>
      </c>
      <c r="M154" s="55">
        <v>0</v>
      </c>
      <c r="N154" s="55"/>
    </row>
    <row r="155" spans="1:14">
      <c r="A155" s="55">
        <v>114</v>
      </c>
      <c r="B155" s="55" t="s">
        <v>1052</v>
      </c>
      <c r="C155" s="55" t="s">
        <v>19</v>
      </c>
      <c r="D155" s="22">
        <v>20</v>
      </c>
      <c r="E155" s="22">
        <v>0</v>
      </c>
      <c r="F155" s="22">
        <v>137</v>
      </c>
      <c r="G155" s="22">
        <v>0</v>
      </c>
      <c r="H155" s="55">
        <v>0</v>
      </c>
      <c r="I155" s="55">
        <v>0</v>
      </c>
      <c r="J155" s="55">
        <v>0.11</v>
      </c>
      <c r="K155" s="55">
        <v>0.08</v>
      </c>
      <c r="L155" s="55">
        <v>0</v>
      </c>
      <c r="M155" s="55">
        <v>0</v>
      </c>
      <c r="N155" s="55"/>
    </row>
    <row r="156" spans="1:14">
      <c r="A156" s="55">
        <v>115</v>
      </c>
      <c r="B156" s="55" t="s">
        <v>147</v>
      </c>
      <c r="C156" s="55" t="s">
        <v>19</v>
      </c>
      <c r="D156" s="22">
        <v>0</v>
      </c>
      <c r="E156" s="22">
        <v>11</v>
      </c>
      <c r="F156" s="22">
        <v>136</v>
      </c>
      <c r="G156" s="22">
        <v>253</v>
      </c>
      <c r="H156" s="55">
        <v>-100</v>
      </c>
      <c r="I156" s="55">
        <v>-46.25</v>
      </c>
      <c r="J156" s="55">
        <v>0</v>
      </c>
      <c r="K156" s="55">
        <v>0.08</v>
      </c>
      <c r="L156" s="55">
        <v>0.04</v>
      </c>
      <c r="M156" s="55">
        <v>0.16</v>
      </c>
      <c r="N156" s="55"/>
    </row>
    <row r="157" spans="1:14">
      <c r="A157" s="55">
        <v>116</v>
      </c>
      <c r="B157" s="55" t="s">
        <v>70</v>
      </c>
      <c r="C157" s="55" t="s">
        <v>19</v>
      </c>
      <c r="D157" s="22">
        <v>4</v>
      </c>
      <c r="E157" s="22">
        <v>32</v>
      </c>
      <c r="F157" s="22">
        <v>130</v>
      </c>
      <c r="G157" s="22">
        <v>983</v>
      </c>
      <c r="H157" s="55">
        <v>-87.5</v>
      </c>
      <c r="I157" s="55">
        <v>-86.78</v>
      </c>
      <c r="J157" s="55">
        <v>0.02</v>
      </c>
      <c r="K157" s="55">
        <v>0.08</v>
      </c>
      <c r="L157" s="55">
        <v>0.12</v>
      </c>
      <c r="M157" s="55">
        <v>0.61</v>
      </c>
      <c r="N157" s="55"/>
    </row>
    <row r="158" spans="1:14">
      <c r="A158" s="55">
        <v>117</v>
      </c>
      <c r="B158" s="55" t="s">
        <v>593</v>
      </c>
      <c r="C158" s="55" t="s">
        <v>19</v>
      </c>
      <c r="D158" s="22">
        <v>16</v>
      </c>
      <c r="E158" s="22">
        <v>1</v>
      </c>
      <c r="F158" s="22">
        <v>130</v>
      </c>
      <c r="G158" s="22">
        <v>167</v>
      </c>
      <c r="H158" s="55">
        <v>1500</v>
      </c>
      <c r="I158" s="55">
        <v>-22.16</v>
      </c>
      <c r="J158" s="55">
        <v>0.09</v>
      </c>
      <c r="K158" s="55">
        <v>0.08</v>
      </c>
      <c r="L158" s="55">
        <v>0</v>
      </c>
      <c r="M158" s="55">
        <v>0.1</v>
      </c>
      <c r="N158" s="55"/>
    </row>
    <row r="159" spans="1:14">
      <c r="A159" s="55">
        <v>118</v>
      </c>
      <c r="B159" s="55" t="s">
        <v>238</v>
      </c>
      <c r="C159" s="55" t="s">
        <v>19</v>
      </c>
      <c r="D159" s="22">
        <v>18</v>
      </c>
      <c r="E159" s="22">
        <v>5</v>
      </c>
      <c r="F159" s="22">
        <v>129</v>
      </c>
      <c r="G159" s="22">
        <v>41</v>
      </c>
      <c r="H159" s="55">
        <v>260</v>
      </c>
      <c r="I159" s="55">
        <v>214.63</v>
      </c>
      <c r="J159" s="55">
        <v>0.1</v>
      </c>
      <c r="K159" s="55">
        <v>7.0000000000000007E-2</v>
      </c>
      <c r="L159" s="55">
        <v>0.02</v>
      </c>
      <c r="M159" s="55">
        <v>0.03</v>
      </c>
      <c r="N159" s="55"/>
    </row>
    <row r="160" spans="1:14">
      <c r="A160" s="55">
        <v>119</v>
      </c>
      <c r="B160" s="55" t="s">
        <v>1032</v>
      </c>
      <c r="C160" s="55" t="s">
        <v>19</v>
      </c>
      <c r="D160" s="22">
        <v>4</v>
      </c>
      <c r="E160" s="22">
        <v>1</v>
      </c>
      <c r="F160" s="22">
        <v>128</v>
      </c>
      <c r="G160" s="22">
        <v>1</v>
      </c>
      <c r="H160" s="55">
        <v>300</v>
      </c>
      <c r="I160" s="55">
        <v>12700</v>
      </c>
      <c r="J160" s="55">
        <v>0.02</v>
      </c>
      <c r="K160" s="55">
        <v>7.0000000000000007E-2</v>
      </c>
      <c r="L160" s="55">
        <v>0</v>
      </c>
      <c r="M160" s="55">
        <v>0</v>
      </c>
      <c r="N160" s="55"/>
    </row>
    <row r="161" spans="1:14">
      <c r="A161" s="55">
        <v>120</v>
      </c>
      <c r="B161" s="55" t="s">
        <v>1278</v>
      </c>
      <c r="C161" s="55" t="s">
        <v>20</v>
      </c>
      <c r="D161" s="22">
        <v>36</v>
      </c>
      <c r="E161" s="22">
        <v>0</v>
      </c>
      <c r="F161" s="22">
        <v>128</v>
      </c>
      <c r="G161" s="22">
        <v>0</v>
      </c>
      <c r="H161" s="55">
        <v>0</v>
      </c>
      <c r="I161" s="55">
        <v>0</v>
      </c>
      <c r="J161" s="55">
        <v>0.19</v>
      </c>
      <c r="K161" s="55">
        <v>7.0000000000000007E-2</v>
      </c>
      <c r="L161" s="55">
        <v>0</v>
      </c>
      <c r="M161" s="55">
        <v>0</v>
      </c>
      <c r="N161" s="55"/>
    </row>
    <row r="162" spans="1:14">
      <c r="A162" s="55">
        <v>121</v>
      </c>
      <c r="B162" s="55" t="s">
        <v>409</v>
      </c>
      <c r="C162" s="55" t="s">
        <v>19</v>
      </c>
      <c r="D162" s="22">
        <v>7</v>
      </c>
      <c r="E162" s="22">
        <v>27</v>
      </c>
      <c r="F162" s="22">
        <v>126</v>
      </c>
      <c r="G162" s="22">
        <v>536</v>
      </c>
      <c r="H162" s="55">
        <v>-74.069999999999993</v>
      </c>
      <c r="I162" s="55">
        <v>-76.489999999999995</v>
      </c>
      <c r="J162" s="55">
        <v>0.04</v>
      </c>
      <c r="K162" s="55">
        <v>7.0000000000000007E-2</v>
      </c>
      <c r="L162" s="55">
        <v>0.1</v>
      </c>
      <c r="M162" s="55">
        <v>0.33</v>
      </c>
      <c r="N162" s="55"/>
    </row>
    <row r="163" spans="1:14">
      <c r="A163" s="55">
        <v>122</v>
      </c>
      <c r="B163" s="55" t="s">
        <v>981</v>
      </c>
      <c r="C163" s="55" t="s">
        <v>20</v>
      </c>
      <c r="D163" s="22">
        <v>8</v>
      </c>
      <c r="E163" s="22">
        <v>13</v>
      </c>
      <c r="F163" s="22">
        <v>119</v>
      </c>
      <c r="G163" s="22">
        <v>44</v>
      </c>
      <c r="H163" s="55">
        <v>-38.46</v>
      </c>
      <c r="I163" s="55">
        <v>170.45</v>
      </c>
      <c r="J163" s="55">
        <v>0.04</v>
      </c>
      <c r="K163" s="55">
        <v>7.0000000000000007E-2</v>
      </c>
      <c r="L163" s="55">
        <v>0.05</v>
      </c>
      <c r="M163" s="55">
        <v>0.03</v>
      </c>
      <c r="N163" s="55"/>
    </row>
    <row r="164" spans="1:14">
      <c r="A164" s="55">
        <v>123</v>
      </c>
      <c r="B164" s="55" t="s">
        <v>412</v>
      </c>
      <c r="C164" s="55" t="s">
        <v>19</v>
      </c>
      <c r="D164" s="22">
        <v>4</v>
      </c>
      <c r="E164" s="22">
        <v>8</v>
      </c>
      <c r="F164" s="22">
        <v>118</v>
      </c>
      <c r="G164" s="22">
        <v>238</v>
      </c>
      <c r="H164" s="55">
        <v>-50</v>
      </c>
      <c r="I164" s="55">
        <v>-50.42</v>
      </c>
      <c r="J164" s="55">
        <v>0.02</v>
      </c>
      <c r="K164" s="55">
        <v>7.0000000000000007E-2</v>
      </c>
      <c r="L164" s="55">
        <v>0.03</v>
      </c>
      <c r="M164" s="55">
        <v>0.15</v>
      </c>
      <c r="N164" s="55"/>
    </row>
    <row r="165" spans="1:14">
      <c r="A165" s="55">
        <v>124</v>
      </c>
      <c r="B165" s="55" t="s">
        <v>1300</v>
      </c>
      <c r="C165" s="55" t="s">
        <v>20</v>
      </c>
      <c r="D165" s="22">
        <v>44</v>
      </c>
      <c r="E165" s="22">
        <v>0</v>
      </c>
      <c r="F165" s="22">
        <v>116</v>
      </c>
      <c r="G165" s="22">
        <v>0</v>
      </c>
      <c r="H165" s="55">
        <v>0</v>
      </c>
      <c r="I165" s="55">
        <v>0</v>
      </c>
      <c r="J165" s="55">
        <v>0.24</v>
      </c>
      <c r="K165" s="55">
        <v>7.0000000000000007E-2</v>
      </c>
      <c r="L165" s="55">
        <v>0</v>
      </c>
      <c r="M165" s="55">
        <v>0</v>
      </c>
      <c r="N165" s="55"/>
    </row>
    <row r="166" spans="1:14">
      <c r="A166" s="55">
        <v>125</v>
      </c>
      <c r="B166" s="55" t="s">
        <v>1053</v>
      </c>
      <c r="C166" s="55" t="s">
        <v>20</v>
      </c>
      <c r="D166" s="22">
        <v>2</v>
      </c>
      <c r="E166" s="22">
        <v>0</v>
      </c>
      <c r="F166" s="22">
        <v>112</v>
      </c>
      <c r="G166" s="22">
        <v>0</v>
      </c>
      <c r="H166" s="55">
        <v>0</v>
      </c>
      <c r="I166" s="55">
        <v>0</v>
      </c>
      <c r="J166" s="55">
        <v>0.01</v>
      </c>
      <c r="K166" s="55">
        <v>0.06</v>
      </c>
      <c r="L166" s="55">
        <v>0</v>
      </c>
      <c r="M166" s="55">
        <v>0</v>
      </c>
      <c r="N166" s="55"/>
    </row>
    <row r="167" spans="1:14">
      <c r="A167" s="55">
        <v>126</v>
      </c>
      <c r="B167" s="55" t="s">
        <v>1145</v>
      </c>
      <c r="C167" s="55" t="s">
        <v>19</v>
      </c>
      <c r="D167" s="22">
        <v>5</v>
      </c>
      <c r="E167" s="22">
        <v>0</v>
      </c>
      <c r="F167" s="22">
        <v>111</v>
      </c>
      <c r="G167" s="22">
        <v>0</v>
      </c>
      <c r="H167" s="55">
        <v>0</v>
      </c>
      <c r="I167" s="55">
        <v>0</v>
      </c>
      <c r="J167" s="55">
        <v>0.03</v>
      </c>
      <c r="K167" s="55">
        <v>0.06</v>
      </c>
      <c r="L167" s="55">
        <v>0</v>
      </c>
      <c r="M167" s="55">
        <v>0</v>
      </c>
      <c r="N167" s="55"/>
    </row>
    <row r="168" spans="1:14">
      <c r="A168" s="55">
        <v>127</v>
      </c>
      <c r="B168" s="55" t="s">
        <v>659</v>
      </c>
      <c r="C168" s="55" t="s">
        <v>20</v>
      </c>
      <c r="D168" s="22">
        <v>9</v>
      </c>
      <c r="E168" s="22">
        <v>7</v>
      </c>
      <c r="F168" s="22">
        <v>101</v>
      </c>
      <c r="G168" s="22">
        <v>263</v>
      </c>
      <c r="H168" s="55">
        <v>28.57</v>
      </c>
      <c r="I168" s="55">
        <v>-61.6</v>
      </c>
      <c r="J168" s="55">
        <v>0.05</v>
      </c>
      <c r="K168" s="55">
        <v>0.06</v>
      </c>
      <c r="L168" s="55">
        <v>0.03</v>
      </c>
      <c r="M168" s="55">
        <v>0.16</v>
      </c>
      <c r="N168" s="55"/>
    </row>
    <row r="169" spans="1:14">
      <c r="A169" s="55">
        <v>128</v>
      </c>
      <c r="B169" s="55" t="s">
        <v>595</v>
      </c>
      <c r="C169" s="55" t="s">
        <v>19</v>
      </c>
      <c r="D169" s="22">
        <v>5</v>
      </c>
      <c r="E169" s="22">
        <v>8</v>
      </c>
      <c r="F169" s="22">
        <v>99</v>
      </c>
      <c r="G169" s="22">
        <v>80</v>
      </c>
      <c r="H169" s="55">
        <v>-37.5</v>
      </c>
      <c r="I169" s="55">
        <v>23.75</v>
      </c>
      <c r="J169" s="55">
        <v>0.03</v>
      </c>
      <c r="K169" s="55">
        <v>0.06</v>
      </c>
      <c r="L169" s="55">
        <v>0.03</v>
      </c>
      <c r="M169" s="55">
        <v>0.05</v>
      </c>
      <c r="N169" s="55"/>
    </row>
    <row r="170" spans="1:14">
      <c r="A170" s="55">
        <v>129</v>
      </c>
      <c r="B170" s="55" t="s">
        <v>417</v>
      </c>
      <c r="C170" s="55" t="s">
        <v>19</v>
      </c>
      <c r="D170" s="22">
        <v>21</v>
      </c>
      <c r="E170" s="22">
        <v>6</v>
      </c>
      <c r="F170" s="22">
        <v>98</v>
      </c>
      <c r="G170" s="22">
        <v>65</v>
      </c>
      <c r="H170" s="55">
        <v>250</v>
      </c>
      <c r="I170" s="55">
        <v>50.77</v>
      </c>
      <c r="J170" s="55">
        <v>0.11</v>
      </c>
      <c r="K170" s="55">
        <v>0.06</v>
      </c>
      <c r="L170" s="55">
        <v>0.02</v>
      </c>
      <c r="M170" s="55">
        <v>0.04</v>
      </c>
      <c r="N170" s="55"/>
    </row>
    <row r="171" spans="1:14">
      <c r="A171" s="55">
        <v>130</v>
      </c>
      <c r="B171" s="55" t="s">
        <v>1056</v>
      </c>
      <c r="C171" s="55" t="s">
        <v>20</v>
      </c>
      <c r="D171" s="22">
        <v>2</v>
      </c>
      <c r="E171" s="22">
        <v>0</v>
      </c>
      <c r="F171" s="22">
        <v>98</v>
      </c>
      <c r="G171" s="22">
        <v>0</v>
      </c>
      <c r="H171" s="55">
        <v>0</v>
      </c>
      <c r="I171" s="55">
        <v>0</v>
      </c>
      <c r="J171" s="55">
        <v>0.01</v>
      </c>
      <c r="K171" s="55">
        <v>0.06</v>
      </c>
      <c r="L171" s="55">
        <v>0</v>
      </c>
      <c r="M171" s="55">
        <v>0</v>
      </c>
      <c r="N171" s="55"/>
    </row>
    <row r="172" spans="1:14">
      <c r="A172" s="55">
        <v>131</v>
      </c>
      <c r="B172" s="55" t="s">
        <v>1088</v>
      </c>
      <c r="C172" s="55" t="s">
        <v>20</v>
      </c>
      <c r="D172" s="22">
        <v>10</v>
      </c>
      <c r="E172" s="22">
        <v>3</v>
      </c>
      <c r="F172" s="22">
        <v>92</v>
      </c>
      <c r="G172" s="22">
        <v>50</v>
      </c>
      <c r="H172" s="55">
        <v>233.33</v>
      </c>
      <c r="I172" s="55">
        <v>84</v>
      </c>
      <c r="J172" s="55">
        <v>0.05</v>
      </c>
      <c r="K172" s="55">
        <v>0.05</v>
      </c>
      <c r="L172" s="55">
        <v>0.01</v>
      </c>
      <c r="M172" s="55">
        <v>0.03</v>
      </c>
      <c r="N172" s="55"/>
    </row>
    <row r="173" spans="1:14">
      <c r="A173" s="55">
        <v>132</v>
      </c>
      <c r="B173" s="55" t="s">
        <v>353</v>
      </c>
      <c r="C173" s="55" t="s">
        <v>19</v>
      </c>
      <c r="D173" s="22">
        <v>29</v>
      </c>
      <c r="E173" s="22">
        <v>0</v>
      </c>
      <c r="F173" s="22">
        <v>90</v>
      </c>
      <c r="G173" s="22">
        <v>18</v>
      </c>
      <c r="H173" s="55">
        <v>0</v>
      </c>
      <c r="I173" s="55">
        <v>400</v>
      </c>
      <c r="J173" s="55">
        <v>0.16</v>
      </c>
      <c r="K173" s="55">
        <v>0.05</v>
      </c>
      <c r="L173" s="55">
        <v>0</v>
      </c>
      <c r="M173" s="55">
        <v>0.01</v>
      </c>
      <c r="N173" s="55"/>
    </row>
    <row r="174" spans="1:14">
      <c r="A174" s="55">
        <v>133</v>
      </c>
      <c r="B174" s="55" t="s">
        <v>418</v>
      </c>
      <c r="C174" s="55" t="s">
        <v>19</v>
      </c>
      <c r="D174" s="22">
        <v>2</v>
      </c>
      <c r="E174" s="22">
        <v>1</v>
      </c>
      <c r="F174" s="22">
        <v>88</v>
      </c>
      <c r="G174" s="22">
        <v>220</v>
      </c>
      <c r="H174" s="55">
        <v>100</v>
      </c>
      <c r="I174" s="55">
        <v>-60</v>
      </c>
      <c r="J174" s="55">
        <v>0.01</v>
      </c>
      <c r="K174" s="55">
        <v>0.05</v>
      </c>
      <c r="L174" s="55">
        <v>0</v>
      </c>
      <c r="M174" s="55">
        <v>0.14000000000000001</v>
      </c>
      <c r="N174" s="55"/>
    </row>
    <row r="175" spans="1:14">
      <c r="A175" s="55">
        <v>134</v>
      </c>
      <c r="B175" s="55" t="s">
        <v>652</v>
      </c>
      <c r="C175" s="55" t="s">
        <v>20</v>
      </c>
      <c r="D175" s="22">
        <v>6</v>
      </c>
      <c r="E175" s="22">
        <v>56</v>
      </c>
      <c r="F175" s="22">
        <v>88</v>
      </c>
      <c r="G175" s="22">
        <v>175</v>
      </c>
      <c r="H175" s="55">
        <v>-89.29</v>
      </c>
      <c r="I175" s="55">
        <v>-49.71</v>
      </c>
      <c r="J175" s="55">
        <v>0.03</v>
      </c>
      <c r="K175" s="55">
        <v>0.05</v>
      </c>
      <c r="L175" s="55">
        <v>0.21</v>
      </c>
      <c r="M175" s="55">
        <v>0.11</v>
      </c>
      <c r="N175" s="55"/>
    </row>
    <row r="176" spans="1:14">
      <c r="A176" s="55">
        <v>135</v>
      </c>
      <c r="B176" s="55" t="s">
        <v>428</v>
      </c>
      <c r="C176" s="55" t="s">
        <v>19</v>
      </c>
      <c r="D176" s="22">
        <v>14</v>
      </c>
      <c r="E176" s="22">
        <v>10</v>
      </c>
      <c r="F176" s="22">
        <v>88</v>
      </c>
      <c r="G176" s="22">
        <v>103</v>
      </c>
      <c r="H176" s="55">
        <v>40</v>
      </c>
      <c r="I176" s="55">
        <v>-14.56</v>
      </c>
      <c r="J176" s="55">
        <v>0.08</v>
      </c>
      <c r="K176" s="55">
        <v>0.05</v>
      </c>
      <c r="L176" s="55">
        <v>0.04</v>
      </c>
      <c r="M176" s="55">
        <v>0.06</v>
      </c>
      <c r="N176" s="55"/>
    </row>
    <row r="177" spans="1:14">
      <c r="A177" s="55">
        <v>136</v>
      </c>
      <c r="B177" s="55" t="s">
        <v>489</v>
      </c>
      <c r="C177" s="55" t="s">
        <v>19</v>
      </c>
      <c r="D177" s="22">
        <v>24</v>
      </c>
      <c r="E177" s="22">
        <v>3</v>
      </c>
      <c r="F177" s="22">
        <v>88</v>
      </c>
      <c r="G177" s="22">
        <v>34</v>
      </c>
      <c r="H177" s="62">
        <v>700</v>
      </c>
      <c r="I177" s="62">
        <v>158.82</v>
      </c>
      <c r="J177" s="55">
        <v>0.13</v>
      </c>
      <c r="K177" s="55">
        <v>0.05</v>
      </c>
      <c r="L177" s="55">
        <v>0.01</v>
      </c>
      <c r="M177" s="55">
        <v>0.02</v>
      </c>
      <c r="N177" s="55"/>
    </row>
    <row r="178" spans="1:14">
      <c r="A178" s="55">
        <v>137</v>
      </c>
      <c r="B178" s="55" t="s">
        <v>637</v>
      </c>
      <c r="C178" s="55" t="s">
        <v>20</v>
      </c>
      <c r="D178" s="22">
        <v>0</v>
      </c>
      <c r="E178" s="22">
        <v>707</v>
      </c>
      <c r="F178" s="22">
        <v>87</v>
      </c>
      <c r="G178" s="22">
        <v>2330</v>
      </c>
      <c r="H178" s="55">
        <v>-100</v>
      </c>
      <c r="I178" s="55">
        <v>-96.27</v>
      </c>
      <c r="J178" s="55">
        <v>0</v>
      </c>
      <c r="K178" s="55">
        <v>0.05</v>
      </c>
      <c r="L178" s="55">
        <v>2.67</v>
      </c>
      <c r="M178" s="55">
        <v>1.44</v>
      </c>
      <c r="N178" s="55"/>
    </row>
    <row r="179" spans="1:14">
      <c r="A179" s="55">
        <v>138</v>
      </c>
      <c r="B179" s="55" t="s">
        <v>645</v>
      </c>
      <c r="C179" s="55" t="s">
        <v>19</v>
      </c>
      <c r="D179" s="22">
        <v>2</v>
      </c>
      <c r="E179" s="22">
        <v>26</v>
      </c>
      <c r="F179" s="22">
        <v>87</v>
      </c>
      <c r="G179" s="22">
        <v>142</v>
      </c>
      <c r="H179" s="55">
        <v>-92.31</v>
      </c>
      <c r="I179" s="55">
        <v>-38.729999999999997</v>
      </c>
      <c r="J179" s="55">
        <v>0.01</v>
      </c>
      <c r="K179" s="55">
        <v>0.05</v>
      </c>
      <c r="L179" s="55">
        <v>0.1</v>
      </c>
      <c r="M179" s="55">
        <v>0.09</v>
      </c>
      <c r="N179" s="55"/>
    </row>
    <row r="180" spans="1:14">
      <c r="A180" s="55">
        <v>139</v>
      </c>
      <c r="B180" s="55" t="s">
        <v>1075</v>
      </c>
      <c r="C180" s="55" t="s">
        <v>20</v>
      </c>
      <c r="D180" s="22">
        <v>11</v>
      </c>
      <c r="E180" s="22">
        <v>0</v>
      </c>
      <c r="F180" s="22">
        <v>86</v>
      </c>
      <c r="G180" s="22">
        <v>0</v>
      </c>
      <c r="H180" s="62">
        <v>0</v>
      </c>
      <c r="I180" s="62">
        <v>0</v>
      </c>
      <c r="J180" s="55">
        <v>0.06</v>
      </c>
      <c r="K180" s="55">
        <v>0.05</v>
      </c>
      <c r="L180" s="55">
        <v>0</v>
      </c>
      <c r="M180" s="55">
        <v>0</v>
      </c>
      <c r="N180" s="55"/>
    </row>
    <row r="181" spans="1:14">
      <c r="A181" s="55">
        <v>140</v>
      </c>
      <c r="B181" s="55" t="s">
        <v>437</v>
      </c>
      <c r="C181" s="55" t="s">
        <v>20</v>
      </c>
      <c r="D181" s="22">
        <v>17</v>
      </c>
      <c r="E181" s="22">
        <v>10</v>
      </c>
      <c r="F181" s="22">
        <v>84</v>
      </c>
      <c r="G181" s="22">
        <v>33</v>
      </c>
      <c r="H181" s="55">
        <v>70</v>
      </c>
      <c r="I181" s="55">
        <v>154.55000000000001</v>
      </c>
      <c r="J181" s="55">
        <v>0.09</v>
      </c>
      <c r="K181" s="55">
        <v>0.05</v>
      </c>
      <c r="L181" s="55">
        <v>0.04</v>
      </c>
      <c r="M181" s="55">
        <v>0.02</v>
      </c>
      <c r="N181" s="55"/>
    </row>
    <row r="182" spans="1:14">
      <c r="A182" s="55">
        <v>141</v>
      </c>
      <c r="B182" s="55" t="s">
        <v>435</v>
      </c>
      <c r="C182" s="55" t="s">
        <v>19</v>
      </c>
      <c r="D182" s="22">
        <v>4</v>
      </c>
      <c r="E182" s="22">
        <v>0</v>
      </c>
      <c r="F182" s="22">
        <v>82</v>
      </c>
      <c r="G182" s="22">
        <v>23</v>
      </c>
      <c r="H182" s="55">
        <v>0</v>
      </c>
      <c r="I182" s="55">
        <v>256.52</v>
      </c>
      <c r="J182" s="55">
        <v>0.02</v>
      </c>
      <c r="K182" s="55">
        <v>0.05</v>
      </c>
      <c r="L182" s="55">
        <v>0</v>
      </c>
      <c r="M182" s="55">
        <v>0.01</v>
      </c>
      <c r="N182" s="55"/>
    </row>
    <row r="183" spans="1:14">
      <c r="A183" s="55">
        <v>142</v>
      </c>
      <c r="B183" s="55" t="s">
        <v>1316</v>
      </c>
      <c r="C183" s="55" t="s">
        <v>20</v>
      </c>
      <c r="D183" s="22">
        <v>81</v>
      </c>
      <c r="E183" s="22">
        <v>0</v>
      </c>
      <c r="F183" s="22">
        <v>81</v>
      </c>
      <c r="G183" s="22">
        <v>0</v>
      </c>
      <c r="H183" s="55">
        <v>0</v>
      </c>
      <c r="I183" s="55">
        <v>0</v>
      </c>
      <c r="J183" s="55">
        <v>0.44</v>
      </c>
      <c r="K183" s="55">
        <v>0.05</v>
      </c>
      <c r="L183" s="55">
        <v>0</v>
      </c>
      <c r="M183" s="55">
        <v>0</v>
      </c>
      <c r="N183" s="55"/>
    </row>
    <row r="184" spans="1:14">
      <c r="A184" s="55">
        <v>143</v>
      </c>
      <c r="B184" s="55" t="s">
        <v>1074</v>
      </c>
      <c r="C184" s="55" t="s">
        <v>19</v>
      </c>
      <c r="D184" s="22">
        <v>3</v>
      </c>
      <c r="E184" s="22">
        <v>0</v>
      </c>
      <c r="F184" s="22">
        <v>80</v>
      </c>
      <c r="G184" s="22">
        <v>0</v>
      </c>
      <c r="H184" s="55">
        <v>0</v>
      </c>
      <c r="I184" s="55">
        <v>0</v>
      </c>
      <c r="J184" s="55">
        <v>0.02</v>
      </c>
      <c r="K184" s="55">
        <v>0.05</v>
      </c>
      <c r="L184" s="55">
        <v>0</v>
      </c>
      <c r="M184" s="55">
        <v>0</v>
      </c>
      <c r="N184" s="55"/>
    </row>
    <row r="185" spans="1:14">
      <c r="A185" s="55">
        <v>144</v>
      </c>
      <c r="B185" s="55" t="s">
        <v>1036</v>
      </c>
      <c r="C185" s="55" t="s">
        <v>20</v>
      </c>
      <c r="D185" s="22">
        <v>1</v>
      </c>
      <c r="E185" s="22">
        <v>5</v>
      </c>
      <c r="F185" s="22">
        <v>79</v>
      </c>
      <c r="G185" s="22">
        <v>5</v>
      </c>
      <c r="H185" s="55">
        <v>-80</v>
      </c>
      <c r="I185" s="55">
        <v>1480</v>
      </c>
      <c r="J185" s="55">
        <v>0.01</v>
      </c>
      <c r="K185" s="55">
        <v>0.05</v>
      </c>
      <c r="L185" s="55">
        <v>0.02</v>
      </c>
      <c r="M185" s="55">
        <v>0</v>
      </c>
      <c r="N185" s="55"/>
    </row>
    <row r="186" spans="1:14">
      <c r="A186" s="55">
        <v>145</v>
      </c>
      <c r="B186" s="55" t="s">
        <v>572</v>
      </c>
      <c r="C186" s="55" t="s">
        <v>20</v>
      </c>
      <c r="D186" s="22">
        <v>9</v>
      </c>
      <c r="E186" s="22">
        <v>3</v>
      </c>
      <c r="F186" s="22">
        <v>76</v>
      </c>
      <c r="G186" s="22">
        <v>31</v>
      </c>
      <c r="H186" s="55">
        <v>200</v>
      </c>
      <c r="I186" s="55">
        <v>145.16</v>
      </c>
      <c r="J186" s="55">
        <v>0.05</v>
      </c>
      <c r="K186" s="55">
        <v>0.04</v>
      </c>
      <c r="L186" s="55">
        <v>0.01</v>
      </c>
      <c r="M186" s="55">
        <v>0.02</v>
      </c>
      <c r="N186" s="55"/>
    </row>
    <row r="187" spans="1:14">
      <c r="A187" s="55">
        <v>146</v>
      </c>
      <c r="B187" s="55" t="s">
        <v>1152</v>
      </c>
      <c r="C187" s="55" t="s">
        <v>20</v>
      </c>
      <c r="D187" s="22">
        <v>4</v>
      </c>
      <c r="E187" s="22">
        <v>0</v>
      </c>
      <c r="F187" s="22">
        <v>76</v>
      </c>
      <c r="G187" s="22">
        <v>0</v>
      </c>
      <c r="H187" s="55">
        <v>0</v>
      </c>
      <c r="I187" s="55">
        <v>0</v>
      </c>
      <c r="J187" s="55">
        <v>0.02</v>
      </c>
      <c r="K187" s="55">
        <v>0.04</v>
      </c>
      <c r="L187" s="55">
        <v>0</v>
      </c>
      <c r="M187" s="55">
        <v>0</v>
      </c>
      <c r="N187" s="55"/>
    </row>
    <row r="188" spans="1:14">
      <c r="A188" s="55">
        <v>147</v>
      </c>
      <c r="B188" s="55" t="s">
        <v>555</v>
      </c>
      <c r="C188" s="55" t="s">
        <v>20</v>
      </c>
      <c r="D188" s="22">
        <v>13</v>
      </c>
      <c r="E188" s="22">
        <v>26</v>
      </c>
      <c r="F188" s="22">
        <v>69</v>
      </c>
      <c r="G188" s="22">
        <v>156</v>
      </c>
      <c r="H188" s="55">
        <v>-50</v>
      </c>
      <c r="I188" s="55">
        <v>-55.77</v>
      </c>
      <c r="J188" s="55">
        <v>7.0000000000000007E-2</v>
      </c>
      <c r="K188" s="55">
        <v>0.04</v>
      </c>
      <c r="L188" s="55">
        <v>0.1</v>
      </c>
      <c r="M188" s="55">
        <v>0.1</v>
      </c>
      <c r="N188" s="55"/>
    </row>
    <row r="189" spans="1:14">
      <c r="A189" s="55">
        <v>148</v>
      </c>
      <c r="B189" s="55" t="s">
        <v>1009</v>
      </c>
      <c r="C189" s="55" t="s">
        <v>20</v>
      </c>
      <c r="D189" s="22">
        <v>2</v>
      </c>
      <c r="E189" s="22">
        <v>3</v>
      </c>
      <c r="F189" s="22">
        <v>69</v>
      </c>
      <c r="G189" s="22">
        <v>25</v>
      </c>
      <c r="H189" s="55">
        <v>-33.33</v>
      </c>
      <c r="I189" s="55">
        <v>176</v>
      </c>
      <c r="J189" s="55">
        <v>0.01</v>
      </c>
      <c r="K189" s="55">
        <v>0.04</v>
      </c>
      <c r="L189" s="55">
        <v>0.01</v>
      </c>
      <c r="M189" s="55">
        <v>0.02</v>
      </c>
      <c r="N189" s="55"/>
    </row>
    <row r="190" spans="1:14">
      <c r="A190" s="55">
        <v>149</v>
      </c>
      <c r="B190" s="55" t="s">
        <v>427</v>
      </c>
      <c r="C190" s="55" t="s">
        <v>19</v>
      </c>
      <c r="D190" s="22">
        <v>2</v>
      </c>
      <c r="E190" s="22">
        <v>9</v>
      </c>
      <c r="F190" s="22">
        <v>67</v>
      </c>
      <c r="G190" s="22">
        <v>93</v>
      </c>
      <c r="H190" s="55">
        <v>-77.78</v>
      </c>
      <c r="I190" s="55">
        <v>-27.96</v>
      </c>
      <c r="J190" s="55">
        <v>0.01</v>
      </c>
      <c r="K190" s="55">
        <v>0.04</v>
      </c>
      <c r="L190" s="55">
        <v>0.03</v>
      </c>
      <c r="M190" s="55">
        <v>0.06</v>
      </c>
      <c r="N190" s="55"/>
    </row>
    <row r="191" spans="1:14">
      <c r="A191" s="55">
        <v>150</v>
      </c>
      <c r="B191" s="55" t="s">
        <v>1022</v>
      </c>
      <c r="C191" s="55" t="s">
        <v>20</v>
      </c>
      <c r="D191" s="22">
        <v>4</v>
      </c>
      <c r="E191" s="22">
        <v>8</v>
      </c>
      <c r="F191" s="22">
        <v>65</v>
      </c>
      <c r="G191" s="22">
        <v>11</v>
      </c>
      <c r="H191" s="55">
        <v>-50</v>
      </c>
      <c r="I191" s="55">
        <v>490.91</v>
      </c>
      <c r="J191" s="55">
        <v>0.02</v>
      </c>
      <c r="K191" s="55">
        <v>0.04</v>
      </c>
      <c r="L191" s="55">
        <v>0.03</v>
      </c>
      <c r="M191" s="55">
        <v>0.01</v>
      </c>
      <c r="N191" s="55"/>
    </row>
    <row r="192" spans="1:14">
      <c r="A192" s="55">
        <v>151</v>
      </c>
      <c r="B192" s="55" t="s">
        <v>1126</v>
      </c>
      <c r="C192" s="55" t="s">
        <v>19</v>
      </c>
      <c r="D192" s="22">
        <v>2</v>
      </c>
      <c r="E192" s="22">
        <v>0</v>
      </c>
      <c r="F192" s="22">
        <v>64</v>
      </c>
      <c r="G192" s="22">
        <v>0</v>
      </c>
      <c r="H192" s="55">
        <v>0</v>
      </c>
      <c r="I192" s="55">
        <v>0</v>
      </c>
      <c r="J192" s="55">
        <v>0.01</v>
      </c>
      <c r="K192" s="55">
        <v>0.04</v>
      </c>
      <c r="L192" s="55">
        <v>0</v>
      </c>
      <c r="M192" s="55">
        <v>0</v>
      </c>
      <c r="N192" s="55"/>
    </row>
    <row r="193" spans="1:14">
      <c r="A193" s="55">
        <v>152</v>
      </c>
      <c r="B193" s="55" t="s">
        <v>1252</v>
      </c>
      <c r="C193" s="55" t="s">
        <v>20</v>
      </c>
      <c r="D193" s="22">
        <v>7</v>
      </c>
      <c r="E193" s="22">
        <v>0</v>
      </c>
      <c r="F193" s="22">
        <v>63</v>
      </c>
      <c r="G193" s="22">
        <v>0</v>
      </c>
      <c r="H193" s="55">
        <v>0</v>
      </c>
      <c r="I193" s="55">
        <v>0</v>
      </c>
      <c r="J193" s="55">
        <v>0.04</v>
      </c>
      <c r="K193" s="55">
        <v>0.04</v>
      </c>
      <c r="L193" s="55">
        <v>0</v>
      </c>
      <c r="M193" s="55">
        <v>0</v>
      </c>
      <c r="N193" s="55"/>
    </row>
    <row r="194" spans="1:14">
      <c r="A194" s="55">
        <v>153</v>
      </c>
      <c r="B194" s="55" t="s">
        <v>608</v>
      </c>
      <c r="C194" s="55" t="s">
        <v>19</v>
      </c>
      <c r="D194" s="22">
        <v>6</v>
      </c>
      <c r="E194" s="22">
        <v>4</v>
      </c>
      <c r="F194" s="22">
        <v>60</v>
      </c>
      <c r="G194" s="22">
        <v>71</v>
      </c>
      <c r="H194" s="55">
        <v>50</v>
      </c>
      <c r="I194" s="55">
        <v>-15.49</v>
      </c>
      <c r="J194" s="55">
        <v>0.03</v>
      </c>
      <c r="K194" s="55">
        <v>0.03</v>
      </c>
      <c r="L194" s="55">
        <v>0.02</v>
      </c>
      <c r="M194" s="55">
        <v>0.04</v>
      </c>
      <c r="N194" s="55"/>
    </row>
    <row r="195" spans="1:14">
      <c r="A195" s="55">
        <v>154</v>
      </c>
      <c r="B195" s="55" t="s">
        <v>1231</v>
      </c>
      <c r="C195" s="55" t="s">
        <v>20</v>
      </c>
      <c r="D195" s="22">
        <v>6</v>
      </c>
      <c r="E195" s="22">
        <v>0</v>
      </c>
      <c r="F195" s="22">
        <v>58</v>
      </c>
      <c r="G195" s="22">
        <v>0</v>
      </c>
      <c r="H195" s="55">
        <v>0</v>
      </c>
      <c r="I195" s="55">
        <v>0</v>
      </c>
      <c r="J195" s="55">
        <v>0.03</v>
      </c>
      <c r="K195" s="55">
        <v>0.03</v>
      </c>
      <c r="L195" s="55">
        <v>0</v>
      </c>
      <c r="M195" s="55">
        <v>0</v>
      </c>
      <c r="N195" s="55"/>
    </row>
    <row r="196" spans="1:14">
      <c r="A196" s="55">
        <v>155</v>
      </c>
      <c r="B196" s="55" t="s">
        <v>237</v>
      </c>
      <c r="C196" s="55" t="s">
        <v>19</v>
      </c>
      <c r="D196" s="22">
        <v>10</v>
      </c>
      <c r="E196" s="22">
        <v>0</v>
      </c>
      <c r="F196" s="22">
        <v>55</v>
      </c>
      <c r="G196" s="22">
        <v>23</v>
      </c>
      <c r="H196" s="62">
        <v>0</v>
      </c>
      <c r="I196" s="62">
        <v>139.13</v>
      </c>
      <c r="J196" s="62">
        <v>0.05</v>
      </c>
      <c r="K196" s="62">
        <v>0.03</v>
      </c>
      <c r="L196" s="62">
        <v>0</v>
      </c>
      <c r="M196" s="62">
        <v>0.01</v>
      </c>
      <c r="N196" s="55"/>
    </row>
    <row r="197" spans="1:14">
      <c r="A197" s="55">
        <v>156</v>
      </c>
      <c r="B197" s="55" t="s">
        <v>1218</v>
      </c>
      <c r="C197" s="55" t="s">
        <v>19</v>
      </c>
      <c r="D197" s="22">
        <v>2</v>
      </c>
      <c r="E197" s="22">
        <v>0</v>
      </c>
      <c r="F197" s="22">
        <v>55</v>
      </c>
      <c r="G197" s="22">
        <v>0</v>
      </c>
      <c r="H197" s="55">
        <v>0</v>
      </c>
      <c r="I197" s="55">
        <v>0</v>
      </c>
      <c r="J197" s="55">
        <v>0.01</v>
      </c>
      <c r="K197" s="55">
        <v>0.03</v>
      </c>
      <c r="L197" s="55">
        <v>0</v>
      </c>
      <c r="M197" s="55">
        <v>0</v>
      </c>
      <c r="N197" s="55"/>
    </row>
    <row r="198" spans="1:14">
      <c r="A198" s="55">
        <v>157</v>
      </c>
      <c r="B198" s="55" t="s">
        <v>550</v>
      </c>
      <c r="C198" s="55" t="s">
        <v>19</v>
      </c>
      <c r="D198" s="22">
        <v>1</v>
      </c>
      <c r="E198" s="22">
        <v>2</v>
      </c>
      <c r="F198" s="22">
        <v>54</v>
      </c>
      <c r="G198" s="22">
        <v>145</v>
      </c>
      <c r="H198" s="55">
        <v>-50</v>
      </c>
      <c r="I198" s="55">
        <v>-62.76</v>
      </c>
      <c r="J198" s="55">
        <v>0.01</v>
      </c>
      <c r="K198" s="55">
        <v>0.03</v>
      </c>
      <c r="L198" s="55">
        <v>0.01</v>
      </c>
      <c r="M198" s="55">
        <v>0.09</v>
      </c>
      <c r="N198" s="55"/>
    </row>
    <row r="199" spans="1:14">
      <c r="A199" s="55">
        <v>158</v>
      </c>
      <c r="B199" s="55" t="s">
        <v>1124</v>
      </c>
      <c r="C199" s="55" t="s">
        <v>20</v>
      </c>
      <c r="D199" s="22">
        <v>5</v>
      </c>
      <c r="E199" s="22">
        <v>0</v>
      </c>
      <c r="F199" s="22">
        <v>53</v>
      </c>
      <c r="G199" s="22">
        <v>0</v>
      </c>
      <c r="H199" s="55">
        <v>0</v>
      </c>
      <c r="I199" s="55">
        <v>0</v>
      </c>
      <c r="J199" s="55">
        <v>0.03</v>
      </c>
      <c r="K199" s="55">
        <v>0.03</v>
      </c>
      <c r="L199" s="55">
        <v>0</v>
      </c>
      <c r="M199" s="55">
        <v>0</v>
      </c>
      <c r="N199" s="55"/>
    </row>
    <row r="200" spans="1:14">
      <c r="A200" s="55">
        <v>159</v>
      </c>
      <c r="B200" s="55" t="s">
        <v>190</v>
      </c>
      <c r="C200" s="55" t="s">
        <v>19</v>
      </c>
      <c r="D200" s="22">
        <v>0</v>
      </c>
      <c r="E200" s="22">
        <v>0</v>
      </c>
      <c r="F200" s="22">
        <v>52</v>
      </c>
      <c r="G200" s="22">
        <v>0</v>
      </c>
      <c r="H200" s="55">
        <v>0</v>
      </c>
      <c r="I200" s="55">
        <v>0</v>
      </c>
      <c r="J200" s="55">
        <v>0</v>
      </c>
      <c r="K200" s="55">
        <v>0.03</v>
      </c>
      <c r="L200" s="55">
        <v>0</v>
      </c>
      <c r="M200" s="55">
        <v>0</v>
      </c>
      <c r="N200" s="55"/>
    </row>
    <row r="201" spans="1:14">
      <c r="A201" s="55">
        <v>160</v>
      </c>
      <c r="B201" s="55" t="s">
        <v>643</v>
      </c>
      <c r="C201" s="55" t="s">
        <v>20</v>
      </c>
      <c r="D201" s="22">
        <v>4</v>
      </c>
      <c r="E201" s="22">
        <v>13</v>
      </c>
      <c r="F201" s="22">
        <v>51</v>
      </c>
      <c r="G201" s="22">
        <v>111</v>
      </c>
      <c r="H201" s="55">
        <v>-69.23</v>
      </c>
      <c r="I201" s="55">
        <v>-54.05</v>
      </c>
      <c r="J201" s="55">
        <v>0.02</v>
      </c>
      <c r="K201" s="55">
        <v>0.03</v>
      </c>
      <c r="L201" s="55">
        <v>0.05</v>
      </c>
      <c r="M201" s="55">
        <v>7.0000000000000007E-2</v>
      </c>
      <c r="N201" s="55"/>
    </row>
    <row r="202" spans="1:14">
      <c r="A202" s="55">
        <v>161</v>
      </c>
      <c r="B202" s="55" t="s">
        <v>495</v>
      </c>
      <c r="C202" s="55" t="s">
        <v>20</v>
      </c>
      <c r="D202" s="22">
        <v>7</v>
      </c>
      <c r="E202" s="22">
        <v>2</v>
      </c>
      <c r="F202" s="22">
        <v>51</v>
      </c>
      <c r="G202" s="22">
        <v>86</v>
      </c>
      <c r="H202" s="55">
        <v>250</v>
      </c>
      <c r="I202" s="55">
        <v>-40.700000000000003</v>
      </c>
      <c r="J202" s="55">
        <v>0.04</v>
      </c>
      <c r="K202" s="55">
        <v>0.03</v>
      </c>
      <c r="L202" s="55">
        <v>0.01</v>
      </c>
      <c r="M202" s="55">
        <v>0.05</v>
      </c>
      <c r="N202" s="55"/>
    </row>
    <row r="203" spans="1:14">
      <c r="A203" s="55">
        <v>162</v>
      </c>
      <c r="B203" s="55" t="s">
        <v>646</v>
      </c>
      <c r="C203" s="55" t="s">
        <v>20</v>
      </c>
      <c r="D203" s="22">
        <v>0</v>
      </c>
      <c r="E203" s="22">
        <v>5</v>
      </c>
      <c r="F203" s="22">
        <v>49</v>
      </c>
      <c r="G203" s="22">
        <v>54</v>
      </c>
      <c r="H203" s="55">
        <v>-100</v>
      </c>
      <c r="I203" s="55">
        <v>-9.26</v>
      </c>
      <c r="J203" s="55">
        <v>0</v>
      </c>
      <c r="K203" s="55">
        <v>0.03</v>
      </c>
      <c r="L203" s="55">
        <v>0.02</v>
      </c>
      <c r="M203" s="55">
        <v>0.03</v>
      </c>
      <c r="N203" s="55"/>
    </row>
    <row r="204" spans="1:14">
      <c r="A204" s="55">
        <v>163</v>
      </c>
      <c r="B204" s="55" t="s">
        <v>434</v>
      </c>
      <c r="C204" s="55" t="s">
        <v>19</v>
      </c>
      <c r="D204" s="22">
        <v>18</v>
      </c>
      <c r="E204" s="22">
        <v>14</v>
      </c>
      <c r="F204" s="22">
        <v>46</v>
      </c>
      <c r="G204" s="22">
        <v>112</v>
      </c>
      <c r="H204" s="55">
        <v>28.57</v>
      </c>
      <c r="I204" s="55">
        <v>-58.93</v>
      </c>
      <c r="J204" s="55">
        <v>0.1</v>
      </c>
      <c r="K204" s="55">
        <v>0.03</v>
      </c>
      <c r="L204" s="55">
        <v>0.05</v>
      </c>
      <c r="M204" s="55">
        <v>7.0000000000000007E-2</v>
      </c>
      <c r="N204" s="55"/>
    </row>
    <row r="205" spans="1:14">
      <c r="A205" s="55">
        <v>164</v>
      </c>
      <c r="B205" s="55" t="s">
        <v>1153</v>
      </c>
      <c r="C205" s="55" t="s">
        <v>19</v>
      </c>
      <c r="D205" s="22">
        <v>27</v>
      </c>
      <c r="E205" s="22">
        <v>0</v>
      </c>
      <c r="F205" s="22">
        <v>46</v>
      </c>
      <c r="G205" s="22">
        <v>0</v>
      </c>
      <c r="H205" s="55">
        <v>0</v>
      </c>
      <c r="I205" s="55">
        <v>0</v>
      </c>
      <c r="J205" s="55">
        <v>0.15</v>
      </c>
      <c r="K205" s="55">
        <v>0.03</v>
      </c>
      <c r="L205" s="55">
        <v>0</v>
      </c>
      <c r="M205" s="55">
        <v>0</v>
      </c>
      <c r="N205" s="55"/>
    </row>
    <row r="206" spans="1:14">
      <c r="A206" s="135">
        <v>165</v>
      </c>
      <c r="B206" s="135" t="s">
        <v>1149</v>
      </c>
      <c r="C206" s="135" t="s">
        <v>20</v>
      </c>
      <c r="D206" s="142">
        <v>4</v>
      </c>
      <c r="E206" s="142">
        <v>0</v>
      </c>
      <c r="F206" s="142">
        <v>45</v>
      </c>
      <c r="G206" s="142">
        <v>3</v>
      </c>
      <c r="H206" s="135">
        <v>0</v>
      </c>
      <c r="I206" s="135">
        <v>1400</v>
      </c>
      <c r="J206" s="135">
        <v>0.02</v>
      </c>
      <c r="K206" s="135">
        <v>0.03</v>
      </c>
      <c r="L206" s="135">
        <v>0</v>
      </c>
      <c r="M206" s="135">
        <v>0</v>
      </c>
      <c r="N206" s="55"/>
    </row>
    <row r="207" spans="1:14">
      <c r="A207" s="135">
        <v>166</v>
      </c>
      <c r="B207" s="135" t="s">
        <v>1072</v>
      </c>
      <c r="C207" s="135" t="s">
        <v>20</v>
      </c>
      <c r="D207" s="142">
        <v>0</v>
      </c>
      <c r="E207" s="142">
        <v>0</v>
      </c>
      <c r="F207" s="142">
        <v>44</v>
      </c>
      <c r="G207" s="142">
        <v>0</v>
      </c>
      <c r="H207" s="135">
        <v>0</v>
      </c>
      <c r="I207" s="135">
        <v>0</v>
      </c>
      <c r="J207" s="135">
        <v>0</v>
      </c>
      <c r="K207" s="135">
        <v>0.03</v>
      </c>
      <c r="L207" s="135">
        <v>0</v>
      </c>
      <c r="M207" s="135">
        <v>0</v>
      </c>
      <c r="N207" s="55"/>
    </row>
    <row r="208" spans="1:14">
      <c r="A208" s="135">
        <v>167</v>
      </c>
      <c r="B208" s="135" t="s">
        <v>492</v>
      </c>
      <c r="C208" s="135" t="s">
        <v>19</v>
      </c>
      <c r="D208" s="142">
        <v>5</v>
      </c>
      <c r="E208" s="142">
        <v>3</v>
      </c>
      <c r="F208" s="142">
        <v>43</v>
      </c>
      <c r="G208" s="142">
        <v>12</v>
      </c>
      <c r="H208" s="135">
        <v>66.67</v>
      </c>
      <c r="I208" s="135">
        <v>258.33</v>
      </c>
      <c r="J208" s="135">
        <v>0.03</v>
      </c>
      <c r="K208" s="135">
        <v>0.02</v>
      </c>
      <c r="L208" s="135">
        <v>0.01</v>
      </c>
      <c r="M208" s="135">
        <v>0.01</v>
      </c>
      <c r="N208" s="55"/>
    </row>
    <row r="209" spans="1:14">
      <c r="A209" s="135">
        <v>168</v>
      </c>
      <c r="B209" s="135" t="s">
        <v>609</v>
      </c>
      <c r="C209" s="135" t="s">
        <v>20</v>
      </c>
      <c r="D209" s="142">
        <v>4</v>
      </c>
      <c r="E209" s="142">
        <v>3</v>
      </c>
      <c r="F209" s="142">
        <v>39</v>
      </c>
      <c r="G209" s="142">
        <v>24</v>
      </c>
      <c r="H209" s="135">
        <v>33.33</v>
      </c>
      <c r="I209" s="135">
        <v>62.5</v>
      </c>
      <c r="J209" s="135">
        <v>0.02</v>
      </c>
      <c r="K209" s="135">
        <v>0.02</v>
      </c>
      <c r="L209" s="135">
        <v>0.01</v>
      </c>
      <c r="M209" s="135">
        <v>0.01</v>
      </c>
      <c r="N209" s="55"/>
    </row>
    <row r="210" spans="1:14">
      <c r="A210" s="135">
        <v>169</v>
      </c>
      <c r="B210" s="135" t="s">
        <v>703</v>
      </c>
      <c r="C210" s="135" t="s">
        <v>20</v>
      </c>
      <c r="D210" s="142">
        <v>0</v>
      </c>
      <c r="E210" s="142">
        <v>13</v>
      </c>
      <c r="F210" s="142">
        <v>36</v>
      </c>
      <c r="G210" s="142">
        <v>38</v>
      </c>
      <c r="H210" s="135">
        <v>-100</v>
      </c>
      <c r="I210" s="135">
        <v>-5.26</v>
      </c>
      <c r="J210" s="135">
        <v>0</v>
      </c>
      <c r="K210" s="135">
        <v>0.02</v>
      </c>
      <c r="L210" s="135">
        <v>0.05</v>
      </c>
      <c r="M210" s="135">
        <v>0.02</v>
      </c>
      <c r="N210" s="55"/>
    </row>
    <row r="211" spans="1:14">
      <c r="A211" s="135">
        <v>170</v>
      </c>
      <c r="B211" s="135" t="s">
        <v>426</v>
      </c>
      <c r="C211" s="135" t="s">
        <v>19</v>
      </c>
      <c r="D211" s="142">
        <v>0</v>
      </c>
      <c r="E211" s="142">
        <v>10</v>
      </c>
      <c r="F211" s="142">
        <v>35</v>
      </c>
      <c r="G211" s="142">
        <v>132</v>
      </c>
      <c r="H211" s="135">
        <v>-100</v>
      </c>
      <c r="I211" s="135">
        <v>-73.48</v>
      </c>
      <c r="J211" s="135">
        <v>0</v>
      </c>
      <c r="K211" s="135">
        <v>0.02</v>
      </c>
      <c r="L211" s="135">
        <v>0.04</v>
      </c>
      <c r="M211" s="135">
        <v>0.08</v>
      </c>
      <c r="N211" s="55"/>
    </row>
    <row r="212" spans="1:14">
      <c r="A212" s="135">
        <v>171</v>
      </c>
      <c r="B212" s="135" t="s">
        <v>498</v>
      </c>
      <c r="C212" s="135" t="s">
        <v>20</v>
      </c>
      <c r="D212" s="142">
        <v>0</v>
      </c>
      <c r="E212" s="142">
        <v>14</v>
      </c>
      <c r="F212" s="142">
        <v>34</v>
      </c>
      <c r="G212" s="142">
        <v>113</v>
      </c>
      <c r="H212" s="135">
        <v>-100</v>
      </c>
      <c r="I212" s="135">
        <v>-69.91</v>
      </c>
      <c r="J212" s="135">
        <v>0</v>
      </c>
      <c r="K212" s="135">
        <v>0.02</v>
      </c>
      <c r="L212" s="135">
        <v>0.05</v>
      </c>
      <c r="M212" s="135">
        <v>7.0000000000000007E-2</v>
      </c>
      <c r="N212" s="55"/>
    </row>
    <row r="213" spans="1:14">
      <c r="A213" s="135">
        <v>172</v>
      </c>
      <c r="B213" s="135" t="s">
        <v>129</v>
      </c>
      <c r="C213" s="135" t="s">
        <v>19</v>
      </c>
      <c r="D213" s="142">
        <v>4</v>
      </c>
      <c r="E213" s="142">
        <v>4</v>
      </c>
      <c r="F213" s="142">
        <v>34</v>
      </c>
      <c r="G213" s="142">
        <v>100</v>
      </c>
      <c r="H213" s="135">
        <v>0</v>
      </c>
      <c r="I213" s="135">
        <v>-66</v>
      </c>
      <c r="J213" s="135">
        <v>0.02</v>
      </c>
      <c r="K213" s="135">
        <v>0.02</v>
      </c>
      <c r="L213" s="135">
        <v>0.02</v>
      </c>
      <c r="M213" s="135">
        <v>0.06</v>
      </c>
      <c r="N213" s="55"/>
    </row>
    <row r="214" spans="1:14">
      <c r="A214" s="135">
        <v>173</v>
      </c>
      <c r="B214" s="135" t="s">
        <v>1270</v>
      </c>
      <c r="C214" s="135" t="s">
        <v>20</v>
      </c>
      <c r="D214" s="142">
        <v>7</v>
      </c>
      <c r="E214" s="142">
        <v>0</v>
      </c>
      <c r="F214" s="142">
        <v>34</v>
      </c>
      <c r="G214" s="142">
        <v>0</v>
      </c>
      <c r="H214" s="135">
        <v>0</v>
      </c>
      <c r="I214" s="135">
        <v>0</v>
      </c>
      <c r="J214" s="135">
        <v>0.04</v>
      </c>
      <c r="K214" s="135">
        <v>0.02</v>
      </c>
      <c r="L214" s="135">
        <v>0</v>
      </c>
      <c r="M214" s="135">
        <v>0</v>
      </c>
      <c r="N214" s="55"/>
    </row>
    <row r="215" spans="1:14">
      <c r="A215" s="135">
        <v>174</v>
      </c>
      <c r="B215" s="135" t="s">
        <v>689</v>
      </c>
      <c r="C215" s="135" t="s">
        <v>19</v>
      </c>
      <c r="D215" s="142">
        <v>0</v>
      </c>
      <c r="E215" s="142">
        <v>1</v>
      </c>
      <c r="F215" s="142">
        <v>33</v>
      </c>
      <c r="G215" s="142">
        <v>15</v>
      </c>
      <c r="H215" s="137">
        <v>-100</v>
      </c>
      <c r="I215" s="137">
        <v>120</v>
      </c>
      <c r="J215" s="137">
        <v>0</v>
      </c>
      <c r="K215" s="137">
        <v>0.02</v>
      </c>
      <c r="L215" s="137">
        <v>0</v>
      </c>
      <c r="M215" s="137">
        <v>0.01</v>
      </c>
      <c r="N215" s="55"/>
    </row>
    <row r="216" spans="1:14">
      <c r="A216" s="135">
        <v>175</v>
      </c>
      <c r="B216" s="135" t="s">
        <v>701</v>
      </c>
      <c r="C216" s="135" t="s">
        <v>19</v>
      </c>
      <c r="D216" s="142">
        <v>0</v>
      </c>
      <c r="E216" s="142">
        <v>8</v>
      </c>
      <c r="F216" s="142">
        <v>32</v>
      </c>
      <c r="G216" s="142">
        <v>113</v>
      </c>
      <c r="H216" s="135">
        <v>-100</v>
      </c>
      <c r="I216" s="135">
        <v>-71.680000000000007</v>
      </c>
      <c r="J216" s="135">
        <v>0</v>
      </c>
      <c r="K216" s="135">
        <v>0.02</v>
      </c>
      <c r="L216" s="135">
        <v>0.03</v>
      </c>
      <c r="M216" s="135">
        <v>7.0000000000000007E-2</v>
      </c>
      <c r="N216" s="55"/>
    </row>
    <row r="217" spans="1:14">
      <c r="A217" s="135">
        <v>176</v>
      </c>
      <c r="B217" s="135" t="s">
        <v>594</v>
      </c>
      <c r="C217" s="135" t="s">
        <v>19</v>
      </c>
      <c r="D217" s="142">
        <v>3</v>
      </c>
      <c r="E217" s="142">
        <v>8</v>
      </c>
      <c r="F217" s="142">
        <v>31</v>
      </c>
      <c r="G217" s="142">
        <v>55</v>
      </c>
      <c r="H217" s="135">
        <v>-62.5</v>
      </c>
      <c r="I217" s="135">
        <v>-43.64</v>
      </c>
      <c r="J217" s="135">
        <v>0.02</v>
      </c>
      <c r="K217" s="135">
        <v>0.02</v>
      </c>
      <c r="L217" s="135">
        <v>0.03</v>
      </c>
      <c r="M217" s="135">
        <v>0.03</v>
      </c>
      <c r="N217" s="55"/>
    </row>
    <row r="218" spans="1:14">
      <c r="A218" s="135">
        <v>177</v>
      </c>
      <c r="B218" s="135" t="s">
        <v>139</v>
      </c>
      <c r="C218" s="135" t="s">
        <v>19</v>
      </c>
      <c r="D218" s="142">
        <v>0</v>
      </c>
      <c r="E218" s="142">
        <v>9</v>
      </c>
      <c r="F218" s="142">
        <v>30</v>
      </c>
      <c r="G218" s="142">
        <v>164</v>
      </c>
      <c r="H218" s="135">
        <v>-100</v>
      </c>
      <c r="I218" s="135">
        <v>-81.709999999999994</v>
      </c>
      <c r="J218" s="135">
        <v>0</v>
      </c>
      <c r="K218" s="135">
        <v>0.02</v>
      </c>
      <c r="L218" s="135">
        <v>0.03</v>
      </c>
      <c r="M218" s="135">
        <v>0.1</v>
      </c>
      <c r="N218" s="55"/>
    </row>
    <row r="219" spans="1:14">
      <c r="A219" s="135">
        <v>178</v>
      </c>
      <c r="B219" s="135" t="s">
        <v>986</v>
      </c>
      <c r="C219" s="135" t="s">
        <v>19</v>
      </c>
      <c r="D219" s="142">
        <v>0</v>
      </c>
      <c r="E219" s="142">
        <v>7</v>
      </c>
      <c r="F219" s="142">
        <v>30</v>
      </c>
      <c r="G219" s="142">
        <v>80</v>
      </c>
      <c r="H219" s="135">
        <v>-100</v>
      </c>
      <c r="I219" s="135">
        <v>-62.5</v>
      </c>
      <c r="J219" s="135">
        <v>0</v>
      </c>
      <c r="K219" s="135">
        <v>0.02</v>
      </c>
      <c r="L219" s="135">
        <v>0.03</v>
      </c>
      <c r="M219" s="135">
        <v>0.05</v>
      </c>
      <c r="N219" s="55"/>
    </row>
    <row r="220" spans="1:14">
      <c r="A220" s="135">
        <v>179</v>
      </c>
      <c r="B220" s="135" t="s">
        <v>419</v>
      </c>
      <c r="C220" s="135" t="s">
        <v>19</v>
      </c>
      <c r="D220" s="142">
        <v>2</v>
      </c>
      <c r="E220" s="142">
        <v>1</v>
      </c>
      <c r="F220" s="142">
        <v>30</v>
      </c>
      <c r="G220" s="142">
        <v>53</v>
      </c>
      <c r="H220" s="135">
        <v>100</v>
      </c>
      <c r="I220" s="135">
        <v>-43.4</v>
      </c>
      <c r="J220" s="135">
        <v>0.01</v>
      </c>
      <c r="K220" s="135">
        <v>0.02</v>
      </c>
      <c r="L220" s="135">
        <v>0</v>
      </c>
      <c r="M220" s="135">
        <v>0.03</v>
      </c>
      <c r="N220" s="55"/>
    </row>
    <row r="221" spans="1:14">
      <c r="A221" s="135">
        <v>180</v>
      </c>
      <c r="B221" s="135" t="s">
        <v>429</v>
      </c>
      <c r="C221" s="135" t="s">
        <v>20</v>
      </c>
      <c r="D221" s="142">
        <v>0</v>
      </c>
      <c r="E221" s="142">
        <v>11</v>
      </c>
      <c r="F221" s="142">
        <v>28</v>
      </c>
      <c r="G221" s="142">
        <v>43</v>
      </c>
      <c r="H221" s="135">
        <v>-100</v>
      </c>
      <c r="I221" s="135">
        <v>-34.880000000000003</v>
      </c>
      <c r="J221" s="135">
        <v>0</v>
      </c>
      <c r="K221" s="135">
        <v>0.02</v>
      </c>
      <c r="L221" s="135">
        <v>0.04</v>
      </c>
      <c r="M221" s="135">
        <v>0.03</v>
      </c>
      <c r="N221" s="55"/>
    </row>
    <row r="222" spans="1:14">
      <c r="A222" s="135">
        <v>181</v>
      </c>
      <c r="B222" s="135" t="s">
        <v>497</v>
      </c>
      <c r="C222" s="135" t="s">
        <v>19</v>
      </c>
      <c r="D222" s="142">
        <v>2</v>
      </c>
      <c r="E222" s="142">
        <v>3</v>
      </c>
      <c r="F222" s="142">
        <v>27</v>
      </c>
      <c r="G222" s="142">
        <v>25</v>
      </c>
      <c r="H222" s="135">
        <v>-33.33</v>
      </c>
      <c r="I222" s="135">
        <v>8</v>
      </c>
      <c r="J222" s="135">
        <v>0.01</v>
      </c>
      <c r="K222" s="135">
        <v>0.02</v>
      </c>
      <c r="L222" s="135">
        <v>0.01</v>
      </c>
      <c r="M222" s="135">
        <v>0.02</v>
      </c>
      <c r="N222" s="55"/>
    </row>
    <row r="223" spans="1:14">
      <c r="A223" s="135">
        <v>182</v>
      </c>
      <c r="B223" s="135" t="s">
        <v>1302</v>
      </c>
      <c r="C223" s="135" t="s">
        <v>19</v>
      </c>
      <c r="D223" s="142">
        <v>14</v>
      </c>
      <c r="E223" s="142">
        <v>0</v>
      </c>
      <c r="F223" s="142">
        <v>26</v>
      </c>
      <c r="G223" s="142">
        <v>0</v>
      </c>
      <c r="H223" s="135">
        <v>0</v>
      </c>
      <c r="I223" s="135">
        <v>0</v>
      </c>
      <c r="J223" s="135">
        <v>0.08</v>
      </c>
      <c r="K223" s="135">
        <v>0.02</v>
      </c>
      <c r="L223" s="135">
        <v>0</v>
      </c>
      <c r="M223" s="135">
        <v>0</v>
      </c>
      <c r="N223" s="55"/>
    </row>
    <row r="224" spans="1:14">
      <c r="A224" s="135">
        <v>183</v>
      </c>
      <c r="B224" s="135" t="s">
        <v>697</v>
      </c>
      <c r="C224" s="135" t="s">
        <v>19</v>
      </c>
      <c r="D224" s="142">
        <v>0</v>
      </c>
      <c r="E224" s="142">
        <v>8</v>
      </c>
      <c r="F224" s="142">
        <v>25</v>
      </c>
      <c r="G224" s="142">
        <v>17</v>
      </c>
      <c r="H224" s="135">
        <v>-100</v>
      </c>
      <c r="I224" s="135">
        <v>47.06</v>
      </c>
      <c r="J224" s="135">
        <v>0</v>
      </c>
      <c r="K224" s="135">
        <v>0.01</v>
      </c>
      <c r="L224" s="135">
        <v>0.03</v>
      </c>
      <c r="M224" s="135">
        <v>0.01</v>
      </c>
      <c r="N224" s="55"/>
    </row>
    <row r="225" spans="1:14">
      <c r="A225" s="135">
        <v>184</v>
      </c>
      <c r="B225" s="135" t="s">
        <v>398</v>
      </c>
      <c r="C225" s="135" t="s">
        <v>20</v>
      </c>
      <c r="D225" s="142">
        <v>0</v>
      </c>
      <c r="E225" s="142">
        <v>26</v>
      </c>
      <c r="F225" s="142">
        <v>23</v>
      </c>
      <c r="G225" s="142">
        <v>264</v>
      </c>
      <c r="H225" s="135">
        <v>-100</v>
      </c>
      <c r="I225" s="135">
        <v>-91.29</v>
      </c>
      <c r="J225" s="135">
        <v>0</v>
      </c>
      <c r="K225" s="135">
        <v>0.01</v>
      </c>
      <c r="L225" s="135">
        <v>0.1</v>
      </c>
      <c r="M225" s="135">
        <v>0.16</v>
      </c>
      <c r="N225" s="55"/>
    </row>
    <row r="226" spans="1:14">
      <c r="A226" s="135">
        <v>185</v>
      </c>
      <c r="B226" s="135" t="s">
        <v>1303</v>
      </c>
      <c r="C226" s="135" t="s">
        <v>19</v>
      </c>
      <c r="D226" s="142">
        <v>20</v>
      </c>
      <c r="E226" s="142">
        <v>0</v>
      </c>
      <c r="F226" s="142">
        <v>23</v>
      </c>
      <c r="G226" s="142">
        <v>0</v>
      </c>
      <c r="H226" s="135">
        <v>0</v>
      </c>
      <c r="I226" s="135">
        <v>0</v>
      </c>
      <c r="J226" s="135">
        <v>0.11</v>
      </c>
      <c r="K226" s="135">
        <v>0.01</v>
      </c>
      <c r="L226" s="135">
        <v>0</v>
      </c>
      <c r="M226" s="135">
        <v>0</v>
      </c>
      <c r="N226" s="55"/>
    </row>
    <row r="227" spans="1:14">
      <c r="A227" s="135">
        <v>186</v>
      </c>
      <c r="B227" s="135" t="s">
        <v>171</v>
      </c>
      <c r="C227" s="135" t="s">
        <v>19</v>
      </c>
      <c r="D227" s="142">
        <v>0</v>
      </c>
      <c r="E227" s="142">
        <v>2</v>
      </c>
      <c r="F227" s="142">
        <v>22</v>
      </c>
      <c r="G227" s="142">
        <v>37</v>
      </c>
      <c r="H227" s="135">
        <v>-100</v>
      </c>
      <c r="I227" s="135">
        <v>-40.54</v>
      </c>
      <c r="J227" s="135">
        <v>0</v>
      </c>
      <c r="K227" s="135">
        <v>0.01</v>
      </c>
      <c r="L227" s="135">
        <v>0.01</v>
      </c>
      <c r="M227" s="135">
        <v>0.02</v>
      </c>
      <c r="N227" s="55"/>
    </row>
    <row r="228" spans="1:14">
      <c r="A228" s="135">
        <v>187</v>
      </c>
      <c r="B228" s="135" t="s">
        <v>1314</v>
      </c>
      <c r="C228" s="135" t="s">
        <v>20</v>
      </c>
      <c r="D228" s="142">
        <v>12</v>
      </c>
      <c r="E228" s="142">
        <v>0</v>
      </c>
      <c r="F228" s="142">
        <v>22</v>
      </c>
      <c r="G228" s="142">
        <v>0</v>
      </c>
      <c r="H228" s="135">
        <v>0</v>
      </c>
      <c r="I228" s="135">
        <v>0</v>
      </c>
      <c r="J228" s="135">
        <v>0.06</v>
      </c>
      <c r="K228" s="135">
        <v>0.01</v>
      </c>
      <c r="L228" s="135">
        <v>0</v>
      </c>
      <c r="M228" s="135">
        <v>0</v>
      </c>
      <c r="N228" s="55"/>
    </row>
    <row r="229" spans="1:14">
      <c r="A229" s="135">
        <v>188</v>
      </c>
      <c r="B229" s="135" t="s">
        <v>1250</v>
      </c>
      <c r="C229" s="135" t="s">
        <v>20</v>
      </c>
      <c r="D229" s="142">
        <v>1</v>
      </c>
      <c r="E229" s="142">
        <v>0</v>
      </c>
      <c r="F229" s="142">
        <v>21</v>
      </c>
      <c r="G229" s="142">
        <v>0</v>
      </c>
      <c r="H229" s="135">
        <v>0</v>
      </c>
      <c r="I229" s="135">
        <v>0</v>
      </c>
      <c r="J229" s="135">
        <v>0.01</v>
      </c>
      <c r="K229" s="135">
        <v>0.01</v>
      </c>
      <c r="L229" s="135">
        <v>0</v>
      </c>
      <c r="M229" s="135">
        <v>0</v>
      </c>
      <c r="N229" s="55"/>
    </row>
    <row r="230" spans="1:14">
      <c r="A230" s="135">
        <v>189</v>
      </c>
      <c r="B230" s="135" t="s">
        <v>1219</v>
      </c>
      <c r="C230" s="135" t="s">
        <v>20</v>
      </c>
      <c r="D230" s="142">
        <v>0</v>
      </c>
      <c r="E230" s="142">
        <v>0</v>
      </c>
      <c r="F230" s="142">
        <v>21</v>
      </c>
      <c r="G230" s="142">
        <v>0</v>
      </c>
      <c r="H230" s="135">
        <v>0</v>
      </c>
      <c r="I230" s="135">
        <v>0</v>
      </c>
      <c r="J230" s="135">
        <v>0</v>
      </c>
      <c r="K230" s="135">
        <v>0.01</v>
      </c>
      <c r="L230" s="135">
        <v>0</v>
      </c>
      <c r="M230" s="135">
        <v>0</v>
      </c>
      <c r="N230" s="55"/>
    </row>
    <row r="231" spans="1:14">
      <c r="A231" s="135">
        <v>190</v>
      </c>
      <c r="B231" s="135" t="s">
        <v>386</v>
      </c>
      <c r="C231" s="135" t="s">
        <v>20</v>
      </c>
      <c r="D231" s="142">
        <v>2</v>
      </c>
      <c r="E231" s="142">
        <v>22</v>
      </c>
      <c r="F231" s="142">
        <v>20</v>
      </c>
      <c r="G231" s="142">
        <v>118</v>
      </c>
      <c r="H231" s="135">
        <v>-90.91</v>
      </c>
      <c r="I231" s="135">
        <v>-83.05</v>
      </c>
      <c r="J231" s="135">
        <v>0.01</v>
      </c>
      <c r="K231" s="135">
        <v>0.01</v>
      </c>
      <c r="L231" s="135">
        <v>0.08</v>
      </c>
      <c r="M231" s="135">
        <v>7.0000000000000007E-2</v>
      </c>
      <c r="N231" s="55"/>
    </row>
    <row r="232" spans="1:14">
      <c r="A232" s="135">
        <v>191</v>
      </c>
      <c r="B232" s="135" t="s">
        <v>1225</v>
      </c>
      <c r="C232" s="135" t="s">
        <v>20</v>
      </c>
      <c r="D232" s="142">
        <v>0</v>
      </c>
      <c r="E232" s="142">
        <v>0</v>
      </c>
      <c r="F232" s="142">
        <v>20</v>
      </c>
      <c r="G232" s="142">
        <v>0</v>
      </c>
      <c r="H232" s="135">
        <v>0</v>
      </c>
      <c r="I232" s="135">
        <v>0</v>
      </c>
      <c r="J232" s="135">
        <v>0</v>
      </c>
      <c r="K232" s="135">
        <v>0.01</v>
      </c>
      <c r="L232" s="135">
        <v>0</v>
      </c>
      <c r="M232" s="135">
        <v>0</v>
      </c>
      <c r="N232" s="55"/>
    </row>
    <row r="233" spans="1:14">
      <c r="A233" s="135">
        <v>192</v>
      </c>
      <c r="B233" s="135" t="s">
        <v>1034</v>
      </c>
      <c r="C233" s="135" t="s">
        <v>20</v>
      </c>
      <c r="D233" s="142">
        <v>1</v>
      </c>
      <c r="E233" s="142">
        <v>7</v>
      </c>
      <c r="F233" s="142">
        <v>19</v>
      </c>
      <c r="G233" s="142">
        <v>7</v>
      </c>
      <c r="H233" s="135">
        <v>-85.71</v>
      </c>
      <c r="I233" s="135">
        <v>171.43</v>
      </c>
      <c r="J233" s="135">
        <v>0.01</v>
      </c>
      <c r="K233" s="135">
        <v>0.01</v>
      </c>
      <c r="L233" s="135">
        <v>0.03</v>
      </c>
      <c r="M233" s="135">
        <v>0</v>
      </c>
      <c r="N233" s="55"/>
    </row>
    <row r="234" spans="1:14">
      <c r="A234" s="135">
        <v>193</v>
      </c>
      <c r="B234" s="135" t="s">
        <v>1080</v>
      </c>
      <c r="C234" s="135" t="s">
        <v>20</v>
      </c>
      <c r="D234" s="142">
        <v>0</v>
      </c>
      <c r="E234" s="142">
        <v>0</v>
      </c>
      <c r="F234" s="142">
        <v>19</v>
      </c>
      <c r="G234" s="142">
        <v>0</v>
      </c>
      <c r="H234" s="135">
        <v>0</v>
      </c>
      <c r="I234" s="135">
        <v>0</v>
      </c>
      <c r="J234" s="135">
        <v>0</v>
      </c>
      <c r="K234" s="135">
        <v>0.01</v>
      </c>
      <c r="L234" s="135">
        <v>0</v>
      </c>
      <c r="M234" s="135">
        <v>0</v>
      </c>
      <c r="N234" s="55"/>
    </row>
    <row r="235" spans="1:14">
      <c r="A235" s="135">
        <v>194</v>
      </c>
      <c r="B235" s="135" t="s">
        <v>1267</v>
      </c>
      <c r="C235" s="135" t="s">
        <v>20</v>
      </c>
      <c r="D235" s="142">
        <v>1</v>
      </c>
      <c r="E235" s="142">
        <v>0</v>
      </c>
      <c r="F235" s="142">
        <v>18</v>
      </c>
      <c r="G235" s="142">
        <v>0</v>
      </c>
      <c r="H235" s="135">
        <v>0</v>
      </c>
      <c r="I235" s="135">
        <v>0</v>
      </c>
      <c r="J235" s="135">
        <v>0.01</v>
      </c>
      <c r="K235" s="135">
        <v>0.01</v>
      </c>
      <c r="L235" s="135">
        <v>0</v>
      </c>
      <c r="M235" s="135">
        <v>0</v>
      </c>
      <c r="N235" s="55"/>
    </row>
    <row r="236" spans="1:14">
      <c r="A236" s="135">
        <v>195</v>
      </c>
      <c r="B236" s="135" t="s">
        <v>1095</v>
      </c>
      <c r="C236" s="135" t="s">
        <v>20</v>
      </c>
      <c r="D236" s="142">
        <v>1</v>
      </c>
      <c r="E236" s="142">
        <v>2</v>
      </c>
      <c r="F236" s="142">
        <v>17</v>
      </c>
      <c r="G236" s="142">
        <v>15</v>
      </c>
      <c r="H236" s="135">
        <v>-50</v>
      </c>
      <c r="I236" s="135">
        <v>13.33</v>
      </c>
      <c r="J236" s="135">
        <v>0.01</v>
      </c>
      <c r="K236" s="135">
        <v>0.01</v>
      </c>
      <c r="L236" s="135">
        <v>0.01</v>
      </c>
      <c r="M236" s="135">
        <v>0.01</v>
      </c>
      <c r="N236" s="55"/>
    </row>
    <row r="237" spans="1:14">
      <c r="A237" s="135">
        <v>196</v>
      </c>
      <c r="B237" s="135" t="s">
        <v>1211</v>
      </c>
      <c r="C237" s="135" t="s">
        <v>19</v>
      </c>
      <c r="D237" s="142">
        <v>1</v>
      </c>
      <c r="E237" s="142">
        <v>0</v>
      </c>
      <c r="F237" s="142">
        <v>17</v>
      </c>
      <c r="G237" s="142">
        <v>0</v>
      </c>
      <c r="H237" s="135">
        <v>0</v>
      </c>
      <c r="I237" s="135">
        <v>0</v>
      </c>
      <c r="J237" s="135">
        <v>0.01</v>
      </c>
      <c r="K237" s="135">
        <v>0.01</v>
      </c>
      <c r="L237" s="135">
        <v>0</v>
      </c>
      <c r="M237" s="135">
        <v>0</v>
      </c>
      <c r="N237" s="55"/>
    </row>
    <row r="238" spans="1:14">
      <c r="A238" s="135">
        <v>197</v>
      </c>
      <c r="B238" s="135" t="s">
        <v>232</v>
      </c>
      <c r="C238" s="135" t="s">
        <v>19</v>
      </c>
      <c r="D238" s="142">
        <v>1</v>
      </c>
      <c r="E238" s="142">
        <v>0</v>
      </c>
      <c r="F238" s="142">
        <v>15</v>
      </c>
      <c r="G238" s="142">
        <v>33</v>
      </c>
      <c r="H238" s="135">
        <v>0</v>
      </c>
      <c r="I238" s="135">
        <v>-54.55</v>
      </c>
      <c r="J238" s="135">
        <v>0.01</v>
      </c>
      <c r="K238" s="135">
        <v>0.01</v>
      </c>
      <c r="L238" s="135">
        <v>0</v>
      </c>
      <c r="M238" s="135">
        <v>0.02</v>
      </c>
      <c r="N238" s="55"/>
    </row>
    <row r="239" spans="1:14">
      <c r="A239" s="135">
        <v>198</v>
      </c>
      <c r="B239" s="135" t="s">
        <v>1077</v>
      </c>
      <c r="C239" s="135" t="s">
        <v>20</v>
      </c>
      <c r="D239" s="142">
        <v>0</v>
      </c>
      <c r="E239" s="142">
        <v>1</v>
      </c>
      <c r="F239" s="142">
        <v>15</v>
      </c>
      <c r="G239" s="142">
        <v>19</v>
      </c>
      <c r="H239" s="135">
        <v>-100</v>
      </c>
      <c r="I239" s="135">
        <v>-21.05</v>
      </c>
      <c r="J239" s="135">
        <v>0</v>
      </c>
      <c r="K239" s="135">
        <v>0.01</v>
      </c>
      <c r="L239" s="135">
        <v>0</v>
      </c>
      <c r="M239" s="135">
        <v>0.01</v>
      </c>
      <c r="N239" s="55"/>
    </row>
    <row r="240" spans="1:14">
      <c r="A240" s="135">
        <v>199</v>
      </c>
      <c r="B240" s="135" t="s">
        <v>1155</v>
      </c>
      <c r="C240" s="135" t="s">
        <v>19</v>
      </c>
      <c r="D240" s="142">
        <v>3</v>
      </c>
      <c r="E240" s="142">
        <v>0</v>
      </c>
      <c r="F240" s="142">
        <v>15</v>
      </c>
      <c r="G240" s="142">
        <v>0</v>
      </c>
      <c r="H240" s="135">
        <v>0</v>
      </c>
      <c r="I240" s="135">
        <v>0</v>
      </c>
      <c r="J240" s="135">
        <v>0.02</v>
      </c>
      <c r="K240" s="135">
        <v>0.01</v>
      </c>
      <c r="L240" s="135">
        <v>0</v>
      </c>
      <c r="M240" s="135">
        <v>0</v>
      </c>
      <c r="N240" s="55"/>
    </row>
    <row r="241" spans="1:14">
      <c r="A241" s="135">
        <v>200</v>
      </c>
      <c r="B241" s="135" t="s">
        <v>421</v>
      </c>
      <c r="C241" s="135" t="s">
        <v>19</v>
      </c>
      <c r="D241" s="142">
        <v>2</v>
      </c>
      <c r="E241" s="142">
        <v>2</v>
      </c>
      <c r="F241" s="142">
        <v>14</v>
      </c>
      <c r="G241" s="142">
        <v>34</v>
      </c>
      <c r="H241" s="135">
        <v>0</v>
      </c>
      <c r="I241" s="135">
        <v>-58.82</v>
      </c>
      <c r="J241" s="135">
        <v>0.01</v>
      </c>
      <c r="K241" s="135">
        <v>0.01</v>
      </c>
      <c r="L241" s="135">
        <v>0.01</v>
      </c>
      <c r="M241" s="135">
        <v>0.02</v>
      </c>
      <c r="N241" s="55"/>
    </row>
    <row r="242" spans="1:14">
      <c r="A242" s="135">
        <v>201</v>
      </c>
      <c r="B242" s="135" t="s">
        <v>494</v>
      </c>
      <c r="C242" s="135" t="s">
        <v>19</v>
      </c>
      <c r="D242" s="142">
        <v>3</v>
      </c>
      <c r="E242" s="142">
        <v>1</v>
      </c>
      <c r="F242" s="142">
        <v>13</v>
      </c>
      <c r="G242" s="142">
        <v>42</v>
      </c>
      <c r="H242" s="135">
        <v>200</v>
      </c>
      <c r="I242" s="135">
        <v>-69.05</v>
      </c>
      <c r="J242" s="135">
        <v>0.02</v>
      </c>
      <c r="K242" s="135">
        <v>0.01</v>
      </c>
      <c r="L242" s="135">
        <v>0</v>
      </c>
      <c r="M242" s="135">
        <v>0.03</v>
      </c>
      <c r="N242" s="55"/>
    </row>
    <row r="243" spans="1:14">
      <c r="A243" s="135">
        <v>202</v>
      </c>
      <c r="B243" s="135" t="s">
        <v>389</v>
      </c>
      <c r="C243" s="135" t="s">
        <v>19</v>
      </c>
      <c r="D243" s="142">
        <v>1</v>
      </c>
      <c r="E243" s="142">
        <v>0</v>
      </c>
      <c r="F243" s="142">
        <v>12</v>
      </c>
      <c r="G243" s="142">
        <v>8</v>
      </c>
      <c r="H243" s="135">
        <v>0</v>
      </c>
      <c r="I243" s="135">
        <v>50</v>
      </c>
      <c r="J243" s="135">
        <v>0.01</v>
      </c>
      <c r="K243" s="135">
        <v>0.01</v>
      </c>
      <c r="L243" s="135">
        <v>0</v>
      </c>
      <c r="M243" s="135">
        <v>0</v>
      </c>
      <c r="N243" s="55"/>
    </row>
    <row r="244" spans="1:14">
      <c r="A244" s="135">
        <v>203</v>
      </c>
      <c r="B244" s="135" t="s">
        <v>381</v>
      </c>
      <c r="C244" s="135" t="s">
        <v>19</v>
      </c>
      <c r="D244" s="142">
        <v>10</v>
      </c>
      <c r="E244" s="142">
        <v>0</v>
      </c>
      <c r="F244" s="142">
        <v>10</v>
      </c>
      <c r="G244" s="142">
        <v>10</v>
      </c>
      <c r="H244" s="135">
        <v>0</v>
      </c>
      <c r="I244" s="135">
        <v>0</v>
      </c>
      <c r="J244" s="135">
        <v>0.05</v>
      </c>
      <c r="K244" s="135">
        <v>0.01</v>
      </c>
      <c r="L244" s="135">
        <v>0</v>
      </c>
      <c r="M244" s="135">
        <v>0.01</v>
      </c>
      <c r="N244" s="55"/>
    </row>
    <row r="245" spans="1:14">
      <c r="A245" s="135">
        <v>204</v>
      </c>
      <c r="B245" s="135" t="s">
        <v>359</v>
      </c>
      <c r="C245" s="135" t="s">
        <v>19</v>
      </c>
      <c r="D245" s="142">
        <v>0</v>
      </c>
      <c r="E245" s="142">
        <v>2</v>
      </c>
      <c r="F245" s="142">
        <v>9</v>
      </c>
      <c r="G245" s="142">
        <v>16</v>
      </c>
      <c r="H245" s="135">
        <v>-100</v>
      </c>
      <c r="I245" s="135">
        <v>-43.75</v>
      </c>
      <c r="J245" s="135">
        <v>0</v>
      </c>
      <c r="K245" s="135">
        <v>0.01</v>
      </c>
      <c r="L245" s="135">
        <v>0.01</v>
      </c>
      <c r="M245" s="135">
        <v>0.01</v>
      </c>
      <c r="N245" s="55"/>
    </row>
    <row r="246" spans="1:14">
      <c r="A246" s="135">
        <v>205</v>
      </c>
      <c r="B246" s="135" t="s">
        <v>377</v>
      </c>
      <c r="C246" s="135" t="s">
        <v>19</v>
      </c>
      <c r="D246" s="142">
        <v>0</v>
      </c>
      <c r="E246" s="142">
        <v>8</v>
      </c>
      <c r="F246" s="142">
        <v>6</v>
      </c>
      <c r="G246" s="142">
        <v>93</v>
      </c>
      <c r="H246" s="135">
        <v>-100</v>
      </c>
      <c r="I246" s="135">
        <v>-93.55</v>
      </c>
      <c r="J246" s="135">
        <v>0</v>
      </c>
      <c r="K246" s="135">
        <v>0</v>
      </c>
      <c r="L246" s="135">
        <v>0.03</v>
      </c>
      <c r="M246" s="135">
        <v>0.06</v>
      </c>
      <c r="N246" s="55"/>
    </row>
    <row r="247" spans="1:14">
      <c r="A247" s="135">
        <v>206</v>
      </c>
      <c r="B247" s="135" t="s">
        <v>1091</v>
      </c>
      <c r="C247" s="135" t="s">
        <v>19</v>
      </c>
      <c r="D247" s="142">
        <v>1</v>
      </c>
      <c r="E247" s="142">
        <v>1</v>
      </c>
      <c r="F247" s="142">
        <v>6</v>
      </c>
      <c r="G247" s="142">
        <v>4</v>
      </c>
      <c r="H247" s="135">
        <v>0</v>
      </c>
      <c r="I247" s="135">
        <v>50</v>
      </c>
      <c r="J247" s="135">
        <v>0.01</v>
      </c>
      <c r="K247" s="135">
        <v>0</v>
      </c>
      <c r="L247" s="135">
        <v>0</v>
      </c>
      <c r="M247" s="135">
        <v>0</v>
      </c>
      <c r="N247" s="55"/>
    </row>
    <row r="248" spans="1:14">
      <c r="A248" s="135">
        <v>207</v>
      </c>
      <c r="B248" s="135" t="s">
        <v>1269</v>
      </c>
      <c r="C248" s="135" t="s">
        <v>20</v>
      </c>
      <c r="D248" s="142">
        <v>1</v>
      </c>
      <c r="E248" s="142">
        <v>0</v>
      </c>
      <c r="F248" s="142">
        <v>6</v>
      </c>
      <c r="G248" s="142">
        <v>0</v>
      </c>
      <c r="H248" s="135">
        <v>0</v>
      </c>
      <c r="I248" s="135">
        <v>0</v>
      </c>
      <c r="J248" s="135">
        <v>0.01</v>
      </c>
      <c r="K248" s="135">
        <v>0</v>
      </c>
      <c r="L248" s="135">
        <v>0</v>
      </c>
      <c r="M248" s="135">
        <v>0</v>
      </c>
      <c r="N248" s="55"/>
    </row>
    <row r="249" spans="1:14">
      <c r="A249" s="135">
        <v>208</v>
      </c>
      <c r="B249" s="135" t="s">
        <v>1212</v>
      </c>
      <c r="C249" s="135" t="s">
        <v>19</v>
      </c>
      <c r="D249" s="142">
        <v>4</v>
      </c>
      <c r="E249" s="142">
        <v>0</v>
      </c>
      <c r="F249" s="142">
        <v>5</v>
      </c>
      <c r="G249" s="142">
        <v>0</v>
      </c>
      <c r="H249" s="135">
        <v>0</v>
      </c>
      <c r="I249" s="135">
        <v>0</v>
      </c>
      <c r="J249" s="135">
        <v>0.02</v>
      </c>
      <c r="K249" s="135">
        <v>0</v>
      </c>
      <c r="L249" s="135">
        <v>0</v>
      </c>
      <c r="M249" s="135">
        <v>0</v>
      </c>
      <c r="N249" s="55"/>
    </row>
    <row r="250" spans="1:14">
      <c r="A250" s="135">
        <v>209</v>
      </c>
      <c r="B250" s="135" t="s">
        <v>1248</v>
      </c>
      <c r="C250" s="135" t="s">
        <v>20</v>
      </c>
      <c r="D250" s="142">
        <v>0</v>
      </c>
      <c r="E250" s="142">
        <v>0</v>
      </c>
      <c r="F250" s="142">
        <v>5</v>
      </c>
      <c r="G250" s="142">
        <v>0</v>
      </c>
      <c r="H250" s="135">
        <v>0</v>
      </c>
      <c r="I250" s="135">
        <v>0</v>
      </c>
      <c r="J250" s="135">
        <v>0</v>
      </c>
      <c r="K250" s="135">
        <v>0</v>
      </c>
      <c r="L250" s="135">
        <v>0</v>
      </c>
      <c r="M250" s="135">
        <v>0</v>
      </c>
      <c r="N250" s="55"/>
    </row>
    <row r="251" spans="1:14">
      <c r="A251" s="135">
        <v>210</v>
      </c>
      <c r="B251" s="135" t="s">
        <v>1058</v>
      </c>
      <c r="C251" s="135" t="s">
        <v>19</v>
      </c>
      <c r="D251" s="142">
        <v>1</v>
      </c>
      <c r="E251" s="142">
        <v>0</v>
      </c>
      <c r="F251" s="142">
        <v>5</v>
      </c>
      <c r="G251" s="142">
        <v>0</v>
      </c>
      <c r="H251" s="135">
        <v>0</v>
      </c>
      <c r="I251" s="135">
        <v>0</v>
      </c>
      <c r="J251" s="135">
        <v>0.01</v>
      </c>
      <c r="K251" s="135">
        <v>0</v>
      </c>
      <c r="L251" s="135">
        <v>0</v>
      </c>
      <c r="M251" s="135">
        <v>0</v>
      </c>
      <c r="N251" s="55"/>
    </row>
    <row r="252" spans="1:14">
      <c r="A252" s="135">
        <v>211</v>
      </c>
      <c r="B252" s="135" t="s">
        <v>1092</v>
      </c>
      <c r="C252" s="135" t="s">
        <v>19</v>
      </c>
      <c r="D252" s="142">
        <v>0</v>
      </c>
      <c r="E252" s="142">
        <v>0</v>
      </c>
      <c r="F252" s="142">
        <v>5</v>
      </c>
      <c r="G252" s="142">
        <v>0</v>
      </c>
      <c r="H252" s="135">
        <v>0</v>
      </c>
      <c r="I252" s="135">
        <v>0</v>
      </c>
      <c r="J252" s="135">
        <v>0</v>
      </c>
      <c r="K252" s="135">
        <v>0</v>
      </c>
      <c r="L252" s="135">
        <v>0</v>
      </c>
      <c r="M252" s="135">
        <v>0</v>
      </c>
      <c r="N252" s="55"/>
    </row>
    <row r="253" spans="1:14">
      <c r="A253" s="135">
        <v>212</v>
      </c>
      <c r="B253" s="135" t="s">
        <v>433</v>
      </c>
      <c r="C253" s="135" t="s">
        <v>19</v>
      </c>
      <c r="D253" s="142">
        <v>0</v>
      </c>
      <c r="E253" s="142">
        <v>0</v>
      </c>
      <c r="F253" s="142">
        <v>4</v>
      </c>
      <c r="G253" s="142">
        <v>8</v>
      </c>
      <c r="H253" s="135">
        <v>0</v>
      </c>
      <c r="I253" s="135">
        <v>-50</v>
      </c>
      <c r="J253" s="135">
        <v>0</v>
      </c>
      <c r="K253" s="135">
        <v>0</v>
      </c>
      <c r="L253" s="135">
        <v>0</v>
      </c>
      <c r="M253" s="135">
        <v>0</v>
      </c>
      <c r="N253" s="55"/>
    </row>
    <row r="254" spans="1:14">
      <c r="A254" s="135">
        <v>213</v>
      </c>
      <c r="B254" s="135" t="s">
        <v>1094</v>
      </c>
      <c r="C254" s="135" t="s">
        <v>19</v>
      </c>
      <c r="D254" s="142">
        <v>1</v>
      </c>
      <c r="E254" s="142">
        <v>0</v>
      </c>
      <c r="F254" s="142">
        <v>4</v>
      </c>
      <c r="G254" s="142">
        <v>5</v>
      </c>
      <c r="H254" s="135">
        <v>0</v>
      </c>
      <c r="I254" s="135">
        <v>-20</v>
      </c>
      <c r="J254" s="135">
        <v>0.01</v>
      </c>
      <c r="K254" s="135">
        <v>0</v>
      </c>
      <c r="L254" s="135">
        <v>0</v>
      </c>
      <c r="M254" s="135">
        <v>0</v>
      </c>
      <c r="N254" s="55"/>
    </row>
    <row r="255" spans="1:14">
      <c r="A255" s="135">
        <v>214</v>
      </c>
      <c r="B255" s="135" t="s">
        <v>1251</v>
      </c>
      <c r="C255" s="135" t="s">
        <v>20</v>
      </c>
      <c r="D255" s="142">
        <v>1</v>
      </c>
      <c r="E255" s="142">
        <v>0</v>
      </c>
      <c r="F255" s="142">
        <v>4</v>
      </c>
      <c r="G255" s="142">
        <v>0</v>
      </c>
      <c r="H255" s="135">
        <v>0</v>
      </c>
      <c r="I255" s="135">
        <v>0</v>
      </c>
      <c r="J255" s="135">
        <v>0.01</v>
      </c>
      <c r="K255" s="135">
        <v>0</v>
      </c>
      <c r="L255" s="135">
        <v>0</v>
      </c>
      <c r="M255" s="135">
        <v>0</v>
      </c>
      <c r="N255" s="55"/>
    </row>
    <row r="256" spans="1:14">
      <c r="A256" s="135">
        <v>215</v>
      </c>
      <c r="B256" s="135" t="s">
        <v>1146</v>
      </c>
      <c r="C256" s="135" t="s">
        <v>20</v>
      </c>
      <c r="D256" s="142">
        <v>1</v>
      </c>
      <c r="E256" s="142">
        <v>0</v>
      </c>
      <c r="F256" s="142">
        <v>4</v>
      </c>
      <c r="G256" s="142">
        <v>0</v>
      </c>
      <c r="H256" s="135">
        <v>0</v>
      </c>
      <c r="I256" s="135">
        <v>0</v>
      </c>
      <c r="J256" s="135">
        <v>0.01</v>
      </c>
      <c r="K256" s="135">
        <v>0</v>
      </c>
      <c r="L256" s="135">
        <v>0</v>
      </c>
      <c r="M256" s="135">
        <v>0</v>
      </c>
      <c r="N256" s="55"/>
    </row>
    <row r="257" spans="1:14">
      <c r="A257" s="135">
        <v>216</v>
      </c>
      <c r="B257" s="135" t="s">
        <v>140</v>
      </c>
      <c r="C257" s="135" t="s">
        <v>19</v>
      </c>
      <c r="D257" s="142">
        <v>0</v>
      </c>
      <c r="E257" s="142">
        <v>2</v>
      </c>
      <c r="F257" s="142">
        <v>3</v>
      </c>
      <c r="G257" s="142">
        <v>107</v>
      </c>
      <c r="H257" s="135">
        <v>-100</v>
      </c>
      <c r="I257" s="135">
        <v>-97.2</v>
      </c>
      <c r="J257" s="135">
        <v>0</v>
      </c>
      <c r="K257" s="135">
        <v>0</v>
      </c>
      <c r="L257" s="135">
        <v>0.01</v>
      </c>
      <c r="M257" s="135">
        <v>7.0000000000000007E-2</v>
      </c>
      <c r="N257" s="55"/>
    </row>
    <row r="258" spans="1:14">
      <c r="A258" s="135">
        <v>217</v>
      </c>
      <c r="B258" s="135" t="s">
        <v>551</v>
      </c>
      <c r="C258" s="135" t="s">
        <v>19</v>
      </c>
      <c r="D258" s="142">
        <v>0</v>
      </c>
      <c r="E258" s="142">
        <v>2</v>
      </c>
      <c r="F258" s="142">
        <v>3</v>
      </c>
      <c r="G258" s="142">
        <v>7</v>
      </c>
      <c r="H258" s="135">
        <v>-100</v>
      </c>
      <c r="I258" s="135">
        <v>-57.14</v>
      </c>
      <c r="J258" s="135">
        <v>0</v>
      </c>
      <c r="K258" s="135">
        <v>0</v>
      </c>
      <c r="L258" s="135">
        <v>0.01</v>
      </c>
      <c r="M258" s="135">
        <v>0</v>
      </c>
      <c r="N258" s="55"/>
    </row>
    <row r="259" spans="1:14">
      <c r="A259" s="135">
        <v>218</v>
      </c>
      <c r="B259" s="135" t="s">
        <v>1154</v>
      </c>
      <c r="C259" s="135" t="s">
        <v>20</v>
      </c>
      <c r="D259" s="142">
        <v>0</v>
      </c>
      <c r="E259" s="142">
        <v>2</v>
      </c>
      <c r="F259" s="142">
        <v>3</v>
      </c>
      <c r="G259" s="142">
        <v>3</v>
      </c>
      <c r="H259" s="135">
        <v>-100</v>
      </c>
      <c r="I259" s="135">
        <v>0</v>
      </c>
      <c r="J259" s="135">
        <v>0</v>
      </c>
      <c r="K259" s="135">
        <v>0</v>
      </c>
      <c r="L259" s="135">
        <v>0.01</v>
      </c>
      <c r="M259" s="135">
        <v>0</v>
      </c>
      <c r="N259" s="55"/>
    </row>
    <row r="260" spans="1:14">
      <c r="A260" s="135">
        <v>219</v>
      </c>
      <c r="B260" s="135" t="s">
        <v>1098</v>
      </c>
      <c r="C260" s="135" t="s">
        <v>19</v>
      </c>
      <c r="D260" s="142">
        <v>0</v>
      </c>
      <c r="E260" s="142">
        <v>0</v>
      </c>
      <c r="F260" s="142">
        <v>3</v>
      </c>
      <c r="G260" s="142">
        <v>2</v>
      </c>
      <c r="H260" s="135">
        <v>0</v>
      </c>
      <c r="I260" s="135">
        <v>50</v>
      </c>
      <c r="J260" s="135">
        <v>0</v>
      </c>
      <c r="K260" s="135">
        <v>0</v>
      </c>
      <c r="L260" s="135">
        <v>0</v>
      </c>
      <c r="M260" s="135">
        <v>0</v>
      </c>
      <c r="N260" s="55"/>
    </row>
    <row r="261" spans="1:14">
      <c r="A261" s="135">
        <v>220</v>
      </c>
      <c r="B261" s="135" t="s">
        <v>1184</v>
      </c>
      <c r="C261" s="135" t="s">
        <v>19</v>
      </c>
      <c r="D261" s="142">
        <v>0</v>
      </c>
      <c r="E261" s="142">
        <v>0</v>
      </c>
      <c r="F261" s="142">
        <v>3</v>
      </c>
      <c r="G261" s="142">
        <v>0</v>
      </c>
      <c r="H261" s="135">
        <v>0</v>
      </c>
      <c r="I261" s="135">
        <v>0</v>
      </c>
      <c r="J261" s="135">
        <v>0</v>
      </c>
      <c r="K261" s="135">
        <v>0</v>
      </c>
      <c r="L261" s="135">
        <v>0</v>
      </c>
      <c r="M261" s="135">
        <v>0</v>
      </c>
      <c r="N261" s="55"/>
    </row>
    <row r="262" spans="1:14">
      <c r="A262" s="135">
        <v>221</v>
      </c>
      <c r="B262" s="135" t="s">
        <v>230</v>
      </c>
      <c r="C262" s="135" t="s">
        <v>20</v>
      </c>
      <c r="D262" s="142">
        <v>0</v>
      </c>
      <c r="E262" s="142">
        <v>5</v>
      </c>
      <c r="F262" s="142">
        <v>2</v>
      </c>
      <c r="G262" s="142">
        <v>1872</v>
      </c>
      <c r="H262" s="135">
        <v>-100</v>
      </c>
      <c r="I262" s="135">
        <v>-99.89</v>
      </c>
      <c r="J262" s="135">
        <v>0</v>
      </c>
      <c r="K262" s="135">
        <v>0</v>
      </c>
      <c r="L262" s="135">
        <v>0.02</v>
      </c>
      <c r="M262" s="135">
        <v>1.1599999999999999</v>
      </c>
      <c r="N262" s="55"/>
    </row>
    <row r="263" spans="1:14">
      <c r="A263" s="135">
        <v>222</v>
      </c>
      <c r="B263" s="135" t="s">
        <v>1096</v>
      </c>
      <c r="C263" s="135" t="s">
        <v>19</v>
      </c>
      <c r="D263" s="142">
        <v>0</v>
      </c>
      <c r="E263" s="142">
        <v>0</v>
      </c>
      <c r="F263" s="142">
        <v>2</v>
      </c>
      <c r="G263" s="142">
        <v>66</v>
      </c>
      <c r="H263" s="135">
        <v>0</v>
      </c>
      <c r="I263" s="135">
        <v>-96.97</v>
      </c>
      <c r="J263" s="135">
        <v>0</v>
      </c>
      <c r="K263" s="135">
        <v>0</v>
      </c>
      <c r="L263" s="135">
        <v>0</v>
      </c>
      <c r="M263" s="135">
        <v>0.04</v>
      </c>
    </row>
    <row r="264" spans="1:14">
      <c r="A264" s="135">
        <v>223</v>
      </c>
      <c r="B264" s="135" t="s">
        <v>669</v>
      </c>
      <c r="C264" s="135" t="s">
        <v>19</v>
      </c>
      <c r="D264" s="142">
        <v>0</v>
      </c>
      <c r="E264" s="142">
        <v>1</v>
      </c>
      <c r="F264" s="142">
        <v>2</v>
      </c>
      <c r="G264" s="142">
        <v>17</v>
      </c>
      <c r="H264" s="135">
        <v>-100</v>
      </c>
      <c r="I264" s="135">
        <v>-88.24</v>
      </c>
      <c r="J264" s="135">
        <v>0</v>
      </c>
      <c r="K264" s="135">
        <v>0</v>
      </c>
      <c r="L264" s="135">
        <v>0</v>
      </c>
      <c r="M264" s="135">
        <v>0.01</v>
      </c>
    </row>
    <row r="265" spans="1:14">
      <c r="A265" s="135">
        <v>224</v>
      </c>
      <c r="B265" s="135" t="s">
        <v>486</v>
      </c>
      <c r="C265" s="135" t="s">
        <v>239</v>
      </c>
      <c r="D265" s="142">
        <v>0</v>
      </c>
      <c r="E265" s="142">
        <v>0</v>
      </c>
      <c r="F265" s="142">
        <v>2</v>
      </c>
      <c r="G265" s="142">
        <v>2</v>
      </c>
      <c r="H265" s="135">
        <v>0</v>
      </c>
      <c r="I265" s="135">
        <v>0</v>
      </c>
      <c r="J265" s="135">
        <v>0</v>
      </c>
      <c r="K265" s="135">
        <v>0</v>
      </c>
      <c r="L265" s="135">
        <v>0</v>
      </c>
      <c r="M265" s="135">
        <v>0</v>
      </c>
    </row>
    <row r="266" spans="1:14">
      <c r="A266" s="135">
        <v>225</v>
      </c>
      <c r="B266" s="135" t="s">
        <v>170</v>
      </c>
      <c r="C266" s="135" t="s">
        <v>19</v>
      </c>
      <c r="D266" s="142">
        <v>1</v>
      </c>
      <c r="E266" s="142">
        <v>0</v>
      </c>
      <c r="F266" s="142">
        <v>2</v>
      </c>
      <c r="G266" s="142">
        <v>2</v>
      </c>
      <c r="H266" s="135">
        <v>0</v>
      </c>
      <c r="I266" s="135">
        <v>0</v>
      </c>
      <c r="J266" s="135">
        <v>0.01</v>
      </c>
      <c r="K266" s="135">
        <v>0</v>
      </c>
      <c r="L266" s="135">
        <v>0</v>
      </c>
      <c r="M266" s="135">
        <v>0</v>
      </c>
    </row>
    <row r="267" spans="1:14">
      <c r="A267" s="135">
        <v>226</v>
      </c>
      <c r="B267" s="135" t="s">
        <v>1131</v>
      </c>
      <c r="C267" s="135" t="s">
        <v>19</v>
      </c>
      <c r="D267" s="142">
        <v>0</v>
      </c>
      <c r="E267" s="142">
        <v>0</v>
      </c>
      <c r="F267" s="142">
        <v>2</v>
      </c>
      <c r="G267" s="142">
        <v>0</v>
      </c>
      <c r="H267" s="135">
        <v>0</v>
      </c>
      <c r="I267" s="135">
        <v>0</v>
      </c>
      <c r="J267" s="135">
        <v>0</v>
      </c>
      <c r="K267" s="135">
        <v>0</v>
      </c>
      <c r="L267" s="135">
        <v>0</v>
      </c>
      <c r="M267" s="135">
        <v>0</v>
      </c>
    </row>
    <row r="268" spans="1:14">
      <c r="A268" s="135">
        <v>227</v>
      </c>
      <c r="B268" s="135" t="s">
        <v>420</v>
      </c>
      <c r="C268" s="135" t="s">
        <v>19</v>
      </c>
      <c r="D268" s="142">
        <v>0</v>
      </c>
      <c r="E268" s="142">
        <v>1</v>
      </c>
      <c r="F268" s="142">
        <v>1</v>
      </c>
      <c r="G268" s="142">
        <v>222</v>
      </c>
      <c r="H268" s="135">
        <v>-100</v>
      </c>
      <c r="I268" s="135">
        <v>-99.55</v>
      </c>
      <c r="J268" s="135">
        <v>0</v>
      </c>
      <c r="K268" s="135">
        <v>0</v>
      </c>
      <c r="L268" s="135">
        <v>0</v>
      </c>
      <c r="M268" s="135">
        <v>0.14000000000000001</v>
      </c>
    </row>
    <row r="269" spans="1:14">
      <c r="A269" s="135">
        <v>228</v>
      </c>
      <c r="B269" s="135" t="s">
        <v>1093</v>
      </c>
      <c r="C269" s="135" t="s">
        <v>19</v>
      </c>
      <c r="D269" s="142">
        <v>0</v>
      </c>
      <c r="E269" s="142">
        <v>1</v>
      </c>
      <c r="F269" s="142">
        <v>1</v>
      </c>
      <c r="G269" s="142">
        <v>87</v>
      </c>
      <c r="H269" s="135">
        <v>-100</v>
      </c>
      <c r="I269" s="135">
        <v>-98.85</v>
      </c>
      <c r="J269" s="135">
        <v>0</v>
      </c>
      <c r="K269" s="135">
        <v>0</v>
      </c>
      <c r="L269" s="135">
        <v>0</v>
      </c>
      <c r="M269" s="135">
        <v>0.05</v>
      </c>
    </row>
    <row r="270" spans="1:14">
      <c r="A270" s="135">
        <v>229</v>
      </c>
      <c r="B270" s="135" t="s">
        <v>1220</v>
      </c>
      <c r="C270" s="135" t="s">
        <v>20</v>
      </c>
      <c r="D270" s="142">
        <v>0</v>
      </c>
      <c r="E270" s="142">
        <v>0</v>
      </c>
      <c r="F270" s="142">
        <v>1</v>
      </c>
      <c r="G270" s="142">
        <v>0</v>
      </c>
      <c r="H270" s="135">
        <v>0</v>
      </c>
      <c r="I270" s="135">
        <v>0</v>
      </c>
      <c r="J270" s="135">
        <v>0</v>
      </c>
      <c r="K270" s="135">
        <v>0</v>
      </c>
      <c r="L270" s="135">
        <v>0</v>
      </c>
      <c r="M270" s="135">
        <v>0</v>
      </c>
    </row>
    <row r="271" spans="1:14">
      <c r="A271" s="135">
        <v>230</v>
      </c>
      <c r="B271" s="135" t="s">
        <v>1275</v>
      </c>
      <c r="C271" s="135" t="s">
        <v>20</v>
      </c>
      <c r="D271" s="142">
        <v>0</v>
      </c>
      <c r="E271" s="142">
        <v>0</v>
      </c>
      <c r="F271" s="142">
        <v>1</v>
      </c>
      <c r="G271" s="142">
        <v>0</v>
      </c>
      <c r="H271" s="135">
        <v>0</v>
      </c>
      <c r="I271" s="135">
        <v>0</v>
      </c>
      <c r="J271" s="135">
        <v>0</v>
      </c>
      <c r="K271" s="135">
        <v>0</v>
      </c>
      <c r="L271" s="135">
        <v>0</v>
      </c>
      <c r="M271" s="135">
        <v>0</v>
      </c>
    </row>
    <row r="272" spans="1:14">
      <c r="A272" s="135">
        <v>231</v>
      </c>
      <c r="B272" s="135" t="s">
        <v>558</v>
      </c>
      <c r="C272" s="135" t="s">
        <v>20</v>
      </c>
      <c r="D272" s="142">
        <v>0</v>
      </c>
      <c r="E272" s="142">
        <v>0</v>
      </c>
      <c r="F272" s="142">
        <v>0</v>
      </c>
      <c r="G272" s="142">
        <v>62</v>
      </c>
      <c r="H272" s="135">
        <v>0</v>
      </c>
      <c r="I272" s="135">
        <v>-100</v>
      </c>
      <c r="J272" s="135">
        <v>0</v>
      </c>
      <c r="K272" s="135">
        <v>0</v>
      </c>
      <c r="L272" s="135">
        <v>0</v>
      </c>
      <c r="M272" s="135">
        <v>0.04</v>
      </c>
    </row>
    <row r="273" spans="1:13">
      <c r="A273" s="135">
        <v>232</v>
      </c>
      <c r="B273" s="135" t="s">
        <v>233</v>
      </c>
      <c r="C273" s="135" t="s">
        <v>19</v>
      </c>
      <c r="D273" s="142">
        <v>0</v>
      </c>
      <c r="E273" s="142">
        <v>0</v>
      </c>
      <c r="F273" s="142">
        <v>0</v>
      </c>
      <c r="G273" s="142">
        <v>45</v>
      </c>
      <c r="H273" s="135">
        <v>0</v>
      </c>
      <c r="I273" s="135">
        <v>-100</v>
      </c>
      <c r="J273" s="135">
        <v>0</v>
      </c>
      <c r="K273" s="135">
        <v>0</v>
      </c>
      <c r="L273" s="135">
        <v>0</v>
      </c>
      <c r="M273" s="135">
        <v>0.03</v>
      </c>
    </row>
    <row r="274" spans="1:13">
      <c r="A274" s="135">
        <v>233</v>
      </c>
      <c r="B274" s="135" t="s">
        <v>349</v>
      </c>
      <c r="C274" s="135" t="s">
        <v>19</v>
      </c>
      <c r="D274" s="142">
        <v>0</v>
      </c>
      <c r="E274" s="142">
        <v>0</v>
      </c>
      <c r="F274" s="142">
        <v>0</v>
      </c>
      <c r="G274" s="142">
        <v>11</v>
      </c>
      <c r="H274" s="135">
        <v>0</v>
      </c>
      <c r="I274" s="135">
        <v>-100</v>
      </c>
      <c r="J274" s="135">
        <v>0</v>
      </c>
      <c r="K274" s="135">
        <v>0</v>
      </c>
      <c r="L274" s="135">
        <v>0</v>
      </c>
      <c r="M274" s="135">
        <v>0.01</v>
      </c>
    </row>
    <row r="275" spans="1:13">
      <c r="A275" s="135">
        <v>234</v>
      </c>
      <c r="B275" s="135" t="s">
        <v>204</v>
      </c>
      <c r="C275" s="135" t="s">
        <v>19</v>
      </c>
      <c r="D275" s="142">
        <v>0</v>
      </c>
      <c r="E275" s="142">
        <v>0</v>
      </c>
      <c r="F275" s="142">
        <v>0</v>
      </c>
      <c r="G275" s="142">
        <v>8</v>
      </c>
      <c r="H275" s="135">
        <v>0</v>
      </c>
      <c r="I275" s="135">
        <v>-100</v>
      </c>
      <c r="J275" s="135">
        <v>0</v>
      </c>
      <c r="K275" s="135">
        <v>0</v>
      </c>
      <c r="L275" s="135">
        <v>0</v>
      </c>
      <c r="M275" s="135">
        <v>0</v>
      </c>
    </row>
    <row r="276" spans="1:13">
      <c r="A276" s="135">
        <v>235</v>
      </c>
      <c r="B276" s="135" t="s">
        <v>402</v>
      </c>
      <c r="C276" s="135" t="s">
        <v>1059</v>
      </c>
      <c r="D276" s="142">
        <v>0</v>
      </c>
      <c r="E276" s="142">
        <v>0</v>
      </c>
      <c r="F276" s="142">
        <v>0</v>
      </c>
      <c r="G276" s="142">
        <v>8</v>
      </c>
      <c r="H276" s="135">
        <v>0</v>
      </c>
      <c r="I276" s="135">
        <v>-100</v>
      </c>
      <c r="J276" s="135">
        <v>0</v>
      </c>
      <c r="K276" s="135">
        <v>0</v>
      </c>
      <c r="L276" s="135">
        <v>0</v>
      </c>
      <c r="M276" s="135">
        <v>0</v>
      </c>
    </row>
    <row r="277" spans="1:13">
      <c r="A277" s="135">
        <v>236</v>
      </c>
      <c r="B277" s="135" t="s">
        <v>1148</v>
      </c>
      <c r="C277" s="135" t="s">
        <v>20</v>
      </c>
      <c r="D277" s="142">
        <v>0</v>
      </c>
      <c r="E277" s="142">
        <v>0</v>
      </c>
      <c r="F277" s="142">
        <v>0</v>
      </c>
      <c r="G277" s="142">
        <v>7</v>
      </c>
      <c r="H277" s="135">
        <v>0</v>
      </c>
      <c r="I277" s="135">
        <v>-100</v>
      </c>
      <c r="J277" s="135">
        <v>0</v>
      </c>
      <c r="K277" s="135">
        <v>0</v>
      </c>
      <c r="L277" s="135">
        <v>0</v>
      </c>
      <c r="M277" s="135">
        <v>0</v>
      </c>
    </row>
    <row r="278" spans="1:13">
      <c r="A278" s="135">
        <v>237</v>
      </c>
      <c r="B278" s="135" t="s">
        <v>1156</v>
      </c>
      <c r="C278" s="135" t="s">
        <v>19</v>
      </c>
      <c r="D278" s="142">
        <v>0</v>
      </c>
      <c r="E278" s="142">
        <v>0</v>
      </c>
      <c r="F278" s="142">
        <v>0</v>
      </c>
      <c r="G278" s="142">
        <v>7</v>
      </c>
      <c r="H278" s="135">
        <v>0</v>
      </c>
      <c r="I278" s="135">
        <v>-100</v>
      </c>
      <c r="J278" s="135">
        <v>0</v>
      </c>
      <c r="K278" s="135">
        <v>0</v>
      </c>
      <c r="L278" s="135">
        <v>0</v>
      </c>
      <c r="M278" s="135">
        <v>0</v>
      </c>
    </row>
    <row r="279" spans="1:13">
      <c r="A279" s="135">
        <v>238</v>
      </c>
      <c r="B279" s="135" t="s">
        <v>1132</v>
      </c>
      <c r="C279" s="135" t="s">
        <v>19</v>
      </c>
      <c r="D279" s="142">
        <v>0</v>
      </c>
      <c r="E279" s="142">
        <v>0</v>
      </c>
      <c r="F279" s="142">
        <v>0</v>
      </c>
      <c r="G279" s="142">
        <v>4</v>
      </c>
      <c r="H279" s="135">
        <v>0</v>
      </c>
      <c r="I279" s="135">
        <v>-100</v>
      </c>
      <c r="J279" s="135">
        <v>0</v>
      </c>
      <c r="K279" s="135">
        <v>0</v>
      </c>
      <c r="L279" s="135">
        <v>0</v>
      </c>
      <c r="M279" s="135">
        <v>0</v>
      </c>
    </row>
    <row r="280" spans="1:13">
      <c r="A280" s="135">
        <v>239</v>
      </c>
      <c r="B280" s="135" t="s">
        <v>1097</v>
      </c>
      <c r="C280" s="135" t="s">
        <v>19</v>
      </c>
      <c r="D280" s="142">
        <v>0</v>
      </c>
      <c r="E280" s="142">
        <v>0</v>
      </c>
      <c r="F280" s="142">
        <v>0</v>
      </c>
      <c r="G280" s="142">
        <v>3</v>
      </c>
      <c r="H280" s="135">
        <v>0</v>
      </c>
      <c r="I280" s="135">
        <v>-100</v>
      </c>
      <c r="J280" s="135">
        <v>0</v>
      </c>
      <c r="K280" s="135">
        <v>0</v>
      </c>
      <c r="L280" s="135">
        <v>0</v>
      </c>
      <c r="M280" s="135">
        <v>0</v>
      </c>
    </row>
    <row r="281" spans="1:13">
      <c r="A281" s="135">
        <v>240</v>
      </c>
      <c r="B281" s="135" t="s">
        <v>1213</v>
      </c>
      <c r="C281" s="135" t="s">
        <v>239</v>
      </c>
      <c r="D281" s="142">
        <v>0</v>
      </c>
      <c r="E281" s="142">
        <v>0</v>
      </c>
      <c r="F281" s="142">
        <v>0</v>
      </c>
      <c r="G281" s="142">
        <v>2</v>
      </c>
      <c r="H281" s="135">
        <v>0</v>
      </c>
      <c r="I281" s="135">
        <v>-100</v>
      </c>
      <c r="J281" s="135">
        <v>0</v>
      </c>
      <c r="K281" s="135">
        <v>0</v>
      </c>
      <c r="L281" s="135">
        <v>0</v>
      </c>
      <c r="M281" s="135">
        <v>0</v>
      </c>
    </row>
    <row r="282" spans="1:13">
      <c r="A282" s="135">
        <v>241</v>
      </c>
      <c r="B282" s="135" t="s">
        <v>436</v>
      </c>
      <c r="C282" s="135" t="s">
        <v>20</v>
      </c>
      <c r="D282" s="142">
        <v>44</v>
      </c>
      <c r="E282" s="142">
        <v>90</v>
      </c>
      <c r="F282" s="142">
        <v>234</v>
      </c>
      <c r="G282" s="142">
        <v>286</v>
      </c>
      <c r="H282" s="135">
        <v>-51.11</v>
      </c>
      <c r="I282" s="135">
        <v>-18.18</v>
      </c>
      <c r="J282" s="135">
        <v>0.24</v>
      </c>
      <c r="K282" s="135">
        <v>0.14000000000000001</v>
      </c>
      <c r="L282" s="135">
        <v>0.34</v>
      </c>
      <c r="M282" s="135">
        <v>0.18</v>
      </c>
    </row>
    <row r="283" spans="1:13">
      <c r="A283" s="135"/>
      <c r="B283" s="135" t="s">
        <v>454</v>
      </c>
      <c r="C283" s="135"/>
      <c r="D283" s="142">
        <f>SUBTOTAL(109,getAggRechargeModels[antalPerioden])</f>
        <v>18474</v>
      </c>
      <c r="E283" s="142">
        <f>SUBTOTAL(109,getAggRechargeModels[antalFGPeriod])</f>
        <v>26464</v>
      </c>
      <c r="F283" s="142">
        <f>SUBTOTAL(109,getAggRechargeModels[antalÅret])</f>
        <v>173140</v>
      </c>
      <c r="G283" s="142">
        <f>SUBTOTAL(109,getAggRechargeModels[antalFGAr])</f>
        <v>161651</v>
      </c>
      <c r="H283" s="137">
        <f>IF(getAggRechargeModels[[#Totals],[antalFGPeriod]] &gt;0,(getAggRechargeModels[[#Totals],[antalPerioden]] - getAggRechargeModels[[#Totals],[antalFGPeriod]] ) / getAggRechargeModels[[#Totals],[antalFGPeriod]] *100,0)</f>
        <v>-30.191958887545344</v>
      </c>
      <c r="I283" s="137">
        <f>IF(getAggRechargeModels[[#Totals],[antalFGAr]] &gt; 0,( getAggRechargeModels[[#Totals],[antalÅret]] - getAggRechargeModels[[#Totals],[antalFGAr]] ) / getAggRechargeModels[[#Totals],[antalFGAr]] * 100,0)</f>
        <v>7.1072866855138539</v>
      </c>
      <c r="J283" s="143">
        <f>IF(getAggModelsPB[[#Totals],[antalPerioden]] &gt; 0,getAggRechargeModels[[#Totals],[antalPerioden]]  / getAggModelsPB[[#Totals],[antalPerioden]] * 100,0)</f>
        <v>63.107194097151051</v>
      </c>
      <c r="K283" s="143">
        <f>IF(getAggModelsPB[[#Totals],[antalÅret]] &gt; 0,getAggRechargeModels[[#Totals],[antalÅret]]  / getAggModelsPB[[#Totals],[antalÅret]] * 100,0)</f>
        <v>59.77249581413011</v>
      </c>
      <c r="L283" s="143">
        <f>IF(getAggModelsPB[[#Totals],[antalFGPeriod]] &gt; 0,getAggRechargeModels[[#Totals],[antalFGPeriod]]  / getAggModelsPB[[#Totals],[antalFGPeriod]] * 100,0)</f>
        <v>74.596910587439396</v>
      </c>
      <c r="M283" s="143">
        <f>IF(getAggModelsPB[[#Totals],[antalFGAr]] &gt; 0,getAggRechargeModels[[#Totals],[antalFGAr]]  / getAggModelsPB[[#Totals],[antalFGAr]] * 100,0)</f>
        <v>56.11186898402218</v>
      </c>
    </row>
    <row r="287" spans="1:13">
      <c r="A287" t="s">
        <v>677</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85"/>
  <sheetViews>
    <sheetView workbookViewId="0">
      <selection activeCell="P28" sqref="P28"/>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612</v>
      </c>
      <c r="P2" s="66"/>
      <c r="Q2" s="66"/>
      <c r="R2" s="66"/>
      <c r="S2" s="66"/>
      <c r="T2" s="9"/>
      <c r="U2" s="9"/>
    </row>
    <row r="3" spans="15:21">
      <c r="O3" s="25" t="s">
        <v>613</v>
      </c>
      <c r="P3" s="25"/>
      <c r="Q3" s="25"/>
      <c r="R3" s="25"/>
      <c r="S3" s="25"/>
      <c r="T3" s="25"/>
    </row>
    <row r="4" spans="15:21">
      <c r="O4" s="6"/>
      <c r="P4" s="6"/>
      <c r="Q4" s="16"/>
      <c r="R4" s="16"/>
      <c r="S4" s="16"/>
      <c r="T4" s="16"/>
    </row>
    <row r="5" spans="15:21" ht="16" thickBot="1">
      <c r="O5" s="19" t="s">
        <v>455</v>
      </c>
      <c r="P5" s="19">
        <v>2021</v>
      </c>
      <c r="Q5" s="19">
        <v>2022</v>
      </c>
      <c r="R5" s="19">
        <v>2023</v>
      </c>
      <c r="S5" s="25"/>
      <c r="T5" s="25"/>
    </row>
    <row r="6" spans="15:21">
      <c r="O6" s="16" t="s">
        <v>2</v>
      </c>
      <c r="P6" s="30">
        <v>1106</v>
      </c>
      <c r="Q6" s="30">
        <v>5159</v>
      </c>
      <c r="R6" s="30">
        <v>4203</v>
      </c>
      <c r="S6" s="25"/>
      <c r="T6" s="25"/>
    </row>
    <row r="7" spans="15:21">
      <c r="O7" s="16" t="s">
        <v>3</v>
      </c>
      <c r="P7" s="31">
        <v>1394</v>
      </c>
      <c r="Q7" s="31">
        <v>5413</v>
      </c>
      <c r="R7" s="31">
        <v>6124</v>
      </c>
      <c r="S7" s="25"/>
      <c r="T7" s="25"/>
    </row>
    <row r="8" spans="15:21">
      <c r="O8" s="16" t="s">
        <v>4</v>
      </c>
      <c r="P8" s="34">
        <v>2609</v>
      </c>
      <c r="Q8" s="34">
        <v>9142</v>
      </c>
      <c r="R8" s="34">
        <v>12577</v>
      </c>
      <c r="S8" s="25"/>
      <c r="T8" s="25"/>
    </row>
    <row r="9" spans="15:21">
      <c r="O9" s="16" t="s">
        <v>5</v>
      </c>
      <c r="P9" s="31">
        <v>4869</v>
      </c>
      <c r="Q9" s="31">
        <v>5421</v>
      </c>
      <c r="R9" s="31">
        <v>6928</v>
      </c>
      <c r="S9" s="25"/>
      <c r="T9" s="25"/>
    </row>
    <row r="10" spans="15:21">
      <c r="O10" s="16" t="s">
        <v>6</v>
      </c>
      <c r="P10" s="34">
        <v>3953</v>
      </c>
      <c r="Q10" s="34">
        <v>6383</v>
      </c>
      <c r="R10" s="34">
        <v>11657</v>
      </c>
      <c r="S10" s="25"/>
      <c r="T10" s="25"/>
    </row>
    <row r="11" spans="15:21">
      <c r="O11" s="16" t="s">
        <v>7</v>
      </c>
      <c r="P11" s="31">
        <v>8687</v>
      </c>
      <c r="Q11" s="31">
        <v>8237</v>
      </c>
      <c r="R11" s="31">
        <v>10956</v>
      </c>
      <c r="S11" s="25"/>
      <c r="T11" s="25"/>
    </row>
    <row r="12" spans="15:21">
      <c r="O12" s="16" t="s">
        <v>8</v>
      </c>
      <c r="P12" s="34">
        <v>2535</v>
      </c>
      <c r="Q12" s="34">
        <v>4677</v>
      </c>
      <c r="R12" s="34">
        <v>6487</v>
      </c>
      <c r="S12" s="25"/>
      <c r="T12" s="25"/>
    </row>
    <row r="13" spans="15:21">
      <c r="O13" s="16" t="s">
        <v>9</v>
      </c>
      <c r="P13" s="34">
        <v>4781</v>
      </c>
      <c r="Q13" s="34">
        <v>5813</v>
      </c>
      <c r="R13" s="34">
        <v>9784</v>
      </c>
      <c r="S13" s="25"/>
      <c r="T13" s="25"/>
    </row>
    <row r="14" spans="15:21">
      <c r="O14" s="16" t="s">
        <v>10</v>
      </c>
      <c r="P14" s="34">
        <v>7454</v>
      </c>
      <c r="Q14" s="34">
        <v>7777</v>
      </c>
      <c r="R14" s="34">
        <v>12500</v>
      </c>
      <c r="S14" s="25"/>
      <c r="T14" s="25"/>
    </row>
    <row r="15" spans="15:21">
      <c r="O15" s="16" t="s">
        <v>11</v>
      </c>
      <c r="P15" s="34">
        <v>4573</v>
      </c>
      <c r="Q15" s="34">
        <v>7940</v>
      </c>
      <c r="R15" s="34">
        <v>9408</v>
      </c>
      <c r="S15" s="25"/>
      <c r="T15" s="25"/>
    </row>
    <row r="16" spans="15:21">
      <c r="O16" s="16" t="s">
        <v>12</v>
      </c>
      <c r="P16" s="34">
        <v>5468</v>
      </c>
      <c r="Q16" s="34">
        <v>10868</v>
      </c>
      <c r="R16" s="34">
        <v>10076</v>
      </c>
      <c r="S16" s="25"/>
      <c r="T16" s="25"/>
    </row>
    <row r="17" spans="15:20">
      <c r="O17" s="26" t="s">
        <v>13</v>
      </c>
      <c r="P17" s="133">
        <v>10041</v>
      </c>
      <c r="Q17" s="133">
        <v>18205</v>
      </c>
      <c r="R17" s="133">
        <v>11415</v>
      </c>
      <c r="S17" s="25"/>
      <c r="T17" s="25"/>
    </row>
    <row r="18" spans="15:20">
      <c r="O18" s="6" t="s">
        <v>534</v>
      </c>
      <c r="P18" s="32">
        <f>SUMIF(R6:R17,"&gt;0",P6:P17)</f>
        <v>57470</v>
      </c>
      <c r="Q18" s="32">
        <f>SUMIF(R6:R17,"&gt;0",Q6:Q17)</f>
        <v>95035</v>
      </c>
      <c r="R18" s="32">
        <f>SUM(R6:R17)</f>
        <v>112115</v>
      </c>
      <c r="S18" s="25"/>
      <c r="T18" s="25"/>
    </row>
    <row r="19" spans="15:20">
      <c r="O19" s="6" t="s">
        <v>533</v>
      </c>
      <c r="P19" s="29">
        <f>SUM(P6:P17)</f>
        <v>57470</v>
      </c>
      <c r="Q19" s="29">
        <f>SUM(Q6:Q17)</f>
        <v>95035</v>
      </c>
      <c r="R19" s="85">
        <v>112115</v>
      </c>
      <c r="S19" s="25"/>
      <c r="T19" s="25"/>
    </row>
    <row r="34" spans="1:14" ht="21" thickBot="1">
      <c r="A34" s="66" t="s">
        <v>660</v>
      </c>
      <c r="B34" s="66"/>
      <c r="C34" s="9"/>
      <c r="E34" s="226" t="s">
        <v>1373</v>
      </c>
    </row>
    <row r="35" spans="1:14" ht="20">
      <c r="A35" s="9"/>
    </row>
    <row r="36" spans="1:14">
      <c r="A36" s="7" t="s">
        <v>451</v>
      </c>
      <c r="B36" s="55"/>
      <c r="C36" s="55"/>
      <c r="D36" s="55"/>
      <c r="E36" s="55"/>
      <c r="F36" s="55"/>
      <c r="G36" s="55"/>
      <c r="H36" s="260" t="s">
        <v>452</v>
      </c>
      <c r="I36" s="260"/>
      <c r="J36" s="260"/>
      <c r="K36" s="260"/>
      <c r="L36" s="260"/>
      <c r="M36" s="260"/>
      <c r="N36" s="55"/>
    </row>
    <row r="37" spans="1:14">
      <c r="A37" s="103"/>
      <c r="B37" s="114"/>
      <c r="C37" s="114"/>
      <c r="D37" s="261" t="s">
        <v>535</v>
      </c>
      <c r="E37" s="262"/>
      <c r="F37" s="263" t="s">
        <v>535</v>
      </c>
      <c r="G37" s="264"/>
      <c r="H37" s="263" t="s">
        <v>536</v>
      </c>
      <c r="I37" s="264"/>
      <c r="J37" s="263" t="s">
        <v>537</v>
      </c>
      <c r="K37" s="264"/>
      <c r="L37" s="263" t="s">
        <v>537</v>
      </c>
      <c r="M37" s="264"/>
      <c r="N37" s="55"/>
    </row>
    <row r="38" spans="1:14">
      <c r="A38" s="103"/>
      <c r="B38" s="115" t="s">
        <v>453</v>
      </c>
      <c r="C38" s="116" t="s">
        <v>539</v>
      </c>
      <c r="D38" s="117" t="str">
        <f>Innehåll!D79</f>
        <v xml:space="preserve"> 2023-12</v>
      </c>
      <c r="E38" s="117" t="str">
        <f>Innehåll!D80</f>
        <v xml:space="preserve"> 2022-12</v>
      </c>
      <c r="F38" s="117" t="str">
        <f>Innehåll!D81</f>
        <v>YTD  2023</v>
      </c>
      <c r="G38" s="117" t="str">
        <f>Innehåll!D82</f>
        <v>YTD  2022</v>
      </c>
      <c r="H38" s="117" t="str">
        <f>D38</f>
        <v xml:space="preserve"> 2023-12</v>
      </c>
      <c r="I38" s="118" t="str">
        <f>F38</f>
        <v>YTD  2023</v>
      </c>
      <c r="J38" s="117" t="str">
        <f>D38</f>
        <v xml:space="preserve"> 2023-12</v>
      </c>
      <c r="K38" s="119" t="str">
        <f>F38</f>
        <v>YTD  2023</v>
      </c>
      <c r="L38" s="120" t="str">
        <f>E38</f>
        <v xml:space="preserve"> 2022-12</v>
      </c>
      <c r="M38" s="120" t="str">
        <f>G38</f>
        <v>YTD  2022</v>
      </c>
      <c r="N38" s="55"/>
    </row>
    <row r="39" spans="1:14" ht="15" hidden="1" customHeight="1">
      <c r="A39" s="55" t="s">
        <v>24</v>
      </c>
      <c r="B39" s="55" t="s">
        <v>225</v>
      </c>
      <c r="C39" s="55" t="s">
        <v>226</v>
      </c>
      <c r="D39" s="55" t="s">
        <v>26</v>
      </c>
      <c r="E39" s="55" t="s">
        <v>27</v>
      </c>
      <c r="F39" s="55" t="s">
        <v>28</v>
      </c>
      <c r="G39" s="55" t="s">
        <v>29</v>
      </c>
      <c r="H39" s="55" t="s">
        <v>30</v>
      </c>
      <c r="I39" s="55" t="s">
        <v>31</v>
      </c>
      <c r="J39" s="55" t="s">
        <v>32</v>
      </c>
      <c r="K39" s="55" t="s">
        <v>33</v>
      </c>
      <c r="L39" s="55" t="s">
        <v>34</v>
      </c>
      <c r="M39" s="55" t="s">
        <v>35</v>
      </c>
      <c r="N39" s="55"/>
    </row>
    <row r="40" spans="1:14">
      <c r="A40" s="55">
        <v>1</v>
      </c>
      <c r="B40" s="55" t="s">
        <v>599</v>
      </c>
      <c r="C40" s="55" t="s">
        <v>20</v>
      </c>
      <c r="D40" s="22">
        <v>1098</v>
      </c>
      <c r="E40" s="22">
        <v>1090</v>
      </c>
      <c r="F40" s="22">
        <v>16412</v>
      </c>
      <c r="G40" s="22">
        <v>6550</v>
      </c>
      <c r="H40" s="55">
        <v>0.73</v>
      </c>
      <c r="I40" s="55">
        <v>150.56</v>
      </c>
      <c r="J40" s="55">
        <v>5.94</v>
      </c>
      <c r="K40" s="55">
        <v>9.48</v>
      </c>
      <c r="L40" s="55">
        <v>4.12</v>
      </c>
      <c r="M40" s="55">
        <v>4.05</v>
      </c>
      <c r="N40" s="55"/>
    </row>
    <row r="41" spans="1:14">
      <c r="A41" s="55">
        <v>2</v>
      </c>
      <c r="B41" s="55" t="s">
        <v>478</v>
      </c>
      <c r="C41" s="55" t="s">
        <v>20</v>
      </c>
      <c r="D41" s="22">
        <v>1371</v>
      </c>
      <c r="E41" s="22">
        <v>1729</v>
      </c>
      <c r="F41" s="22">
        <v>11007</v>
      </c>
      <c r="G41" s="22">
        <v>8882</v>
      </c>
      <c r="H41" s="55">
        <v>-20.71</v>
      </c>
      <c r="I41" s="55">
        <v>23.92</v>
      </c>
      <c r="J41" s="55">
        <v>7.42</v>
      </c>
      <c r="K41" s="55">
        <v>6.36</v>
      </c>
      <c r="L41" s="55">
        <v>6.53</v>
      </c>
      <c r="M41" s="55">
        <v>5.49</v>
      </c>
      <c r="N41" s="55"/>
    </row>
    <row r="42" spans="1:14" hidden="1">
      <c r="A42" s="55">
        <v>3</v>
      </c>
      <c r="B42" s="55" t="s">
        <v>392</v>
      </c>
      <c r="C42" s="55" t="s">
        <v>19</v>
      </c>
      <c r="D42" s="22">
        <v>1663</v>
      </c>
      <c r="E42" s="22">
        <v>1892</v>
      </c>
      <c r="F42" s="22">
        <v>9791</v>
      </c>
      <c r="G42" s="22">
        <v>8138</v>
      </c>
      <c r="H42" s="55">
        <v>-12.1</v>
      </c>
      <c r="I42" s="55">
        <v>20.309999999999999</v>
      </c>
      <c r="J42" s="55">
        <v>9</v>
      </c>
      <c r="K42" s="55">
        <v>5.65</v>
      </c>
      <c r="L42" s="55">
        <v>7.15</v>
      </c>
      <c r="M42" s="55">
        <v>5.03</v>
      </c>
      <c r="N42" s="55"/>
    </row>
    <row r="43" spans="1:14">
      <c r="A43" s="55">
        <v>4</v>
      </c>
      <c r="B43" s="55" t="s">
        <v>422</v>
      </c>
      <c r="C43" s="55" t="s">
        <v>20</v>
      </c>
      <c r="D43" s="22">
        <v>798</v>
      </c>
      <c r="E43" s="22">
        <v>2616</v>
      </c>
      <c r="F43" s="22">
        <v>9142</v>
      </c>
      <c r="G43" s="22">
        <v>8242</v>
      </c>
      <c r="H43" s="55">
        <v>-69.5</v>
      </c>
      <c r="I43" s="55">
        <v>10.92</v>
      </c>
      <c r="J43" s="55">
        <v>4.32</v>
      </c>
      <c r="K43" s="55">
        <v>5.28</v>
      </c>
      <c r="L43" s="55">
        <v>9.89</v>
      </c>
      <c r="M43" s="55">
        <v>5.0999999999999996</v>
      </c>
      <c r="N43" s="55"/>
    </row>
    <row r="44" spans="1:14">
      <c r="A44" s="55">
        <v>5</v>
      </c>
      <c r="B44" s="55" t="s">
        <v>566</v>
      </c>
      <c r="C44" s="55" t="s">
        <v>20</v>
      </c>
      <c r="D44" s="22">
        <v>786</v>
      </c>
      <c r="E44" s="22">
        <v>552</v>
      </c>
      <c r="F44" s="22">
        <v>5597</v>
      </c>
      <c r="G44" s="22">
        <v>4234</v>
      </c>
      <c r="H44" s="55">
        <v>42.39</v>
      </c>
      <c r="I44" s="55">
        <v>32.19</v>
      </c>
      <c r="J44" s="55">
        <v>4.25</v>
      </c>
      <c r="K44" s="55">
        <v>3.23</v>
      </c>
      <c r="L44" s="55">
        <v>2.09</v>
      </c>
      <c r="M44" s="55">
        <v>2.62</v>
      </c>
      <c r="N44" s="55"/>
    </row>
    <row r="45" spans="1:14" hidden="1">
      <c r="A45" s="55">
        <v>6</v>
      </c>
      <c r="B45" s="55" t="s">
        <v>686</v>
      </c>
      <c r="C45" s="55" t="s">
        <v>19</v>
      </c>
      <c r="D45" s="22">
        <v>491</v>
      </c>
      <c r="E45" s="22">
        <v>492</v>
      </c>
      <c r="F45" s="22">
        <v>4537</v>
      </c>
      <c r="G45" s="22">
        <v>3782</v>
      </c>
      <c r="H45" s="55">
        <v>-0.2</v>
      </c>
      <c r="I45" s="55">
        <v>19.96</v>
      </c>
      <c r="J45" s="55">
        <v>2.66</v>
      </c>
      <c r="K45" s="55">
        <v>2.62</v>
      </c>
      <c r="L45" s="55">
        <v>1.86</v>
      </c>
      <c r="M45" s="55">
        <v>2.34</v>
      </c>
      <c r="N45" s="55"/>
    </row>
    <row r="46" spans="1:14">
      <c r="A46" s="55">
        <v>7</v>
      </c>
      <c r="B46" s="55" t="s">
        <v>591</v>
      </c>
      <c r="C46" s="55" t="s">
        <v>20</v>
      </c>
      <c r="D46" s="22">
        <v>655</v>
      </c>
      <c r="E46" s="22">
        <v>291</v>
      </c>
      <c r="F46" s="22">
        <v>4411</v>
      </c>
      <c r="G46" s="22">
        <v>2170</v>
      </c>
      <c r="H46" s="55">
        <v>125.09</v>
      </c>
      <c r="I46" s="55">
        <v>103.27</v>
      </c>
      <c r="J46" s="55">
        <v>3.55</v>
      </c>
      <c r="K46" s="55">
        <v>2.5499999999999998</v>
      </c>
      <c r="L46" s="55">
        <v>1.1000000000000001</v>
      </c>
      <c r="M46" s="55">
        <v>1.34</v>
      </c>
      <c r="N46" s="55"/>
    </row>
    <row r="47" spans="1:14">
      <c r="A47" s="55">
        <v>8</v>
      </c>
      <c r="B47" s="55" t="s">
        <v>627</v>
      </c>
      <c r="C47" s="55" t="s">
        <v>20</v>
      </c>
      <c r="D47" s="22">
        <v>256</v>
      </c>
      <c r="E47" s="22">
        <v>631</v>
      </c>
      <c r="F47" s="22">
        <v>4345</v>
      </c>
      <c r="G47" s="22">
        <v>3970</v>
      </c>
      <c r="H47" s="55">
        <v>-59.43</v>
      </c>
      <c r="I47" s="55">
        <v>9.4499999999999993</v>
      </c>
      <c r="J47" s="55">
        <v>1.39</v>
      </c>
      <c r="K47" s="55">
        <v>2.5099999999999998</v>
      </c>
      <c r="L47" s="55">
        <v>2.38</v>
      </c>
      <c r="M47" s="55">
        <v>2.46</v>
      </c>
      <c r="N47" s="55"/>
    </row>
    <row r="48" spans="1:14">
      <c r="A48" s="55">
        <v>9</v>
      </c>
      <c r="B48" s="55" t="s">
        <v>229</v>
      </c>
      <c r="C48" s="55" t="s">
        <v>20</v>
      </c>
      <c r="D48" s="22">
        <v>249</v>
      </c>
      <c r="E48" s="22">
        <v>583</v>
      </c>
      <c r="F48" s="22">
        <v>3980</v>
      </c>
      <c r="G48" s="22">
        <v>6542</v>
      </c>
      <c r="H48" s="55">
        <v>-57.29</v>
      </c>
      <c r="I48" s="55">
        <v>-39.159999999999997</v>
      </c>
      <c r="J48" s="55">
        <v>1.35</v>
      </c>
      <c r="K48" s="55">
        <v>2.2999999999999998</v>
      </c>
      <c r="L48" s="55">
        <v>2.2000000000000002</v>
      </c>
      <c r="M48" s="55">
        <v>4.05</v>
      </c>
      <c r="N48" s="55"/>
    </row>
    <row r="49" spans="1:14" hidden="1">
      <c r="A49" s="55">
        <v>10</v>
      </c>
      <c r="B49" s="55" t="s">
        <v>372</v>
      </c>
      <c r="C49" s="55" t="s">
        <v>19</v>
      </c>
      <c r="D49" s="22">
        <v>399</v>
      </c>
      <c r="E49" s="22">
        <v>203</v>
      </c>
      <c r="F49" s="22">
        <v>3889</v>
      </c>
      <c r="G49" s="22">
        <v>5214</v>
      </c>
      <c r="H49" s="55">
        <v>96.55</v>
      </c>
      <c r="I49" s="55">
        <v>-25.41</v>
      </c>
      <c r="J49" s="55">
        <v>2.16</v>
      </c>
      <c r="K49" s="55">
        <v>2.25</v>
      </c>
      <c r="L49" s="55">
        <v>0.77</v>
      </c>
      <c r="M49" s="55">
        <v>3.23</v>
      </c>
      <c r="N49" s="55"/>
    </row>
    <row r="50" spans="1:14">
      <c r="A50" s="55">
        <v>11</v>
      </c>
      <c r="B50" s="55" t="s">
        <v>403</v>
      </c>
      <c r="C50" s="55" t="s">
        <v>20</v>
      </c>
      <c r="D50" s="22">
        <v>358</v>
      </c>
      <c r="E50" s="22">
        <v>604</v>
      </c>
      <c r="F50" s="22">
        <v>3638</v>
      </c>
      <c r="G50" s="22">
        <v>4465</v>
      </c>
      <c r="H50" s="55">
        <v>-40.729999999999997</v>
      </c>
      <c r="I50" s="55">
        <v>-18.52</v>
      </c>
      <c r="J50" s="55">
        <v>1.94</v>
      </c>
      <c r="K50" s="55">
        <v>2.1</v>
      </c>
      <c r="L50" s="55">
        <v>2.2799999999999998</v>
      </c>
      <c r="M50" s="55">
        <v>2.76</v>
      </c>
      <c r="N50" s="55"/>
    </row>
    <row r="51" spans="1:14">
      <c r="A51" s="55">
        <v>12</v>
      </c>
      <c r="B51" s="55" t="s">
        <v>635</v>
      </c>
      <c r="C51" s="55" t="s">
        <v>20</v>
      </c>
      <c r="D51" s="22">
        <v>436</v>
      </c>
      <c r="E51" s="22">
        <v>1349</v>
      </c>
      <c r="F51" s="22">
        <v>3324</v>
      </c>
      <c r="G51" s="22">
        <v>3339</v>
      </c>
      <c r="H51" s="55">
        <v>-67.680000000000007</v>
      </c>
      <c r="I51" s="55">
        <v>-0.45</v>
      </c>
      <c r="J51" s="55">
        <v>2.36</v>
      </c>
      <c r="K51" s="55">
        <v>1.92</v>
      </c>
      <c r="L51" s="55">
        <v>5.0999999999999996</v>
      </c>
      <c r="M51" s="55">
        <v>2.0699999999999998</v>
      </c>
      <c r="N51" s="55"/>
    </row>
    <row r="52" spans="1:14">
      <c r="A52" s="55">
        <v>13</v>
      </c>
      <c r="B52" s="55" t="s">
        <v>1018</v>
      </c>
      <c r="C52" s="55" t="s">
        <v>20</v>
      </c>
      <c r="D52" s="22">
        <v>211</v>
      </c>
      <c r="E52" s="22">
        <v>980</v>
      </c>
      <c r="F52" s="22">
        <v>3213</v>
      </c>
      <c r="G52" s="22">
        <v>1063</v>
      </c>
      <c r="H52" s="55">
        <v>-78.47</v>
      </c>
      <c r="I52" s="55">
        <v>202.26</v>
      </c>
      <c r="J52" s="55">
        <v>1.1399999999999999</v>
      </c>
      <c r="K52" s="55">
        <v>1.86</v>
      </c>
      <c r="L52" s="55">
        <v>3.7</v>
      </c>
      <c r="M52" s="55">
        <v>0.66</v>
      </c>
      <c r="N52" s="55"/>
    </row>
    <row r="53" spans="1:14">
      <c r="A53" s="55">
        <v>14</v>
      </c>
      <c r="B53" s="55" t="s">
        <v>55</v>
      </c>
      <c r="C53" s="55" t="s">
        <v>20</v>
      </c>
      <c r="D53" s="22">
        <v>630</v>
      </c>
      <c r="E53" s="22">
        <v>157</v>
      </c>
      <c r="F53" s="22">
        <v>3011</v>
      </c>
      <c r="G53" s="22">
        <v>2238</v>
      </c>
      <c r="H53" s="55">
        <v>301.27</v>
      </c>
      <c r="I53" s="55">
        <v>34.54</v>
      </c>
      <c r="J53" s="55">
        <v>3.41</v>
      </c>
      <c r="K53" s="55">
        <v>1.74</v>
      </c>
      <c r="L53" s="55">
        <v>0.59</v>
      </c>
      <c r="M53" s="55">
        <v>1.38</v>
      </c>
      <c r="N53" s="55"/>
    </row>
    <row r="54" spans="1:14">
      <c r="A54" s="55">
        <v>15</v>
      </c>
      <c r="B54" s="55" t="s">
        <v>416</v>
      </c>
      <c r="C54" s="55" t="s">
        <v>20</v>
      </c>
      <c r="D54" s="22">
        <v>330</v>
      </c>
      <c r="E54" s="22">
        <v>399</v>
      </c>
      <c r="F54" s="22">
        <v>2692</v>
      </c>
      <c r="G54" s="22">
        <v>1987</v>
      </c>
      <c r="H54" s="55">
        <v>-17.29</v>
      </c>
      <c r="I54" s="55">
        <v>35.479999999999997</v>
      </c>
      <c r="J54" s="55">
        <v>1.79</v>
      </c>
      <c r="K54" s="55">
        <v>1.55</v>
      </c>
      <c r="L54" s="55">
        <v>1.51</v>
      </c>
      <c r="M54" s="55">
        <v>1.23</v>
      </c>
      <c r="N54" s="55"/>
    </row>
    <row r="55" spans="1:14" hidden="1">
      <c r="A55" s="55">
        <v>16</v>
      </c>
      <c r="B55" s="55" t="s">
        <v>393</v>
      </c>
      <c r="C55" s="55" t="s">
        <v>19</v>
      </c>
      <c r="D55" s="22">
        <v>273</v>
      </c>
      <c r="E55" s="22">
        <v>180</v>
      </c>
      <c r="F55" s="22">
        <v>2659</v>
      </c>
      <c r="G55" s="22">
        <v>1979</v>
      </c>
      <c r="H55" s="55">
        <v>51.67</v>
      </c>
      <c r="I55" s="55">
        <v>34.36</v>
      </c>
      <c r="J55" s="55">
        <v>1.48</v>
      </c>
      <c r="K55" s="55">
        <v>1.54</v>
      </c>
      <c r="L55" s="55">
        <v>0.68</v>
      </c>
      <c r="M55" s="55">
        <v>1.22</v>
      </c>
      <c r="N55" s="55"/>
    </row>
    <row r="56" spans="1:14">
      <c r="A56" s="55">
        <v>17</v>
      </c>
      <c r="B56" s="55" t="s">
        <v>1002</v>
      </c>
      <c r="C56" s="55" t="s">
        <v>20</v>
      </c>
      <c r="D56" s="22">
        <v>106</v>
      </c>
      <c r="E56" s="22">
        <v>198</v>
      </c>
      <c r="F56" s="22">
        <v>2536</v>
      </c>
      <c r="G56" s="22">
        <v>313</v>
      </c>
      <c r="H56" s="55">
        <v>-46.46</v>
      </c>
      <c r="I56" s="55">
        <v>710.22</v>
      </c>
      <c r="J56" s="55">
        <v>0.56999999999999995</v>
      </c>
      <c r="K56" s="55">
        <v>1.46</v>
      </c>
      <c r="L56" s="55">
        <v>0.75</v>
      </c>
      <c r="M56" s="55">
        <v>0.19</v>
      </c>
      <c r="N56" s="55"/>
    </row>
    <row r="57" spans="1:14" hidden="1">
      <c r="A57" s="55">
        <v>18</v>
      </c>
      <c r="B57" s="55" t="s">
        <v>408</v>
      </c>
      <c r="C57" s="55" t="s">
        <v>19</v>
      </c>
      <c r="D57" s="22">
        <v>340</v>
      </c>
      <c r="E57" s="22">
        <v>1346</v>
      </c>
      <c r="F57" s="22">
        <v>2403</v>
      </c>
      <c r="G57" s="22">
        <v>4633</v>
      </c>
      <c r="H57" s="55">
        <v>-74.739999999999995</v>
      </c>
      <c r="I57" s="55">
        <v>-48.13</v>
      </c>
      <c r="J57" s="55">
        <v>1.84</v>
      </c>
      <c r="K57" s="55">
        <v>1.39</v>
      </c>
      <c r="L57" s="55">
        <v>5.09</v>
      </c>
      <c r="M57" s="55">
        <v>2.87</v>
      </c>
      <c r="N57" s="55"/>
    </row>
    <row r="58" spans="1:14">
      <c r="A58" s="55">
        <v>19</v>
      </c>
      <c r="B58" s="55" t="s">
        <v>94</v>
      </c>
      <c r="C58" s="55" t="s">
        <v>20</v>
      </c>
      <c r="D58" s="22">
        <v>320</v>
      </c>
      <c r="E58" s="22">
        <v>535</v>
      </c>
      <c r="F58" s="22">
        <v>2269</v>
      </c>
      <c r="G58" s="22">
        <v>3851</v>
      </c>
      <c r="H58" s="55">
        <v>-40.19</v>
      </c>
      <c r="I58" s="55">
        <v>-41.08</v>
      </c>
      <c r="J58" s="55">
        <v>1.73</v>
      </c>
      <c r="K58" s="55">
        <v>1.31</v>
      </c>
      <c r="L58" s="55">
        <v>2.02</v>
      </c>
      <c r="M58" s="55">
        <v>2.38</v>
      </c>
      <c r="N58" s="55"/>
    </row>
    <row r="59" spans="1:14">
      <c r="A59" s="55">
        <v>20</v>
      </c>
      <c r="B59" s="55" t="s">
        <v>687</v>
      </c>
      <c r="C59" s="55" t="s">
        <v>20</v>
      </c>
      <c r="D59" s="22">
        <v>166</v>
      </c>
      <c r="E59" s="22">
        <v>76</v>
      </c>
      <c r="F59" s="22">
        <v>2203</v>
      </c>
      <c r="G59" s="22">
        <v>679</v>
      </c>
      <c r="H59" s="55">
        <v>118.42</v>
      </c>
      <c r="I59" s="55">
        <v>224.45</v>
      </c>
      <c r="J59" s="55">
        <v>0.9</v>
      </c>
      <c r="K59" s="55">
        <v>1.27</v>
      </c>
      <c r="L59" s="55">
        <v>0.28999999999999998</v>
      </c>
      <c r="M59" s="55">
        <v>0.42</v>
      </c>
      <c r="N59" s="55"/>
    </row>
    <row r="60" spans="1:14" hidden="1">
      <c r="A60" s="55">
        <v>21</v>
      </c>
      <c r="B60" s="55" t="s">
        <v>423</v>
      </c>
      <c r="C60" s="55" t="s">
        <v>19</v>
      </c>
      <c r="D60" s="22">
        <v>225</v>
      </c>
      <c r="E60" s="22">
        <v>22</v>
      </c>
      <c r="F60" s="22">
        <v>2182</v>
      </c>
      <c r="G60" s="22">
        <v>1415</v>
      </c>
      <c r="H60" s="55">
        <v>922.73</v>
      </c>
      <c r="I60" s="55">
        <v>54.2</v>
      </c>
      <c r="J60" s="55">
        <v>1.22</v>
      </c>
      <c r="K60" s="55">
        <v>1.26</v>
      </c>
      <c r="L60" s="55">
        <v>0.08</v>
      </c>
      <c r="M60" s="55">
        <v>0.88</v>
      </c>
      <c r="N60" s="55"/>
    </row>
    <row r="61" spans="1:14" hidden="1">
      <c r="A61" s="55">
        <v>22</v>
      </c>
      <c r="B61" s="55" t="s">
        <v>231</v>
      </c>
      <c r="C61" s="55" t="s">
        <v>19</v>
      </c>
      <c r="D61" s="22">
        <v>334</v>
      </c>
      <c r="E61" s="22">
        <v>284</v>
      </c>
      <c r="F61" s="22">
        <v>2116</v>
      </c>
      <c r="G61" s="22">
        <v>1435</v>
      </c>
      <c r="H61" s="55">
        <v>17.61</v>
      </c>
      <c r="I61" s="55">
        <v>47.46</v>
      </c>
      <c r="J61" s="55">
        <v>1.81</v>
      </c>
      <c r="K61" s="55">
        <v>1.22</v>
      </c>
      <c r="L61" s="55">
        <v>1.07</v>
      </c>
      <c r="M61" s="55">
        <v>0.89</v>
      </c>
      <c r="N61" s="55"/>
    </row>
    <row r="62" spans="1:14">
      <c r="A62" s="55">
        <v>23</v>
      </c>
      <c r="B62" s="55" t="s">
        <v>136</v>
      </c>
      <c r="C62" s="55" t="s">
        <v>20</v>
      </c>
      <c r="D62" s="22">
        <v>268</v>
      </c>
      <c r="E62" s="22">
        <v>60</v>
      </c>
      <c r="F62" s="22">
        <v>2047</v>
      </c>
      <c r="G62" s="22">
        <v>1442</v>
      </c>
      <c r="H62" s="55">
        <v>346.67</v>
      </c>
      <c r="I62" s="55">
        <v>41.96</v>
      </c>
      <c r="J62" s="55">
        <v>1.45</v>
      </c>
      <c r="K62" s="55">
        <v>1.18</v>
      </c>
      <c r="L62" s="55">
        <v>0.23</v>
      </c>
      <c r="M62" s="55">
        <v>0.89</v>
      </c>
      <c r="N62" s="55"/>
    </row>
    <row r="63" spans="1:14" hidden="1">
      <c r="A63" s="55">
        <v>24</v>
      </c>
      <c r="B63" s="55" t="s">
        <v>376</v>
      </c>
      <c r="C63" s="55" t="s">
        <v>19</v>
      </c>
      <c r="D63" s="22">
        <v>411</v>
      </c>
      <c r="E63" s="22">
        <v>600</v>
      </c>
      <c r="F63" s="22">
        <v>1933</v>
      </c>
      <c r="G63" s="22">
        <v>3845</v>
      </c>
      <c r="H63" s="55">
        <v>-31.5</v>
      </c>
      <c r="I63" s="55">
        <v>-49.73</v>
      </c>
      <c r="J63" s="55">
        <v>2.2200000000000002</v>
      </c>
      <c r="K63" s="55">
        <v>1.1200000000000001</v>
      </c>
      <c r="L63" s="55">
        <v>2.27</v>
      </c>
      <c r="M63" s="55">
        <v>2.38</v>
      </c>
      <c r="N63" s="55"/>
    </row>
    <row r="64" spans="1:14">
      <c r="A64" s="55">
        <v>25</v>
      </c>
      <c r="B64" s="55" t="s">
        <v>691</v>
      </c>
      <c r="C64" s="55" t="s">
        <v>20</v>
      </c>
      <c r="D64" s="22">
        <v>50</v>
      </c>
      <c r="E64" s="22">
        <v>403</v>
      </c>
      <c r="F64" s="22">
        <v>1783</v>
      </c>
      <c r="G64" s="22">
        <v>1523</v>
      </c>
      <c r="H64" s="55">
        <v>-87.59</v>
      </c>
      <c r="I64" s="55">
        <v>17.07</v>
      </c>
      <c r="J64" s="55">
        <v>0.27</v>
      </c>
      <c r="K64" s="55">
        <v>1.03</v>
      </c>
      <c r="L64" s="55">
        <v>1.52</v>
      </c>
      <c r="M64" s="55">
        <v>0.94</v>
      </c>
      <c r="N64" s="55"/>
    </row>
    <row r="65" spans="1:14">
      <c r="A65" s="55">
        <v>26</v>
      </c>
      <c r="B65" s="55" t="s">
        <v>693</v>
      </c>
      <c r="C65" s="55" t="s">
        <v>20</v>
      </c>
      <c r="D65" s="22">
        <v>211</v>
      </c>
      <c r="E65" s="22">
        <v>447</v>
      </c>
      <c r="F65" s="22">
        <v>1733</v>
      </c>
      <c r="G65" s="22">
        <v>1667</v>
      </c>
      <c r="H65" s="55">
        <v>-52.8</v>
      </c>
      <c r="I65" s="55">
        <v>3.96</v>
      </c>
      <c r="J65" s="55">
        <v>1.1399999999999999</v>
      </c>
      <c r="K65" s="55">
        <v>1</v>
      </c>
      <c r="L65" s="55">
        <v>1.69</v>
      </c>
      <c r="M65" s="55">
        <v>1.03</v>
      </c>
      <c r="N65" s="55"/>
    </row>
    <row r="66" spans="1:14">
      <c r="A66" s="55">
        <v>27</v>
      </c>
      <c r="B66" s="55" t="s">
        <v>644</v>
      </c>
      <c r="C66" s="55" t="s">
        <v>20</v>
      </c>
      <c r="D66" s="22">
        <v>203</v>
      </c>
      <c r="E66" s="22">
        <v>96</v>
      </c>
      <c r="F66" s="22">
        <v>1716</v>
      </c>
      <c r="G66" s="22">
        <v>645</v>
      </c>
      <c r="H66" s="55">
        <v>111.46</v>
      </c>
      <c r="I66" s="55">
        <v>166.05</v>
      </c>
      <c r="J66" s="55">
        <v>1.1000000000000001</v>
      </c>
      <c r="K66" s="55">
        <v>0.99</v>
      </c>
      <c r="L66" s="55">
        <v>0.36</v>
      </c>
      <c r="M66" s="55">
        <v>0.4</v>
      </c>
      <c r="N66" s="55"/>
    </row>
    <row r="67" spans="1:14" hidden="1">
      <c r="A67" s="55">
        <v>28</v>
      </c>
      <c r="B67" s="55" t="s">
        <v>227</v>
      </c>
      <c r="C67" s="55" t="s">
        <v>19</v>
      </c>
      <c r="D67" s="22">
        <v>111</v>
      </c>
      <c r="E67" s="22">
        <v>140</v>
      </c>
      <c r="F67" s="22">
        <v>1638</v>
      </c>
      <c r="G67" s="22">
        <v>1739</v>
      </c>
      <c r="H67" s="55">
        <v>-20.71</v>
      </c>
      <c r="I67" s="55">
        <v>-5.81</v>
      </c>
      <c r="J67" s="55">
        <v>0.6</v>
      </c>
      <c r="K67" s="55">
        <v>0.95</v>
      </c>
      <c r="L67" s="55">
        <v>0.53</v>
      </c>
      <c r="M67" s="55">
        <v>1.08</v>
      </c>
      <c r="N67" s="55"/>
    </row>
    <row r="68" spans="1:14">
      <c r="A68" s="55">
        <v>29</v>
      </c>
      <c r="B68" s="55" t="s">
        <v>1021</v>
      </c>
      <c r="C68" s="55" t="s">
        <v>20</v>
      </c>
      <c r="D68" s="22">
        <v>211</v>
      </c>
      <c r="E68" s="22">
        <v>127</v>
      </c>
      <c r="F68" s="22">
        <v>1587</v>
      </c>
      <c r="G68" s="22">
        <v>138</v>
      </c>
      <c r="H68" s="55">
        <v>66.14</v>
      </c>
      <c r="I68" s="55">
        <v>1050</v>
      </c>
      <c r="J68" s="55">
        <v>1.1399999999999999</v>
      </c>
      <c r="K68" s="55">
        <v>0.92</v>
      </c>
      <c r="L68" s="55">
        <v>0.48</v>
      </c>
      <c r="M68" s="55">
        <v>0.09</v>
      </c>
      <c r="N68" s="55"/>
    </row>
    <row r="69" spans="1:14" hidden="1">
      <c r="A69" s="55">
        <v>30</v>
      </c>
      <c r="B69" s="55" t="s">
        <v>642</v>
      </c>
      <c r="C69" s="55" t="s">
        <v>19</v>
      </c>
      <c r="D69" s="22">
        <v>135</v>
      </c>
      <c r="E69" s="22">
        <v>108</v>
      </c>
      <c r="F69" s="22">
        <v>1584</v>
      </c>
      <c r="G69" s="22">
        <v>1105</v>
      </c>
      <c r="H69" s="55">
        <v>25</v>
      </c>
      <c r="I69" s="55">
        <v>43.35</v>
      </c>
      <c r="J69" s="55">
        <v>0.73</v>
      </c>
      <c r="K69" s="55">
        <v>0.91</v>
      </c>
      <c r="L69" s="55">
        <v>0.41</v>
      </c>
      <c r="M69" s="55">
        <v>0.68</v>
      </c>
      <c r="N69" s="55"/>
    </row>
    <row r="70" spans="1:14" hidden="1">
      <c r="A70" s="55">
        <v>31</v>
      </c>
      <c r="B70" s="55" t="s">
        <v>571</v>
      </c>
      <c r="C70" s="55" t="s">
        <v>19</v>
      </c>
      <c r="D70" s="22">
        <v>39</v>
      </c>
      <c r="E70" s="22">
        <v>171</v>
      </c>
      <c r="F70" s="22">
        <v>1462</v>
      </c>
      <c r="G70" s="22">
        <v>1983</v>
      </c>
      <c r="H70" s="55">
        <v>-77.19</v>
      </c>
      <c r="I70" s="55">
        <v>-26.27</v>
      </c>
      <c r="J70" s="55">
        <v>0.21</v>
      </c>
      <c r="K70" s="55">
        <v>0.84</v>
      </c>
      <c r="L70" s="55">
        <v>0.65</v>
      </c>
      <c r="M70" s="55">
        <v>1.23</v>
      </c>
      <c r="N70" s="55"/>
    </row>
    <row r="71" spans="1:14" hidden="1">
      <c r="A71" s="55">
        <v>32</v>
      </c>
      <c r="B71" s="55" t="s">
        <v>979</v>
      </c>
      <c r="C71" s="55" t="s">
        <v>19</v>
      </c>
      <c r="D71" s="22">
        <v>136</v>
      </c>
      <c r="E71" s="22">
        <v>316</v>
      </c>
      <c r="F71" s="22">
        <v>1416</v>
      </c>
      <c r="G71" s="22">
        <v>1022</v>
      </c>
      <c r="H71" s="55">
        <v>-56.96</v>
      </c>
      <c r="I71" s="55">
        <v>38.549999999999997</v>
      </c>
      <c r="J71" s="55">
        <v>0.74</v>
      </c>
      <c r="K71" s="55">
        <v>0.82</v>
      </c>
      <c r="L71" s="55">
        <v>1.19</v>
      </c>
      <c r="M71" s="55">
        <v>0.63</v>
      </c>
      <c r="N71" s="55"/>
    </row>
    <row r="72" spans="1:14">
      <c r="A72" s="55">
        <v>33</v>
      </c>
      <c r="B72" s="55" t="s">
        <v>637</v>
      </c>
      <c r="C72" s="55" t="s">
        <v>20</v>
      </c>
      <c r="D72" s="22">
        <v>128</v>
      </c>
      <c r="E72" s="22">
        <v>0</v>
      </c>
      <c r="F72" s="22">
        <v>1414</v>
      </c>
      <c r="G72" s="22">
        <v>0</v>
      </c>
      <c r="H72" s="55">
        <v>0</v>
      </c>
      <c r="I72" s="55">
        <v>0</v>
      </c>
      <c r="J72" s="55">
        <v>0.69</v>
      </c>
      <c r="K72" s="55">
        <v>0.82</v>
      </c>
      <c r="L72" s="55">
        <v>0</v>
      </c>
      <c r="M72" s="55">
        <v>0</v>
      </c>
      <c r="N72" s="55"/>
    </row>
    <row r="73" spans="1:14" hidden="1">
      <c r="A73" s="55">
        <v>34</v>
      </c>
      <c r="B73" s="55" t="s">
        <v>488</v>
      </c>
      <c r="C73" s="55" t="s">
        <v>19</v>
      </c>
      <c r="D73" s="22">
        <v>168</v>
      </c>
      <c r="E73" s="22">
        <v>11</v>
      </c>
      <c r="F73" s="22">
        <v>1374</v>
      </c>
      <c r="G73" s="22">
        <v>1079</v>
      </c>
      <c r="H73" s="55">
        <v>1427.27</v>
      </c>
      <c r="I73" s="55">
        <v>27.34</v>
      </c>
      <c r="J73" s="55">
        <v>0.91</v>
      </c>
      <c r="K73" s="55">
        <v>0.79</v>
      </c>
      <c r="L73" s="55">
        <v>0.04</v>
      </c>
      <c r="M73" s="55">
        <v>0.67</v>
      </c>
      <c r="N73" s="55"/>
    </row>
    <row r="74" spans="1:14" hidden="1">
      <c r="A74" s="55">
        <v>35</v>
      </c>
      <c r="B74" s="55" t="s">
        <v>1023</v>
      </c>
      <c r="C74" s="55" t="s">
        <v>19</v>
      </c>
      <c r="D74" s="22">
        <v>141</v>
      </c>
      <c r="E74" s="22">
        <v>12</v>
      </c>
      <c r="F74" s="22">
        <v>1287</v>
      </c>
      <c r="G74" s="22">
        <v>15</v>
      </c>
      <c r="H74" s="55">
        <v>1075</v>
      </c>
      <c r="I74" s="55">
        <v>8480</v>
      </c>
      <c r="J74" s="55">
        <v>0.76</v>
      </c>
      <c r="K74" s="55">
        <v>0.74</v>
      </c>
      <c r="L74" s="55">
        <v>0.05</v>
      </c>
      <c r="M74" s="55">
        <v>0.01</v>
      </c>
      <c r="N74" s="55"/>
    </row>
    <row r="75" spans="1:14" hidden="1">
      <c r="A75" s="55">
        <v>36</v>
      </c>
      <c r="B75" s="55" t="s">
        <v>399</v>
      </c>
      <c r="C75" s="55" t="s">
        <v>19</v>
      </c>
      <c r="D75" s="22">
        <v>93</v>
      </c>
      <c r="E75" s="22">
        <v>199</v>
      </c>
      <c r="F75" s="22">
        <v>1275</v>
      </c>
      <c r="G75" s="22">
        <v>1922</v>
      </c>
      <c r="H75" s="55">
        <v>-53.27</v>
      </c>
      <c r="I75" s="55">
        <v>-33.659999999999997</v>
      </c>
      <c r="J75" s="55">
        <v>0.5</v>
      </c>
      <c r="K75" s="55">
        <v>0.74</v>
      </c>
      <c r="L75" s="55">
        <v>0.75</v>
      </c>
      <c r="M75" s="55">
        <v>1.19</v>
      </c>
      <c r="N75" s="55"/>
    </row>
    <row r="76" spans="1:14">
      <c r="A76" s="55">
        <v>37</v>
      </c>
      <c r="B76" s="55" t="s">
        <v>636</v>
      </c>
      <c r="C76" s="55" t="s">
        <v>20</v>
      </c>
      <c r="D76" s="22">
        <v>7</v>
      </c>
      <c r="E76" s="22">
        <v>641</v>
      </c>
      <c r="F76" s="22">
        <v>1206</v>
      </c>
      <c r="G76" s="22">
        <v>2356</v>
      </c>
      <c r="H76" s="55">
        <v>-98.91</v>
      </c>
      <c r="I76" s="55">
        <v>-48.81</v>
      </c>
      <c r="J76" s="55">
        <v>0.04</v>
      </c>
      <c r="K76" s="55">
        <v>0.7</v>
      </c>
      <c r="L76" s="55">
        <v>2.42</v>
      </c>
      <c r="M76" s="55">
        <v>1.46</v>
      </c>
      <c r="N76" s="55"/>
    </row>
    <row r="77" spans="1:14" hidden="1">
      <c r="A77" s="55">
        <v>38</v>
      </c>
      <c r="B77" s="55" t="s">
        <v>411</v>
      </c>
      <c r="C77" s="55" t="s">
        <v>19</v>
      </c>
      <c r="D77" s="22">
        <v>102</v>
      </c>
      <c r="E77" s="22">
        <v>196</v>
      </c>
      <c r="F77" s="22">
        <v>1192</v>
      </c>
      <c r="G77" s="22">
        <v>1863</v>
      </c>
      <c r="H77" s="55">
        <v>-47.96</v>
      </c>
      <c r="I77" s="55">
        <v>-36.020000000000003</v>
      </c>
      <c r="J77" s="55">
        <v>0.55000000000000004</v>
      </c>
      <c r="K77" s="55">
        <v>0.69</v>
      </c>
      <c r="L77" s="55">
        <v>0.74</v>
      </c>
      <c r="M77" s="55">
        <v>1.1499999999999999</v>
      </c>
      <c r="N77" s="55"/>
    </row>
    <row r="78" spans="1:14">
      <c r="A78" s="55">
        <v>39</v>
      </c>
      <c r="B78" s="55" t="s">
        <v>1123</v>
      </c>
      <c r="C78" s="55" t="s">
        <v>20</v>
      </c>
      <c r="D78" s="22">
        <v>67</v>
      </c>
      <c r="E78" s="22">
        <v>0</v>
      </c>
      <c r="F78" s="22">
        <v>1190</v>
      </c>
      <c r="G78" s="22">
        <v>100</v>
      </c>
      <c r="H78" s="55">
        <v>0</v>
      </c>
      <c r="I78" s="55">
        <v>1090</v>
      </c>
      <c r="J78" s="55">
        <v>0.36</v>
      </c>
      <c r="K78" s="55">
        <v>0.69</v>
      </c>
      <c r="L78" s="55">
        <v>0</v>
      </c>
      <c r="M78" s="55">
        <v>0.06</v>
      </c>
      <c r="N78" s="55"/>
    </row>
    <row r="79" spans="1:14">
      <c r="A79" s="55">
        <v>40</v>
      </c>
      <c r="B79" s="55" t="s">
        <v>696</v>
      </c>
      <c r="C79" s="55" t="s">
        <v>20</v>
      </c>
      <c r="D79" s="22">
        <v>132</v>
      </c>
      <c r="E79" s="22">
        <v>81</v>
      </c>
      <c r="F79" s="22">
        <v>1122</v>
      </c>
      <c r="G79" s="22">
        <v>773</v>
      </c>
      <c r="H79" s="55">
        <v>62.96</v>
      </c>
      <c r="I79" s="55">
        <v>45.15</v>
      </c>
      <c r="J79" s="55">
        <v>0.71</v>
      </c>
      <c r="K79" s="55">
        <v>0.65</v>
      </c>
      <c r="L79" s="55">
        <v>0.31</v>
      </c>
      <c r="M79" s="55">
        <v>0.48</v>
      </c>
      <c r="N79" s="55"/>
    </row>
    <row r="80" spans="1:14">
      <c r="A80" s="55">
        <v>41</v>
      </c>
      <c r="B80" s="55" t="s">
        <v>597</v>
      </c>
      <c r="C80" s="55" t="s">
        <v>20</v>
      </c>
      <c r="D80" s="22">
        <v>159</v>
      </c>
      <c r="E80" s="22">
        <v>155</v>
      </c>
      <c r="F80" s="22">
        <v>1103</v>
      </c>
      <c r="G80" s="22">
        <v>553</v>
      </c>
      <c r="H80" s="55">
        <v>2.58</v>
      </c>
      <c r="I80" s="55">
        <v>99.46</v>
      </c>
      <c r="J80" s="55">
        <v>0.86</v>
      </c>
      <c r="K80" s="55">
        <v>0.64</v>
      </c>
      <c r="L80" s="55">
        <v>0.59</v>
      </c>
      <c r="M80" s="55">
        <v>0.34</v>
      </c>
      <c r="N80" s="55"/>
    </row>
    <row r="81" spans="1:14">
      <c r="A81" s="55">
        <v>42</v>
      </c>
      <c r="B81" s="55" t="s">
        <v>583</v>
      </c>
      <c r="C81" s="55" t="s">
        <v>20</v>
      </c>
      <c r="D81" s="22">
        <v>55</v>
      </c>
      <c r="E81" s="22">
        <v>213</v>
      </c>
      <c r="F81" s="22">
        <v>1094</v>
      </c>
      <c r="G81" s="22">
        <v>2903</v>
      </c>
      <c r="H81" s="55">
        <v>-74.180000000000007</v>
      </c>
      <c r="I81" s="55">
        <v>-62.31</v>
      </c>
      <c r="J81" s="55">
        <v>0.3</v>
      </c>
      <c r="K81" s="55">
        <v>0.63</v>
      </c>
      <c r="L81" s="55">
        <v>0.8</v>
      </c>
      <c r="M81" s="55">
        <v>1.8</v>
      </c>
      <c r="N81" s="55"/>
    </row>
    <row r="82" spans="1:14">
      <c r="A82" s="55">
        <v>43</v>
      </c>
      <c r="B82" s="55" t="s">
        <v>658</v>
      </c>
      <c r="C82" s="55" t="s">
        <v>20</v>
      </c>
      <c r="D82" s="22">
        <v>60</v>
      </c>
      <c r="E82" s="22">
        <v>99</v>
      </c>
      <c r="F82" s="22">
        <v>1036</v>
      </c>
      <c r="G82" s="22">
        <v>952</v>
      </c>
      <c r="H82" s="55">
        <v>-39.39</v>
      </c>
      <c r="I82" s="55">
        <v>8.82</v>
      </c>
      <c r="J82" s="55">
        <v>0.32</v>
      </c>
      <c r="K82" s="55">
        <v>0.6</v>
      </c>
      <c r="L82" s="55">
        <v>0.37</v>
      </c>
      <c r="M82" s="55">
        <v>0.59</v>
      </c>
      <c r="N82" s="55"/>
    </row>
    <row r="83" spans="1:14" hidden="1">
      <c r="A83" s="55">
        <v>44</v>
      </c>
      <c r="B83" s="55" t="s">
        <v>487</v>
      </c>
      <c r="C83" s="55" t="s">
        <v>19</v>
      </c>
      <c r="D83" s="22">
        <v>141</v>
      </c>
      <c r="E83" s="22">
        <v>63</v>
      </c>
      <c r="F83" s="22">
        <v>1035</v>
      </c>
      <c r="G83" s="22">
        <v>372</v>
      </c>
      <c r="H83" s="55">
        <v>123.81</v>
      </c>
      <c r="I83" s="55">
        <v>178.23</v>
      </c>
      <c r="J83" s="55">
        <v>0.76</v>
      </c>
      <c r="K83" s="55">
        <v>0.6</v>
      </c>
      <c r="L83" s="55">
        <v>0.24</v>
      </c>
      <c r="M83" s="55">
        <v>0.23</v>
      </c>
      <c r="N83" s="55"/>
    </row>
    <row r="84" spans="1:14">
      <c r="A84" s="55">
        <v>45</v>
      </c>
      <c r="B84" s="55" t="s">
        <v>557</v>
      </c>
      <c r="C84" s="55" t="s">
        <v>20</v>
      </c>
      <c r="D84" s="22">
        <v>106</v>
      </c>
      <c r="E84" s="22">
        <v>140</v>
      </c>
      <c r="F84" s="22">
        <v>987</v>
      </c>
      <c r="G84" s="22">
        <v>662</v>
      </c>
      <c r="H84" s="55">
        <v>-24.29</v>
      </c>
      <c r="I84" s="55">
        <v>49.09</v>
      </c>
      <c r="J84" s="55">
        <v>0.56999999999999995</v>
      </c>
      <c r="K84" s="55">
        <v>0.56999999999999995</v>
      </c>
      <c r="L84" s="55">
        <v>0.53</v>
      </c>
      <c r="M84" s="55">
        <v>0.41</v>
      </c>
      <c r="N84" s="55"/>
    </row>
    <row r="85" spans="1:14">
      <c r="A85" s="55">
        <v>46</v>
      </c>
      <c r="B85" s="55" t="s">
        <v>400</v>
      </c>
      <c r="C85" s="55" t="s">
        <v>20</v>
      </c>
      <c r="D85" s="22">
        <v>102</v>
      </c>
      <c r="E85" s="22">
        <v>134</v>
      </c>
      <c r="F85" s="22">
        <v>920</v>
      </c>
      <c r="G85" s="22">
        <v>1379</v>
      </c>
      <c r="H85" s="55">
        <v>-23.88</v>
      </c>
      <c r="I85" s="55">
        <v>-33.28</v>
      </c>
      <c r="J85" s="55">
        <v>0.55000000000000004</v>
      </c>
      <c r="K85" s="55">
        <v>0.53</v>
      </c>
      <c r="L85" s="55">
        <v>0.51</v>
      </c>
      <c r="M85" s="55">
        <v>0.85</v>
      </c>
      <c r="N85" s="55"/>
    </row>
    <row r="86" spans="1:14">
      <c r="A86" s="55">
        <v>47</v>
      </c>
      <c r="B86" s="55" t="s">
        <v>688</v>
      </c>
      <c r="C86" s="55" t="s">
        <v>20</v>
      </c>
      <c r="D86" s="22">
        <v>103</v>
      </c>
      <c r="E86" s="22">
        <v>375</v>
      </c>
      <c r="F86" s="22">
        <v>914</v>
      </c>
      <c r="G86" s="22">
        <v>950</v>
      </c>
      <c r="H86" s="55">
        <v>-72.53</v>
      </c>
      <c r="I86" s="55">
        <v>-3.79</v>
      </c>
      <c r="J86" s="55">
        <v>0.56000000000000005</v>
      </c>
      <c r="K86" s="55">
        <v>0.53</v>
      </c>
      <c r="L86" s="55">
        <v>1.42</v>
      </c>
      <c r="M86" s="55">
        <v>0.59</v>
      </c>
      <c r="N86" s="55"/>
    </row>
    <row r="87" spans="1:14">
      <c r="A87" s="55">
        <v>48</v>
      </c>
      <c r="B87" s="55" t="s">
        <v>1008</v>
      </c>
      <c r="C87" s="55" t="s">
        <v>20</v>
      </c>
      <c r="D87" s="22">
        <v>80</v>
      </c>
      <c r="E87" s="22">
        <v>8</v>
      </c>
      <c r="F87" s="22">
        <v>909</v>
      </c>
      <c r="G87" s="22">
        <v>107</v>
      </c>
      <c r="H87" s="55">
        <v>900</v>
      </c>
      <c r="I87" s="55">
        <v>749.53</v>
      </c>
      <c r="J87" s="55">
        <v>0.43</v>
      </c>
      <c r="K87" s="55">
        <v>0.53</v>
      </c>
      <c r="L87" s="55">
        <v>0.03</v>
      </c>
      <c r="M87" s="55">
        <v>7.0000000000000007E-2</v>
      </c>
      <c r="N87" s="55"/>
    </row>
    <row r="88" spans="1:14" hidden="1">
      <c r="A88" s="55">
        <v>49</v>
      </c>
      <c r="B88" s="55" t="s">
        <v>380</v>
      </c>
      <c r="C88" s="55" t="s">
        <v>19</v>
      </c>
      <c r="D88" s="22">
        <v>25</v>
      </c>
      <c r="E88" s="22">
        <v>102</v>
      </c>
      <c r="F88" s="22">
        <v>880</v>
      </c>
      <c r="G88" s="22">
        <v>2257</v>
      </c>
      <c r="H88" s="55">
        <v>-75.489999999999995</v>
      </c>
      <c r="I88" s="55">
        <v>-61.01</v>
      </c>
      <c r="J88" s="55">
        <v>0.14000000000000001</v>
      </c>
      <c r="K88" s="55">
        <v>0.51</v>
      </c>
      <c r="L88" s="55">
        <v>0.39</v>
      </c>
      <c r="M88" s="55">
        <v>1.4</v>
      </c>
      <c r="N88" s="55"/>
    </row>
    <row r="89" spans="1:14" hidden="1">
      <c r="A89" s="55">
        <v>50</v>
      </c>
      <c r="B89" s="55" t="s">
        <v>40</v>
      </c>
      <c r="C89" s="55" t="s">
        <v>19</v>
      </c>
      <c r="D89" s="22">
        <v>79</v>
      </c>
      <c r="E89" s="22">
        <v>28</v>
      </c>
      <c r="F89" s="22">
        <v>834</v>
      </c>
      <c r="G89" s="22">
        <v>532</v>
      </c>
      <c r="H89" s="55">
        <v>182.14</v>
      </c>
      <c r="I89" s="55">
        <v>56.77</v>
      </c>
      <c r="J89" s="55">
        <v>0.43</v>
      </c>
      <c r="K89" s="55">
        <v>0.48</v>
      </c>
      <c r="L89" s="55">
        <v>0.11</v>
      </c>
      <c r="M89" s="55">
        <v>0.33</v>
      </c>
      <c r="N89" s="55"/>
    </row>
    <row r="90" spans="1:14" hidden="1">
      <c r="A90" s="55">
        <v>51</v>
      </c>
      <c r="B90" s="55" t="s">
        <v>228</v>
      </c>
      <c r="C90" s="55" t="s">
        <v>19</v>
      </c>
      <c r="D90" s="22">
        <v>45</v>
      </c>
      <c r="E90" s="22">
        <v>36</v>
      </c>
      <c r="F90" s="22">
        <v>828</v>
      </c>
      <c r="G90" s="22">
        <v>1019</v>
      </c>
      <c r="H90" s="55">
        <v>25</v>
      </c>
      <c r="I90" s="55">
        <v>-18.739999999999998</v>
      </c>
      <c r="J90" s="55">
        <v>0.24</v>
      </c>
      <c r="K90" s="55">
        <v>0.48</v>
      </c>
      <c r="L90" s="55">
        <v>0.14000000000000001</v>
      </c>
      <c r="M90" s="55">
        <v>0.63</v>
      </c>
      <c r="N90" s="55"/>
    </row>
    <row r="91" spans="1:14">
      <c r="A91" s="55">
        <v>52</v>
      </c>
      <c r="B91" s="55" t="s">
        <v>493</v>
      </c>
      <c r="C91" s="55" t="s">
        <v>20</v>
      </c>
      <c r="D91" s="22">
        <v>46</v>
      </c>
      <c r="E91" s="22">
        <v>282</v>
      </c>
      <c r="F91" s="22">
        <v>814</v>
      </c>
      <c r="G91" s="22">
        <v>774</v>
      </c>
      <c r="H91" s="55">
        <v>-83.69</v>
      </c>
      <c r="I91" s="55">
        <v>5.17</v>
      </c>
      <c r="J91" s="55">
        <v>0.25</v>
      </c>
      <c r="K91" s="55">
        <v>0.47</v>
      </c>
      <c r="L91" s="55">
        <v>1.07</v>
      </c>
      <c r="M91" s="55">
        <v>0.48</v>
      </c>
      <c r="N91" s="55"/>
    </row>
    <row r="92" spans="1:14" hidden="1">
      <c r="A92" s="55">
        <v>53</v>
      </c>
      <c r="B92" s="55" t="s">
        <v>394</v>
      </c>
      <c r="C92" s="55" t="s">
        <v>19</v>
      </c>
      <c r="D92" s="22">
        <v>2</v>
      </c>
      <c r="E92" s="22">
        <v>469</v>
      </c>
      <c r="F92" s="22">
        <v>753</v>
      </c>
      <c r="G92" s="22">
        <v>1924</v>
      </c>
      <c r="H92" s="62">
        <v>-99.57</v>
      </c>
      <c r="I92" s="62">
        <v>-60.86</v>
      </c>
      <c r="J92" s="55">
        <v>0.01</v>
      </c>
      <c r="K92" s="55">
        <v>0.43</v>
      </c>
      <c r="L92" s="55">
        <v>1.77</v>
      </c>
      <c r="M92" s="55">
        <v>1.19</v>
      </c>
      <c r="N92" s="55"/>
    </row>
    <row r="93" spans="1:14" hidden="1">
      <c r="A93" s="55">
        <v>54</v>
      </c>
      <c r="B93" s="55" t="s">
        <v>651</v>
      </c>
      <c r="C93" s="55" t="s">
        <v>19</v>
      </c>
      <c r="D93" s="22">
        <v>80</v>
      </c>
      <c r="E93" s="22">
        <v>55</v>
      </c>
      <c r="F93" s="22">
        <v>722</v>
      </c>
      <c r="G93" s="22">
        <v>379</v>
      </c>
      <c r="H93" s="78">
        <v>45.45</v>
      </c>
      <c r="I93" s="78">
        <v>90.5</v>
      </c>
      <c r="J93" s="55">
        <v>0.43</v>
      </c>
      <c r="K93" s="55">
        <v>0.42</v>
      </c>
      <c r="L93" s="55">
        <v>0.21</v>
      </c>
      <c r="M93" s="55">
        <v>0.23</v>
      </c>
      <c r="N93" s="55"/>
    </row>
    <row r="94" spans="1:14">
      <c r="A94" s="55">
        <v>55</v>
      </c>
      <c r="B94" s="55" t="s">
        <v>1089</v>
      </c>
      <c r="C94" s="55" t="s">
        <v>20</v>
      </c>
      <c r="D94" s="22">
        <v>145</v>
      </c>
      <c r="E94" s="22">
        <v>23</v>
      </c>
      <c r="F94" s="22">
        <v>720</v>
      </c>
      <c r="G94" s="22">
        <v>125</v>
      </c>
      <c r="H94" s="55">
        <v>530.42999999999995</v>
      </c>
      <c r="I94" s="55">
        <v>476</v>
      </c>
      <c r="J94" s="55">
        <v>0.78</v>
      </c>
      <c r="K94" s="55">
        <v>0.42</v>
      </c>
      <c r="L94" s="55">
        <v>0.09</v>
      </c>
      <c r="M94" s="55">
        <v>0.08</v>
      </c>
      <c r="N94" s="55"/>
    </row>
    <row r="95" spans="1:14" hidden="1">
      <c r="A95" s="55">
        <v>56</v>
      </c>
      <c r="B95" s="55" t="s">
        <v>404</v>
      </c>
      <c r="C95" s="55" t="s">
        <v>19</v>
      </c>
      <c r="D95" s="22">
        <v>47</v>
      </c>
      <c r="E95" s="22">
        <v>73</v>
      </c>
      <c r="F95" s="22">
        <v>705</v>
      </c>
      <c r="G95" s="22">
        <v>516</v>
      </c>
      <c r="H95" s="55">
        <v>-35.619999999999997</v>
      </c>
      <c r="I95" s="55">
        <v>36.630000000000003</v>
      </c>
      <c r="J95" s="55">
        <v>0.25</v>
      </c>
      <c r="K95" s="55">
        <v>0.41</v>
      </c>
      <c r="L95" s="55">
        <v>0.28000000000000003</v>
      </c>
      <c r="M95" s="55">
        <v>0.32</v>
      </c>
      <c r="N95" s="55"/>
    </row>
    <row r="96" spans="1:14">
      <c r="A96" s="55">
        <v>57</v>
      </c>
      <c r="B96" s="55" t="s">
        <v>1033</v>
      </c>
      <c r="C96" s="55" t="s">
        <v>20</v>
      </c>
      <c r="D96" s="22">
        <v>169</v>
      </c>
      <c r="E96" s="22">
        <v>139</v>
      </c>
      <c r="F96" s="22">
        <v>682</v>
      </c>
      <c r="G96" s="22">
        <v>139</v>
      </c>
      <c r="H96" s="55">
        <v>21.58</v>
      </c>
      <c r="I96" s="55">
        <v>390.65</v>
      </c>
      <c r="J96" s="55">
        <v>0.91</v>
      </c>
      <c r="K96" s="55">
        <v>0.39</v>
      </c>
      <c r="L96" s="55">
        <v>0.53</v>
      </c>
      <c r="M96" s="55">
        <v>0.09</v>
      </c>
      <c r="N96" s="55"/>
    </row>
    <row r="97" spans="1:14">
      <c r="A97" s="55">
        <v>58</v>
      </c>
      <c r="B97" s="55" t="s">
        <v>363</v>
      </c>
      <c r="C97" s="55" t="s">
        <v>20</v>
      </c>
      <c r="D97" s="22">
        <v>73</v>
      </c>
      <c r="E97" s="22">
        <v>142</v>
      </c>
      <c r="F97" s="22">
        <v>673</v>
      </c>
      <c r="G97" s="22">
        <v>823</v>
      </c>
      <c r="H97" s="55">
        <v>-48.59</v>
      </c>
      <c r="I97" s="55">
        <v>-18.23</v>
      </c>
      <c r="J97" s="55">
        <v>0.4</v>
      </c>
      <c r="K97" s="55">
        <v>0.39</v>
      </c>
      <c r="L97" s="55">
        <v>0.54</v>
      </c>
      <c r="M97" s="55">
        <v>0.51</v>
      </c>
      <c r="N97" s="55"/>
    </row>
    <row r="98" spans="1:14" hidden="1">
      <c r="A98" s="55">
        <v>59</v>
      </c>
      <c r="B98" s="55" t="s">
        <v>116</v>
      </c>
      <c r="C98" s="55" t="s">
        <v>19</v>
      </c>
      <c r="D98" s="22">
        <v>42</v>
      </c>
      <c r="E98" s="22">
        <v>138</v>
      </c>
      <c r="F98" s="22">
        <v>670</v>
      </c>
      <c r="G98" s="22">
        <v>1104</v>
      </c>
      <c r="H98" s="55">
        <v>-69.569999999999993</v>
      </c>
      <c r="I98" s="55">
        <v>-39.31</v>
      </c>
      <c r="J98" s="55">
        <v>0.23</v>
      </c>
      <c r="K98" s="55">
        <v>0.39</v>
      </c>
      <c r="L98" s="55">
        <v>0.52</v>
      </c>
      <c r="M98" s="55">
        <v>0.68</v>
      </c>
      <c r="N98" s="55"/>
    </row>
    <row r="99" spans="1:14">
      <c r="A99" s="55">
        <v>60</v>
      </c>
      <c r="B99" s="55" t="s">
        <v>1266</v>
      </c>
      <c r="C99" s="55" t="s">
        <v>20</v>
      </c>
      <c r="D99" s="22">
        <v>313</v>
      </c>
      <c r="E99" s="22">
        <v>0</v>
      </c>
      <c r="F99" s="22">
        <v>651</v>
      </c>
      <c r="G99" s="22">
        <v>0</v>
      </c>
      <c r="H99" s="55">
        <v>0</v>
      </c>
      <c r="I99" s="55">
        <v>0</v>
      </c>
      <c r="J99" s="55">
        <v>1.69</v>
      </c>
      <c r="K99" s="55">
        <v>0.38</v>
      </c>
      <c r="L99" s="55">
        <v>0</v>
      </c>
      <c r="M99" s="55">
        <v>0</v>
      </c>
      <c r="N99" s="55"/>
    </row>
    <row r="100" spans="1:14">
      <c r="A100" s="55">
        <v>61</v>
      </c>
      <c r="B100" s="55" t="s">
        <v>559</v>
      </c>
      <c r="C100" s="55" t="s">
        <v>20</v>
      </c>
      <c r="D100" s="22">
        <v>2</v>
      </c>
      <c r="E100" s="22">
        <v>35</v>
      </c>
      <c r="F100" s="22">
        <v>627</v>
      </c>
      <c r="G100" s="22">
        <v>952</v>
      </c>
      <c r="H100" s="55">
        <v>-94.29</v>
      </c>
      <c r="I100" s="55">
        <v>-34.14</v>
      </c>
      <c r="J100" s="55">
        <v>0.01</v>
      </c>
      <c r="K100" s="55">
        <v>0.36</v>
      </c>
      <c r="L100" s="55">
        <v>0.13</v>
      </c>
      <c r="M100" s="55">
        <v>0.59</v>
      </c>
      <c r="N100" s="55"/>
    </row>
    <row r="101" spans="1:14" hidden="1">
      <c r="A101" s="55">
        <v>62</v>
      </c>
      <c r="B101" s="55" t="s">
        <v>358</v>
      </c>
      <c r="C101" s="55" t="s">
        <v>19</v>
      </c>
      <c r="D101" s="22">
        <v>1</v>
      </c>
      <c r="E101" s="22">
        <v>105</v>
      </c>
      <c r="F101" s="22">
        <v>607</v>
      </c>
      <c r="G101" s="22">
        <v>477</v>
      </c>
      <c r="H101" s="55">
        <v>-99.05</v>
      </c>
      <c r="I101" s="55">
        <v>27.25</v>
      </c>
      <c r="J101" s="55">
        <v>0.01</v>
      </c>
      <c r="K101" s="55">
        <v>0.35</v>
      </c>
      <c r="L101" s="55">
        <v>0.4</v>
      </c>
      <c r="M101" s="55">
        <v>0.3</v>
      </c>
      <c r="N101" s="55"/>
    </row>
    <row r="102" spans="1:14">
      <c r="A102" s="55">
        <v>63</v>
      </c>
      <c r="B102" s="55" t="s">
        <v>1183</v>
      </c>
      <c r="C102" s="55" t="s">
        <v>20</v>
      </c>
      <c r="D102" s="22">
        <v>96</v>
      </c>
      <c r="E102" s="22">
        <v>0</v>
      </c>
      <c r="F102" s="22">
        <v>590</v>
      </c>
      <c r="G102" s="22">
        <v>0</v>
      </c>
      <c r="H102" s="55">
        <v>0</v>
      </c>
      <c r="I102" s="55">
        <v>0</v>
      </c>
      <c r="J102" s="55">
        <v>0.52</v>
      </c>
      <c r="K102" s="55">
        <v>0.34</v>
      </c>
      <c r="L102" s="55">
        <v>0</v>
      </c>
      <c r="M102" s="55">
        <v>0</v>
      </c>
      <c r="N102" s="55"/>
    </row>
    <row r="103" spans="1:14" hidden="1">
      <c r="A103" s="55">
        <v>64</v>
      </c>
      <c r="B103" s="55" t="s">
        <v>373</v>
      </c>
      <c r="C103" s="55" t="s">
        <v>19</v>
      </c>
      <c r="D103" s="22">
        <v>45</v>
      </c>
      <c r="E103" s="22">
        <v>42</v>
      </c>
      <c r="F103" s="22">
        <v>580</v>
      </c>
      <c r="G103" s="22">
        <v>1015</v>
      </c>
      <c r="H103" s="55">
        <v>7.14</v>
      </c>
      <c r="I103" s="55">
        <v>-42.86</v>
      </c>
      <c r="J103" s="55">
        <v>0.24</v>
      </c>
      <c r="K103" s="55">
        <v>0.33</v>
      </c>
      <c r="L103" s="55">
        <v>0.16</v>
      </c>
      <c r="M103" s="55">
        <v>0.63</v>
      </c>
      <c r="N103" s="55"/>
    </row>
    <row r="104" spans="1:14" hidden="1">
      <c r="A104" s="55">
        <v>65</v>
      </c>
      <c r="B104" s="55" t="s">
        <v>75</v>
      </c>
      <c r="C104" s="55" t="s">
        <v>19</v>
      </c>
      <c r="D104" s="22">
        <v>51</v>
      </c>
      <c r="E104" s="22">
        <v>21</v>
      </c>
      <c r="F104" s="22">
        <v>553</v>
      </c>
      <c r="G104" s="22">
        <v>403</v>
      </c>
      <c r="H104" s="55">
        <v>142.86000000000001</v>
      </c>
      <c r="I104" s="55">
        <v>37.22</v>
      </c>
      <c r="J104" s="55">
        <v>0.28000000000000003</v>
      </c>
      <c r="K104" s="55">
        <v>0.32</v>
      </c>
      <c r="L104" s="55">
        <v>0.08</v>
      </c>
      <c r="M104" s="55">
        <v>0.25</v>
      </c>
      <c r="N104" s="55"/>
    </row>
    <row r="105" spans="1:14" hidden="1">
      <c r="A105" s="55">
        <v>66</v>
      </c>
      <c r="B105" s="55" t="s">
        <v>374</v>
      </c>
      <c r="C105" s="55" t="s">
        <v>19</v>
      </c>
      <c r="D105" s="22">
        <v>46</v>
      </c>
      <c r="E105" s="22">
        <v>23</v>
      </c>
      <c r="F105" s="22">
        <v>553</v>
      </c>
      <c r="G105" s="22">
        <v>129</v>
      </c>
      <c r="H105" s="55">
        <v>100</v>
      </c>
      <c r="I105" s="55">
        <v>328.68</v>
      </c>
      <c r="J105" s="55">
        <v>0.25</v>
      </c>
      <c r="K105" s="55">
        <v>0.32</v>
      </c>
      <c r="L105" s="55">
        <v>0.09</v>
      </c>
      <c r="M105" s="55">
        <v>0.08</v>
      </c>
      <c r="N105" s="55"/>
    </row>
    <row r="106" spans="1:14" hidden="1">
      <c r="A106" s="55">
        <v>67</v>
      </c>
      <c r="B106" s="55" t="s">
        <v>389</v>
      </c>
      <c r="C106" s="55" t="s">
        <v>19</v>
      </c>
      <c r="D106" s="22">
        <v>56</v>
      </c>
      <c r="E106" s="22">
        <v>57</v>
      </c>
      <c r="F106" s="22">
        <v>545</v>
      </c>
      <c r="G106" s="22">
        <v>1269</v>
      </c>
      <c r="H106" s="55">
        <v>-1.75</v>
      </c>
      <c r="I106" s="55">
        <v>-57.05</v>
      </c>
      <c r="J106" s="55">
        <v>0.3</v>
      </c>
      <c r="K106" s="55">
        <v>0.31</v>
      </c>
      <c r="L106" s="55">
        <v>0.22</v>
      </c>
      <c r="M106" s="55">
        <v>0.79</v>
      </c>
      <c r="N106" s="55"/>
    </row>
    <row r="107" spans="1:14">
      <c r="A107" s="55">
        <v>68</v>
      </c>
      <c r="B107" s="55" t="s">
        <v>1029</v>
      </c>
      <c r="C107" s="55" t="s">
        <v>20</v>
      </c>
      <c r="D107" s="22">
        <v>31</v>
      </c>
      <c r="E107" s="22">
        <v>211</v>
      </c>
      <c r="F107" s="22">
        <v>542</v>
      </c>
      <c r="G107" s="22">
        <v>211</v>
      </c>
      <c r="H107" s="55">
        <v>-85.31</v>
      </c>
      <c r="I107" s="55">
        <v>156.87</v>
      </c>
      <c r="J107" s="55">
        <v>0.17</v>
      </c>
      <c r="K107" s="55">
        <v>0.31</v>
      </c>
      <c r="L107" s="55">
        <v>0.8</v>
      </c>
      <c r="M107" s="55">
        <v>0.13</v>
      </c>
      <c r="N107" s="55"/>
    </row>
    <row r="108" spans="1:14" hidden="1">
      <c r="A108" s="55">
        <v>69</v>
      </c>
      <c r="B108" s="55" t="s">
        <v>234</v>
      </c>
      <c r="C108" s="55" t="s">
        <v>19</v>
      </c>
      <c r="D108" s="22">
        <v>29</v>
      </c>
      <c r="E108" s="22">
        <v>45</v>
      </c>
      <c r="F108" s="22">
        <v>539</v>
      </c>
      <c r="G108" s="22">
        <v>176</v>
      </c>
      <c r="H108" s="55">
        <v>-35.56</v>
      </c>
      <c r="I108" s="55">
        <v>206.25</v>
      </c>
      <c r="J108" s="55">
        <v>0.16</v>
      </c>
      <c r="K108" s="55">
        <v>0.31</v>
      </c>
      <c r="L108" s="55">
        <v>0.17</v>
      </c>
      <c r="M108" s="55">
        <v>0.11</v>
      </c>
      <c r="N108" s="55"/>
    </row>
    <row r="109" spans="1:14">
      <c r="A109" s="55">
        <v>70</v>
      </c>
      <c r="B109" s="55" t="s">
        <v>99</v>
      </c>
      <c r="C109" s="55" t="s">
        <v>20</v>
      </c>
      <c r="D109" s="22">
        <v>4</v>
      </c>
      <c r="E109" s="22">
        <v>83</v>
      </c>
      <c r="F109" s="22">
        <v>536</v>
      </c>
      <c r="G109" s="22">
        <v>1306</v>
      </c>
      <c r="H109" s="55">
        <v>-95.18</v>
      </c>
      <c r="I109" s="55">
        <v>-58.96</v>
      </c>
      <c r="J109" s="55">
        <v>0.02</v>
      </c>
      <c r="K109" s="55">
        <v>0.31</v>
      </c>
      <c r="L109" s="55">
        <v>0.31</v>
      </c>
      <c r="M109" s="55">
        <v>0.81</v>
      </c>
      <c r="N109" s="55"/>
    </row>
    <row r="110" spans="1:14" hidden="1">
      <c r="A110" s="55">
        <v>71</v>
      </c>
      <c r="B110" s="55" t="s">
        <v>1210</v>
      </c>
      <c r="C110" s="55" t="s">
        <v>19</v>
      </c>
      <c r="D110" s="22">
        <v>71</v>
      </c>
      <c r="E110" s="22">
        <v>0</v>
      </c>
      <c r="F110" s="22">
        <v>532</v>
      </c>
      <c r="G110" s="22">
        <v>0</v>
      </c>
      <c r="H110" s="55">
        <v>0</v>
      </c>
      <c r="I110" s="55">
        <v>0</v>
      </c>
      <c r="J110" s="55">
        <v>0.38</v>
      </c>
      <c r="K110" s="55">
        <v>0.31</v>
      </c>
      <c r="L110" s="55">
        <v>0</v>
      </c>
      <c r="M110" s="55">
        <v>0</v>
      </c>
      <c r="N110" s="55"/>
    </row>
    <row r="111" spans="1:14" hidden="1">
      <c r="A111" s="55">
        <v>72</v>
      </c>
      <c r="B111" s="55" t="s">
        <v>1090</v>
      </c>
      <c r="C111" s="55" t="s">
        <v>19</v>
      </c>
      <c r="D111" s="22">
        <v>134</v>
      </c>
      <c r="E111" s="22">
        <v>0</v>
      </c>
      <c r="F111" s="22">
        <v>478</v>
      </c>
      <c r="G111" s="22">
        <v>0</v>
      </c>
      <c r="H111" s="55">
        <v>0</v>
      </c>
      <c r="I111" s="55">
        <v>0</v>
      </c>
      <c r="J111" s="55">
        <v>0.73</v>
      </c>
      <c r="K111" s="55">
        <v>0.28000000000000003</v>
      </c>
      <c r="L111" s="55">
        <v>0</v>
      </c>
      <c r="M111" s="55">
        <v>0</v>
      </c>
      <c r="N111" s="55"/>
    </row>
    <row r="112" spans="1:14" hidden="1">
      <c r="A112" s="55">
        <v>73</v>
      </c>
      <c r="B112" s="55" t="s">
        <v>401</v>
      </c>
      <c r="C112" s="55" t="s">
        <v>19</v>
      </c>
      <c r="D112" s="22">
        <v>38</v>
      </c>
      <c r="E112" s="22">
        <v>2</v>
      </c>
      <c r="F112" s="22">
        <v>477</v>
      </c>
      <c r="G112" s="22">
        <v>813</v>
      </c>
      <c r="H112" s="55">
        <v>1800</v>
      </c>
      <c r="I112" s="55">
        <v>-41.33</v>
      </c>
      <c r="J112" s="55">
        <v>0.21</v>
      </c>
      <c r="K112" s="55">
        <v>0.28000000000000003</v>
      </c>
      <c r="L112" s="55">
        <v>0.01</v>
      </c>
      <c r="M112" s="55">
        <v>0.5</v>
      </c>
      <c r="N112" s="55"/>
    </row>
    <row r="113" spans="1:14" hidden="1">
      <c r="A113" s="55">
        <v>74</v>
      </c>
      <c r="B113" s="55" t="s">
        <v>1057</v>
      </c>
      <c r="C113" s="55" t="s">
        <v>19</v>
      </c>
      <c r="D113" s="22">
        <v>186</v>
      </c>
      <c r="E113" s="22">
        <v>0</v>
      </c>
      <c r="F113" s="22">
        <v>457</v>
      </c>
      <c r="G113" s="22">
        <v>0</v>
      </c>
      <c r="H113" s="55">
        <v>0</v>
      </c>
      <c r="I113" s="55">
        <v>0</v>
      </c>
      <c r="J113" s="55">
        <v>1.01</v>
      </c>
      <c r="K113" s="55">
        <v>0.26</v>
      </c>
      <c r="L113" s="55">
        <v>0</v>
      </c>
      <c r="M113" s="55">
        <v>0</v>
      </c>
      <c r="N113" s="55"/>
    </row>
    <row r="114" spans="1:14">
      <c r="A114" s="55">
        <v>75</v>
      </c>
      <c r="B114" s="55" t="s">
        <v>638</v>
      </c>
      <c r="C114" s="55" t="s">
        <v>20</v>
      </c>
      <c r="D114" s="22">
        <v>45</v>
      </c>
      <c r="E114" s="22">
        <v>35</v>
      </c>
      <c r="F114" s="22">
        <v>451</v>
      </c>
      <c r="G114" s="22">
        <v>399</v>
      </c>
      <c r="H114" s="55">
        <v>28.57</v>
      </c>
      <c r="I114" s="55">
        <v>13.03</v>
      </c>
      <c r="J114" s="55">
        <v>0.24</v>
      </c>
      <c r="K114" s="55">
        <v>0.26</v>
      </c>
      <c r="L114" s="55">
        <v>0.13</v>
      </c>
      <c r="M114" s="55">
        <v>0.25</v>
      </c>
      <c r="N114" s="55"/>
    </row>
    <row r="115" spans="1:14">
      <c r="A115" s="55">
        <v>76</v>
      </c>
      <c r="B115" s="55" t="s">
        <v>590</v>
      </c>
      <c r="C115" s="55" t="s">
        <v>20</v>
      </c>
      <c r="D115" s="22">
        <v>12</v>
      </c>
      <c r="E115" s="22">
        <v>325</v>
      </c>
      <c r="F115" s="22">
        <v>443</v>
      </c>
      <c r="G115" s="22">
        <v>2239</v>
      </c>
      <c r="H115" s="55">
        <v>-96.31</v>
      </c>
      <c r="I115" s="55">
        <v>-80.209999999999994</v>
      </c>
      <c r="J115" s="55">
        <v>0.06</v>
      </c>
      <c r="K115" s="55">
        <v>0.26</v>
      </c>
      <c r="L115" s="55">
        <v>1.23</v>
      </c>
      <c r="M115" s="55">
        <v>1.39</v>
      </c>
      <c r="N115" s="55"/>
    </row>
    <row r="116" spans="1:14">
      <c r="A116" s="55">
        <v>77</v>
      </c>
      <c r="B116" s="55" t="s">
        <v>405</v>
      </c>
      <c r="C116" s="55" t="s">
        <v>20</v>
      </c>
      <c r="D116" s="22">
        <v>1</v>
      </c>
      <c r="E116" s="22">
        <v>12</v>
      </c>
      <c r="F116" s="22">
        <v>423</v>
      </c>
      <c r="G116" s="22">
        <v>437</v>
      </c>
      <c r="H116" s="55">
        <v>-91.67</v>
      </c>
      <c r="I116" s="55">
        <v>-3.2</v>
      </c>
      <c r="J116" s="55">
        <v>0.01</v>
      </c>
      <c r="K116" s="55">
        <v>0.24</v>
      </c>
      <c r="L116" s="55">
        <v>0.05</v>
      </c>
      <c r="M116" s="55">
        <v>0.27</v>
      </c>
      <c r="N116" s="55"/>
    </row>
    <row r="117" spans="1:14" hidden="1">
      <c r="A117" s="55">
        <v>78</v>
      </c>
      <c r="B117" s="55" t="s">
        <v>481</v>
      </c>
      <c r="C117" s="55" t="s">
        <v>19</v>
      </c>
      <c r="D117" s="22">
        <v>51</v>
      </c>
      <c r="E117" s="22">
        <v>1</v>
      </c>
      <c r="F117" s="22">
        <v>410</v>
      </c>
      <c r="G117" s="22">
        <v>584</v>
      </c>
      <c r="H117" s="55">
        <v>5000</v>
      </c>
      <c r="I117" s="55">
        <v>-29.79</v>
      </c>
      <c r="J117" s="55">
        <v>0.28000000000000003</v>
      </c>
      <c r="K117" s="55">
        <v>0.24</v>
      </c>
      <c r="L117" s="55">
        <v>0</v>
      </c>
      <c r="M117" s="55">
        <v>0.36</v>
      </c>
      <c r="N117" s="55"/>
    </row>
    <row r="118" spans="1:14">
      <c r="A118" s="55">
        <v>79</v>
      </c>
      <c r="B118" s="55" t="s">
        <v>395</v>
      </c>
      <c r="C118" s="55" t="s">
        <v>20</v>
      </c>
      <c r="D118" s="22">
        <v>58</v>
      </c>
      <c r="E118" s="22">
        <v>52</v>
      </c>
      <c r="F118" s="22">
        <v>399</v>
      </c>
      <c r="G118" s="22">
        <v>837</v>
      </c>
      <c r="H118" s="55">
        <v>11.54</v>
      </c>
      <c r="I118" s="55">
        <v>-52.33</v>
      </c>
      <c r="J118" s="55">
        <v>0.31</v>
      </c>
      <c r="K118" s="55">
        <v>0.23</v>
      </c>
      <c r="L118" s="55">
        <v>0.2</v>
      </c>
      <c r="M118" s="55">
        <v>0.52</v>
      </c>
      <c r="N118" s="55"/>
    </row>
    <row r="119" spans="1:14" hidden="1">
      <c r="A119" s="55">
        <v>80</v>
      </c>
      <c r="B119" s="55" t="s">
        <v>352</v>
      </c>
      <c r="C119" s="55" t="s">
        <v>19</v>
      </c>
      <c r="D119" s="22">
        <v>2</v>
      </c>
      <c r="E119" s="22">
        <v>15</v>
      </c>
      <c r="F119" s="22">
        <v>399</v>
      </c>
      <c r="G119" s="22">
        <v>559</v>
      </c>
      <c r="H119" s="55">
        <v>-86.67</v>
      </c>
      <c r="I119" s="55">
        <v>-28.62</v>
      </c>
      <c r="J119" s="55">
        <v>0.01</v>
      </c>
      <c r="K119" s="55">
        <v>0.23</v>
      </c>
      <c r="L119" s="55">
        <v>0.06</v>
      </c>
      <c r="M119" s="55">
        <v>0.35</v>
      </c>
      <c r="N119" s="55"/>
    </row>
    <row r="120" spans="1:14">
      <c r="A120" s="55">
        <v>81</v>
      </c>
      <c r="B120" s="55" t="s">
        <v>1001</v>
      </c>
      <c r="C120" s="55" t="s">
        <v>20</v>
      </c>
      <c r="D120" s="22">
        <v>56</v>
      </c>
      <c r="E120" s="22">
        <v>96</v>
      </c>
      <c r="F120" s="22">
        <v>396</v>
      </c>
      <c r="G120" s="22">
        <v>210</v>
      </c>
      <c r="H120" s="55">
        <v>-41.67</v>
      </c>
      <c r="I120" s="55">
        <v>88.57</v>
      </c>
      <c r="J120" s="55">
        <v>0.3</v>
      </c>
      <c r="K120" s="55">
        <v>0.23</v>
      </c>
      <c r="L120" s="55">
        <v>0.36</v>
      </c>
      <c r="M120" s="55">
        <v>0.13</v>
      </c>
      <c r="N120" s="55"/>
    </row>
    <row r="121" spans="1:14">
      <c r="A121" s="55">
        <v>82</v>
      </c>
      <c r="B121" s="55" t="s">
        <v>441</v>
      </c>
      <c r="C121" s="55" t="s">
        <v>20</v>
      </c>
      <c r="D121" s="22">
        <v>34</v>
      </c>
      <c r="E121" s="22">
        <v>2</v>
      </c>
      <c r="F121" s="22">
        <v>381</v>
      </c>
      <c r="G121" s="22">
        <v>174</v>
      </c>
      <c r="H121" s="55">
        <v>1600</v>
      </c>
      <c r="I121" s="55">
        <v>118.97</v>
      </c>
      <c r="J121" s="55">
        <v>0.18</v>
      </c>
      <c r="K121" s="55">
        <v>0.22</v>
      </c>
      <c r="L121" s="55">
        <v>0.01</v>
      </c>
      <c r="M121" s="55">
        <v>0.11</v>
      </c>
      <c r="N121" s="55"/>
    </row>
    <row r="122" spans="1:14">
      <c r="A122" s="55">
        <v>83</v>
      </c>
      <c r="B122" s="55" t="s">
        <v>137</v>
      </c>
      <c r="C122" s="55" t="s">
        <v>20</v>
      </c>
      <c r="D122" s="22">
        <v>30</v>
      </c>
      <c r="E122" s="22">
        <v>187</v>
      </c>
      <c r="F122" s="22">
        <v>366</v>
      </c>
      <c r="G122" s="22">
        <v>187</v>
      </c>
      <c r="H122" s="55">
        <v>-83.96</v>
      </c>
      <c r="I122" s="55">
        <v>95.72</v>
      </c>
      <c r="J122" s="55">
        <v>0.16</v>
      </c>
      <c r="K122" s="55">
        <v>0.21</v>
      </c>
      <c r="L122" s="55">
        <v>0.71</v>
      </c>
      <c r="M122" s="55">
        <v>0.12</v>
      </c>
      <c r="N122" s="55"/>
    </row>
    <row r="123" spans="1:14" hidden="1">
      <c r="A123" s="55">
        <v>84</v>
      </c>
      <c r="B123" s="55" t="s">
        <v>375</v>
      </c>
      <c r="C123" s="55" t="s">
        <v>19</v>
      </c>
      <c r="D123" s="22">
        <v>11</v>
      </c>
      <c r="E123" s="22">
        <v>216</v>
      </c>
      <c r="F123" s="22">
        <v>357</v>
      </c>
      <c r="G123" s="22">
        <v>756</v>
      </c>
      <c r="H123" s="55">
        <v>-94.91</v>
      </c>
      <c r="I123" s="55">
        <v>-52.78</v>
      </c>
      <c r="J123" s="55">
        <v>0.06</v>
      </c>
      <c r="K123" s="55">
        <v>0.21</v>
      </c>
      <c r="L123" s="55">
        <v>0.82</v>
      </c>
      <c r="M123" s="55">
        <v>0.47</v>
      </c>
      <c r="N123" s="55"/>
    </row>
    <row r="124" spans="1:14" hidden="1">
      <c r="A124" s="55">
        <v>85</v>
      </c>
      <c r="B124" s="55" t="s">
        <v>431</v>
      </c>
      <c r="C124" s="55" t="s">
        <v>19</v>
      </c>
      <c r="D124" s="22">
        <v>62</v>
      </c>
      <c r="E124" s="22">
        <v>14</v>
      </c>
      <c r="F124" s="22">
        <v>354</v>
      </c>
      <c r="G124" s="22">
        <v>284</v>
      </c>
      <c r="H124" s="55">
        <v>342.86</v>
      </c>
      <c r="I124" s="55">
        <v>24.65</v>
      </c>
      <c r="J124" s="55">
        <v>0.34</v>
      </c>
      <c r="K124" s="55">
        <v>0.2</v>
      </c>
      <c r="L124" s="55">
        <v>0.05</v>
      </c>
      <c r="M124" s="55">
        <v>0.18</v>
      </c>
      <c r="N124" s="55"/>
    </row>
    <row r="125" spans="1:14" hidden="1">
      <c r="A125" s="55">
        <v>86</v>
      </c>
      <c r="B125" s="55" t="s">
        <v>430</v>
      </c>
      <c r="C125" s="55" t="s">
        <v>19</v>
      </c>
      <c r="D125" s="22">
        <v>27</v>
      </c>
      <c r="E125" s="22">
        <v>28</v>
      </c>
      <c r="F125" s="22">
        <v>340</v>
      </c>
      <c r="G125" s="22">
        <v>690</v>
      </c>
      <c r="H125" s="55">
        <v>-3.57</v>
      </c>
      <c r="I125" s="55">
        <v>-50.72</v>
      </c>
      <c r="J125" s="55">
        <v>0.15</v>
      </c>
      <c r="K125" s="55">
        <v>0.2</v>
      </c>
      <c r="L125" s="55">
        <v>0.11</v>
      </c>
      <c r="M125" s="55">
        <v>0.43</v>
      </c>
      <c r="N125" s="55"/>
    </row>
    <row r="126" spans="1:14" hidden="1">
      <c r="A126" s="55">
        <v>87</v>
      </c>
      <c r="B126" s="55" t="s">
        <v>172</v>
      </c>
      <c r="C126" s="55" t="s">
        <v>19</v>
      </c>
      <c r="D126" s="22">
        <v>11</v>
      </c>
      <c r="E126" s="22">
        <v>28</v>
      </c>
      <c r="F126" s="22">
        <v>310</v>
      </c>
      <c r="G126" s="22">
        <v>421</v>
      </c>
      <c r="H126" s="55">
        <v>-60.71</v>
      </c>
      <c r="I126" s="55">
        <v>-26.37</v>
      </c>
      <c r="J126" s="55">
        <v>0.06</v>
      </c>
      <c r="K126" s="55">
        <v>0.18</v>
      </c>
      <c r="L126" s="55">
        <v>0.11</v>
      </c>
      <c r="M126" s="55">
        <v>0.26</v>
      </c>
      <c r="N126" s="55"/>
    </row>
    <row r="127" spans="1:14" hidden="1">
      <c r="A127" s="55">
        <v>88</v>
      </c>
      <c r="B127" s="55" t="s">
        <v>496</v>
      </c>
      <c r="C127" s="55" t="s">
        <v>19</v>
      </c>
      <c r="D127" s="22">
        <v>38</v>
      </c>
      <c r="E127" s="22">
        <v>23</v>
      </c>
      <c r="F127" s="22">
        <v>308</v>
      </c>
      <c r="G127" s="22">
        <v>222</v>
      </c>
      <c r="H127" s="55">
        <v>65.22</v>
      </c>
      <c r="I127" s="55">
        <v>38.74</v>
      </c>
      <c r="J127" s="55">
        <v>0.21</v>
      </c>
      <c r="K127" s="55">
        <v>0.18</v>
      </c>
      <c r="L127" s="55">
        <v>0.09</v>
      </c>
      <c r="M127" s="55">
        <v>0.14000000000000001</v>
      </c>
      <c r="N127" s="55"/>
    </row>
    <row r="128" spans="1:14" hidden="1">
      <c r="A128" s="55">
        <v>89</v>
      </c>
      <c r="B128" s="55" t="s">
        <v>628</v>
      </c>
      <c r="C128" s="55" t="s">
        <v>19</v>
      </c>
      <c r="D128" s="22">
        <v>9</v>
      </c>
      <c r="E128" s="22">
        <v>28</v>
      </c>
      <c r="F128" s="22">
        <v>299</v>
      </c>
      <c r="G128" s="22">
        <v>297</v>
      </c>
      <c r="H128" s="55">
        <v>-67.86</v>
      </c>
      <c r="I128" s="55">
        <v>0.67</v>
      </c>
      <c r="J128" s="55">
        <v>0.05</v>
      </c>
      <c r="K128" s="55">
        <v>0.17</v>
      </c>
      <c r="L128" s="55">
        <v>0.11</v>
      </c>
      <c r="M128" s="55">
        <v>0.18</v>
      </c>
      <c r="N128" s="55"/>
    </row>
    <row r="129" spans="1:14">
      <c r="A129" s="55">
        <v>90</v>
      </c>
      <c r="B129" s="55" t="s">
        <v>410</v>
      </c>
      <c r="C129" s="55" t="s">
        <v>20</v>
      </c>
      <c r="D129" s="22">
        <v>2</v>
      </c>
      <c r="E129" s="22">
        <v>369</v>
      </c>
      <c r="F129" s="22">
        <v>284</v>
      </c>
      <c r="G129" s="22">
        <v>1506</v>
      </c>
      <c r="H129" s="55">
        <v>-99.46</v>
      </c>
      <c r="I129" s="55">
        <v>-81.14</v>
      </c>
      <c r="J129" s="55">
        <v>0.01</v>
      </c>
      <c r="K129" s="55">
        <v>0.16</v>
      </c>
      <c r="L129" s="55">
        <v>1.39</v>
      </c>
      <c r="M129" s="55">
        <v>0.93</v>
      </c>
      <c r="N129" s="55"/>
    </row>
    <row r="130" spans="1:14" hidden="1">
      <c r="A130" s="55">
        <v>91</v>
      </c>
      <c r="B130" s="55" t="s">
        <v>382</v>
      </c>
      <c r="C130" s="55" t="s">
        <v>19</v>
      </c>
      <c r="D130" s="22">
        <v>22</v>
      </c>
      <c r="E130" s="22">
        <v>43</v>
      </c>
      <c r="F130" s="22">
        <v>284</v>
      </c>
      <c r="G130" s="22">
        <v>250</v>
      </c>
      <c r="H130" s="55">
        <v>-48.84</v>
      </c>
      <c r="I130" s="55">
        <v>13.6</v>
      </c>
      <c r="J130" s="55">
        <v>0.12</v>
      </c>
      <c r="K130" s="55">
        <v>0.16</v>
      </c>
      <c r="L130" s="55">
        <v>0.16</v>
      </c>
      <c r="M130" s="55">
        <v>0.15</v>
      </c>
      <c r="N130" s="55"/>
    </row>
    <row r="131" spans="1:14" hidden="1">
      <c r="A131" s="55">
        <v>92</v>
      </c>
      <c r="B131" s="55" t="s">
        <v>584</v>
      </c>
      <c r="C131" s="55" t="s">
        <v>19</v>
      </c>
      <c r="D131" s="22">
        <v>4</v>
      </c>
      <c r="E131" s="22">
        <v>7</v>
      </c>
      <c r="F131" s="22">
        <v>259</v>
      </c>
      <c r="G131" s="22">
        <v>1361</v>
      </c>
      <c r="H131" s="55">
        <v>-42.86</v>
      </c>
      <c r="I131" s="55">
        <v>-80.97</v>
      </c>
      <c r="J131" s="55">
        <v>0.02</v>
      </c>
      <c r="K131" s="55">
        <v>0.15</v>
      </c>
      <c r="L131" s="55">
        <v>0.03</v>
      </c>
      <c r="M131" s="55">
        <v>0.84</v>
      </c>
      <c r="N131" s="55"/>
    </row>
    <row r="132" spans="1:14" hidden="1">
      <c r="A132" s="55">
        <v>93</v>
      </c>
      <c r="B132" s="55" t="s">
        <v>360</v>
      </c>
      <c r="C132" s="55" t="s">
        <v>19</v>
      </c>
      <c r="D132" s="22">
        <v>0</v>
      </c>
      <c r="E132" s="22">
        <v>26</v>
      </c>
      <c r="F132" s="22">
        <v>255</v>
      </c>
      <c r="G132" s="22">
        <v>1215</v>
      </c>
      <c r="H132" s="55">
        <v>-100</v>
      </c>
      <c r="I132" s="55">
        <v>-79.010000000000005</v>
      </c>
      <c r="J132" s="55">
        <v>0</v>
      </c>
      <c r="K132" s="55">
        <v>0.15</v>
      </c>
      <c r="L132" s="55">
        <v>0.1</v>
      </c>
      <c r="M132" s="55">
        <v>0.75</v>
      </c>
      <c r="N132" s="55"/>
    </row>
    <row r="133" spans="1:14" hidden="1">
      <c r="A133" s="55">
        <v>94</v>
      </c>
      <c r="B133" s="55" t="s">
        <v>125</v>
      </c>
      <c r="C133" s="55" t="s">
        <v>19</v>
      </c>
      <c r="D133" s="22">
        <v>48</v>
      </c>
      <c r="E133" s="22">
        <v>3</v>
      </c>
      <c r="F133" s="22">
        <v>255</v>
      </c>
      <c r="G133" s="22">
        <v>61</v>
      </c>
      <c r="H133" s="55">
        <v>1500</v>
      </c>
      <c r="I133" s="55">
        <v>318.02999999999997</v>
      </c>
      <c r="J133" s="55">
        <v>0.26</v>
      </c>
      <c r="K133" s="55">
        <v>0.15</v>
      </c>
      <c r="L133" s="55">
        <v>0.01</v>
      </c>
      <c r="M133" s="55">
        <v>0.04</v>
      </c>
      <c r="N133" s="55"/>
    </row>
    <row r="134" spans="1:14">
      <c r="A134" s="55">
        <v>95</v>
      </c>
      <c r="B134" s="55" t="s">
        <v>570</v>
      </c>
      <c r="C134" s="55" t="s">
        <v>20</v>
      </c>
      <c r="D134" s="22">
        <v>2</v>
      </c>
      <c r="E134" s="22">
        <v>39</v>
      </c>
      <c r="F134" s="22">
        <v>248</v>
      </c>
      <c r="G134" s="22">
        <v>603</v>
      </c>
      <c r="H134" s="55">
        <v>-94.87</v>
      </c>
      <c r="I134" s="55">
        <v>-58.87</v>
      </c>
      <c r="J134" s="55">
        <v>0.01</v>
      </c>
      <c r="K134" s="55">
        <v>0.14000000000000001</v>
      </c>
      <c r="L134" s="55">
        <v>0.15</v>
      </c>
      <c r="M134" s="55">
        <v>0.37</v>
      </c>
      <c r="N134" s="55"/>
    </row>
    <row r="135" spans="1:14" hidden="1">
      <c r="A135" s="55">
        <v>96</v>
      </c>
      <c r="B135" s="55" t="s">
        <v>413</v>
      </c>
      <c r="C135" s="55" t="s">
        <v>19</v>
      </c>
      <c r="D135" s="22">
        <v>19</v>
      </c>
      <c r="E135" s="22">
        <v>34</v>
      </c>
      <c r="F135" s="22">
        <v>243</v>
      </c>
      <c r="G135" s="22">
        <v>473</v>
      </c>
      <c r="H135" s="55">
        <v>-44.12</v>
      </c>
      <c r="I135" s="55">
        <v>-48.63</v>
      </c>
      <c r="J135" s="55">
        <v>0.1</v>
      </c>
      <c r="K135" s="55">
        <v>0.14000000000000001</v>
      </c>
      <c r="L135" s="55">
        <v>0.13</v>
      </c>
      <c r="M135" s="55">
        <v>0.28999999999999998</v>
      </c>
      <c r="N135" s="55"/>
    </row>
    <row r="136" spans="1:14" hidden="1">
      <c r="A136" s="55">
        <v>97</v>
      </c>
      <c r="B136" s="55" t="s">
        <v>396</v>
      </c>
      <c r="C136" s="55" t="s">
        <v>19</v>
      </c>
      <c r="D136" s="22">
        <v>0</v>
      </c>
      <c r="E136" s="22">
        <v>24</v>
      </c>
      <c r="F136" s="22">
        <v>238</v>
      </c>
      <c r="G136" s="22">
        <v>622</v>
      </c>
      <c r="H136" s="55">
        <v>-100</v>
      </c>
      <c r="I136" s="55">
        <v>-61.74</v>
      </c>
      <c r="J136" s="55">
        <v>0</v>
      </c>
      <c r="K136" s="55">
        <v>0.14000000000000001</v>
      </c>
      <c r="L136" s="55">
        <v>0.09</v>
      </c>
      <c r="M136" s="55">
        <v>0.38</v>
      </c>
      <c r="N136" s="55"/>
    </row>
    <row r="137" spans="1:14">
      <c r="A137" s="55">
        <v>241</v>
      </c>
      <c r="B137" s="55" t="s">
        <v>436</v>
      </c>
      <c r="C137" s="55" t="s">
        <v>20</v>
      </c>
      <c r="D137" s="22">
        <v>44</v>
      </c>
      <c r="E137" s="22">
        <v>90</v>
      </c>
      <c r="F137" s="22">
        <v>234</v>
      </c>
      <c r="G137" s="22">
        <v>286</v>
      </c>
      <c r="H137" s="55">
        <v>-51.11</v>
      </c>
      <c r="I137" s="55">
        <v>-18.18</v>
      </c>
      <c r="J137" s="55">
        <v>0.24</v>
      </c>
      <c r="K137" s="55">
        <v>0.14000000000000001</v>
      </c>
      <c r="L137" s="55">
        <v>0.34</v>
      </c>
      <c r="M137" s="55">
        <v>0.18</v>
      </c>
      <c r="N137" s="55"/>
    </row>
    <row r="138" spans="1:14" hidden="1">
      <c r="A138" s="55">
        <v>98</v>
      </c>
      <c r="B138" s="55" t="s">
        <v>491</v>
      </c>
      <c r="C138" s="55" t="s">
        <v>19</v>
      </c>
      <c r="D138" s="22">
        <v>48</v>
      </c>
      <c r="E138" s="22">
        <v>15</v>
      </c>
      <c r="F138" s="22">
        <v>229</v>
      </c>
      <c r="G138" s="22">
        <v>148</v>
      </c>
      <c r="H138" s="55">
        <v>220</v>
      </c>
      <c r="I138" s="55">
        <v>54.73</v>
      </c>
      <c r="J138" s="55">
        <v>0.26</v>
      </c>
      <c r="K138" s="55">
        <v>0.13</v>
      </c>
      <c r="L138" s="55">
        <v>0.06</v>
      </c>
      <c r="M138" s="55">
        <v>0.09</v>
      </c>
      <c r="N138" s="55"/>
    </row>
    <row r="139" spans="1:14" hidden="1">
      <c r="A139" s="55">
        <v>99</v>
      </c>
      <c r="B139" s="55" t="s">
        <v>1035</v>
      </c>
      <c r="C139" s="55" t="s">
        <v>19</v>
      </c>
      <c r="D139" s="22">
        <v>13</v>
      </c>
      <c r="E139" s="22">
        <v>6</v>
      </c>
      <c r="F139" s="22">
        <v>227</v>
      </c>
      <c r="G139" s="22">
        <v>6</v>
      </c>
      <c r="H139" s="55">
        <v>116.67</v>
      </c>
      <c r="I139" s="55">
        <v>3683.33</v>
      </c>
      <c r="J139" s="55">
        <v>7.0000000000000007E-2</v>
      </c>
      <c r="K139" s="55">
        <v>0.13</v>
      </c>
      <c r="L139" s="55">
        <v>0.02</v>
      </c>
      <c r="M139" s="55">
        <v>0</v>
      </c>
      <c r="N139" s="55"/>
    </row>
    <row r="140" spans="1:14">
      <c r="A140" s="55">
        <v>100</v>
      </c>
      <c r="B140" s="55" t="s">
        <v>610</v>
      </c>
      <c r="C140" s="55" t="s">
        <v>20</v>
      </c>
      <c r="D140" s="22">
        <v>50</v>
      </c>
      <c r="E140" s="22">
        <v>142</v>
      </c>
      <c r="F140" s="22">
        <v>222</v>
      </c>
      <c r="G140" s="22">
        <v>764</v>
      </c>
      <c r="H140" s="55">
        <v>-64.790000000000006</v>
      </c>
      <c r="I140" s="55">
        <v>-70.94</v>
      </c>
      <c r="J140" s="55">
        <v>0.27</v>
      </c>
      <c r="K140" s="55">
        <v>0.13</v>
      </c>
      <c r="L140" s="55">
        <v>0.54</v>
      </c>
      <c r="M140" s="55">
        <v>0.47</v>
      </c>
      <c r="N140" s="55"/>
    </row>
    <row r="141" spans="1:14">
      <c r="A141" s="55">
        <v>101</v>
      </c>
      <c r="B141" s="55" t="s">
        <v>397</v>
      </c>
      <c r="C141" s="55" t="s">
        <v>20</v>
      </c>
      <c r="D141" s="22">
        <v>10</v>
      </c>
      <c r="E141" s="22">
        <v>90</v>
      </c>
      <c r="F141" s="22">
        <v>198</v>
      </c>
      <c r="G141" s="22">
        <v>505</v>
      </c>
      <c r="H141" s="55">
        <v>-88.89</v>
      </c>
      <c r="I141" s="55">
        <v>-60.79</v>
      </c>
      <c r="J141" s="55">
        <v>0.05</v>
      </c>
      <c r="K141" s="55">
        <v>0.11</v>
      </c>
      <c r="L141" s="55">
        <v>0.34</v>
      </c>
      <c r="M141" s="55">
        <v>0.31</v>
      </c>
      <c r="N141" s="55"/>
    </row>
    <row r="142" spans="1:14">
      <c r="A142" s="55">
        <v>102</v>
      </c>
      <c r="B142" s="55" t="s">
        <v>432</v>
      </c>
      <c r="C142" s="55" t="s">
        <v>20</v>
      </c>
      <c r="D142" s="22">
        <v>16</v>
      </c>
      <c r="E142" s="22">
        <v>20</v>
      </c>
      <c r="F142" s="22">
        <v>195</v>
      </c>
      <c r="G142" s="22">
        <v>603</v>
      </c>
      <c r="H142" s="55">
        <v>-20</v>
      </c>
      <c r="I142" s="55">
        <v>-67.66</v>
      </c>
      <c r="J142" s="55">
        <v>0.09</v>
      </c>
      <c r="K142" s="55">
        <v>0.11</v>
      </c>
      <c r="L142" s="55">
        <v>0.08</v>
      </c>
      <c r="M142" s="55">
        <v>0.37</v>
      </c>
      <c r="N142" s="55"/>
    </row>
    <row r="143" spans="1:14" hidden="1">
      <c r="A143" s="55">
        <v>103</v>
      </c>
      <c r="B143" s="55" t="s">
        <v>153</v>
      </c>
      <c r="C143" s="55" t="s">
        <v>19</v>
      </c>
      <c r="D143" s="22">
        <v>29</v>
      </c>
      <c r="E143" s="22">
        <v>25</v>
      </c>
      <c r="F143" s="22">
        <v>191</v>
      </c>
      <c r="G143" s="22">
        <v>431</v>
      </c>
      <c r="H143" s="55">
        <v>16</v>
      </c>
      <c r="I143" s="55">
        <v>-55.68</v>
      </c>
      <c r="J143" s="55">
        <v>0.16</v>
      </c>
      <c r="K143" s="55">
        <v>0.11</v>
      </c>
      <c r="L143" s="55">
        <v>0.09</v>
      </c>
      <c r="M143" s="55">
        <v>0.27</v>
      </c>
      <c r="N143" s="55"/>
    </row>
    <row r="144" spans="1:14">
      <c r="A144" s="55">
        <v>104</v>
      </c>
      <c r="B144" s="55" t="s">
        <v>1244</v>
      </c>
      <c r="C144" s="55" t="s">
        <v>20</v>
      </c>
      <c r="D144" s="22">
        <v>69</v>
      </c>
      <c r="E144" s="22">
        <v>0</v>
      </c>
      <c r="F144" s="22">
        <v>190</v>
      </c>
      <c r="G144" s="22">
        <v>0</v>
      </c>
      <c r="H144" s="55">
        <v>0</v>
      </c>
      <c r="I144" s="55">
        <v>0</v>
      </c>
      <c r="J144" s="55">
        <v>0.37</v>
      </c>
      <c r="K144" s="55">
        <v>0.11</v>
      </c>
      <c r="L144" s="55">
        <v>0</v>
      </c>
      <c r="M144" s="55">
        <v>0</v>
      </c>
      <c r="N144" s="55"/>
    </row>
    <row r="145" spans="1:14" hidden="1">
      <c r="A145" s="55">
        <v>105</v>
      </c>
      <c r="B145" s="55" t="s">
        <v>1253</v>
      </c>
      <c r="C145" s="55" t="s">
        <v>19</v>
      </c>
      <c r="D145" s="22">
        <v>153</v>
      </c>
      <c r="E145" s="22">
        <v>0</v>
      </c>
      <c r="F145" s="22">
        <v>188</v>
      </c>
      <c r="G145" s="22">
        <v>0</v>
      </c>
      <c r="H145" s="55">
        <v>0</v>
      </c>
      <c r="I145" s="55">
        <v>0</v>
      </c>
      <c r="J145" s="55">
        <v>0.83</v>
      </c>
      <c r="K145" s="55">
        <v>0.11</v>
      </c>
      <c r="L145" s="55">
        <v>0</v>
      </c>
      <c r="M145" s="55">
        <v>0</v>
      </c>
      <c r="N145" s="55"/>
    </row>
    <row r="146" spans="1:14" hidden="1">
      <c r="A146" s="55">
        <v>106</v>
      </c>
      <c r="B146" s="55" t="s">
        <v>235</v>
      </c>
      <c r="C146" s="55" t="s">
        <v>19</v>
      </c>
      <c r="D146" s="22">
        <v>18</v>
      </c>
      <c r="E146" s="22">
        <v>13</v>
      </c>
      <c r="F146" s="22">
        <v>170</v>
      </c>
      <c r="G146" s="22">
        <v>144</v>
      </c>
      <c r="H146" s="55">
        <v>38.46</v>
      </c>
      <c r="I146" s="55">
        <v>18.059999999999999</v>
      </c>
      <c r="J146" s="55">
        <v>0.1</v>
      </c>
      <c r="K146" s="55">
        <v>0.1</v>
      </c>
      <c r="L146" s="55">
        <v>0.05</v>
      </c>
      <c r="M146" s="55">
        <v>0.09</v>
      </c>
      <c r="N146" s="55"/>
    </row>
    <row r="147" spans="1:14" hidden="1">
      <c r="A147" s="55">
        <v>107</v>
      </c>
      <c r="B147" s="55" t="s">
        <v>490</v>
      </c>
      <c r="C147" s="55" t="s">
        <v>19</v>
      </c>
      <c r="D147" s="22">
        <v>24</v>
      </c>
      <c r="E147" s="22">
        <v>16</v>
      </c>
      <c r="F147" s="22">
        <v>164</v>
      </c>
      <c r="G147" s="22">
        <v>67</v>
      </c>
      <c r="H147" s="55">
        <v>50</v>
      </c>
      <c r="I147" s="55">
        <v>144.78</v>
      </c>
      <c r="J147" s="55">
        <v>0.13</v>
      </c>
      <c r="K147" s="55">
        <v>0.09</v>
      </c>
      <c r="L147" s="55">
        <v>0.06</v>
      </c>
      <c r="M147" s="55">
        <v>0.04</v>
      </c>
      <c r="N147" s="55"/>
    </row>
    <row r="148" spans="1:14" hidden="1">
      <c r="A148" s="55">
        <v>108</v>
      </c>
      <c r="B148" s="55" t="s">
        <v>1087</v>
      </c>
      <c r="C148" s="55" t="s">
        <v>19</v>
      </c>
      <c r="D148" s="22">
        <v>11</v>
      </c>
      <c r="E148" s="22">
        <v>0</v>
      </c>
      <c r="F148" s="22">
        <v>151</v>
      </c>
      <c r="G148" s="22">
        <v>0</v>
      </c>
      <c r="H148" s="55">
        <v>0</v>
      </c>
      <c r="I148" s="55">
        <v>0</v>
      </c>
      <c r="J148" s="55">
        <v>0.06</v>
      </c>
      <c r="K148" s="55">
        <v>0.09</v>
      </c>
      <c r="L148" s="55">
        <v>0</v>
      </c>
      <c r="M148" s="55">
        <v>0</v>
      </c>
      <c r="N148" s="55"/>
    </row>
    <row r="149" spans="1:14">
      <c r="A149" s="55">
        <v>109</v>
      </c>
      <c r="B149" s="55" t="s">
        <v>79</v>
      </c>
      <c r="C149" s="55" t="s">
        <v>20</v>
      </c>
      <c r="D149" s="22">
        <v>4</v>
      </c>
      <c r="E149" s="22">
        <v>80</v>
      </c>
      <c r="F149" s="22">
        <v>150</v>
      </c>
      <c r="G149" s="22">
        <v>636</v>
      </c>
      <c r="H149" s="55">
        <v>-95</v>
      </c>
      <c r="I149" s="55">
        <v>-76.42</v>
      </c>
      <c r="J149" s="55">
        <v>0.02</v>
      </c>
      <c r="K149" s="55">
        <v>0.09</v>
      </c>
      <c r="L149" s="55">
        <v>0.3</v>
      </c>
      <c r="M149" s="55">
        <v>0.39</v>
      </c>
      <c r="N149" s="55"/>
    </row>
    <row r="150" spans="1:14">
      <c r="A150" s="55">
        <v>110</v>
      </c>
      <c r="B150" s="55" t="s">
        <v>706</v>
      </c>
      <c r="C150" s="55" t="s">
        <v>20</v>
      </c>
      <c r="D150" s="22">
        <v>3</v>
      </c>
      <c r="E150" s="22">
        <v>14</v>
      </c>
      <c r="F150" s="22">
        <v>150</v>
      </c>
      <c r="G150" s="22">
        <v>98</v>
      </c>
      <c r="H150" s="55">
        <v>-78.569999999999993</v>
      </c>
      <c r="I150" s="55">
        <v>53.06</v>
      </c>
      <c r="J150" s="55">
        <v>0.02</v>
      </c>
      <c r="K150" s="55">
        <v>0.09</v>
      </c>
      <c r="L150" s="55">
        <v>0.05</v>
      </c>
      <c r="M150" s="55">
        <v>0.06</v>
      </c>
      <c r="N150" s="55"/>
    </row>
    <row r="151" spans="1:14" hidden="1">
      <c r="A151" s="55">
        <v>111</v>
      </c>
      <c r="B151" s="55" t="s">
        <v>987</v>
      </c>
      <c r="C151" s="55" t="s">
        <v>19</v>
      </c>
      <c r="D151" s="22">
        <v>3</v>
      </c>
      <c r="E151" s="22">
        <v>11</v>
      </c>
      <c r="F151" s="22">
        <v>150</v>
      </c>
      <c r="G151" s="22">
        <v>51</v>
      </c>
      <c r="H151" s="55">
        <v>-72.73</v>
      </c>
      <c r="I151" s="55">
        <v>194.12</v>
      </c>
      <c r="J151" s="55">
        <v>0.02</v>
      </c>
      <c r="K151" s="55">
        <v>0.09</v>
      </c>
      <c r="L151" s="55">
        <v>0.04</v>
      </c>
      <c r="M151" s="55">
        <v>0.03</v>
      </c>
      <c r="N151" s="55"/>
    </row>
    <row r="152" spans="1:14">
      <c r="A152" s="55">
        <v>112</v>
      </c>
      <c r="B152" s="55" t="s">
        <v>1130</v>
      </c>
      <c r="C152" s="55" t="s">
        <v>20</v>
      </c>
      <c r="D152" s="22">
        <v>12</v>
      </c>
      <c r="E152" s="22">
        <v>0</v>
      </c>
      <c r="F152" s="22">
        <v>146</v>
      </c>
      <c r="G152" s="22">
        <v>0</v>
      </c>
      <c r="H152" s="62">
        <v>0</v>
      </c>
      <c r="I152" s="62">
        <v>0</v>
      </c>
      <c r="J152" s="55">
        <v>0.06</v>
      </c>
      <c r="K152" s="55">
        <v>0.08</v>
      </c>
      <c r="L152" s="55">
        <v>0</v>
      </c>
      <c r="M152" s="55">
        <v>0</v>
      </c>
      <c r="N152" s="55"/>
    </row>
    <row r="153" spans="1:14" hidden="1">
      <c r="A153" s="55">
        <v>113</v>
      </c>
      <c r="B153" s="55" t="s">
        <v>1277</v>
      </c>
      <c r="C153" s="55" t="s">
        <v>19</v>
      </c>
      <c r="D153" s="22">
        <v>0</v>
      </c>
      <c r="E153" s="22">
        <v>0</v>
      </c>
      <c r="F153" s="22">
        <v>140</v>
      </c>
      <c r="G153" s="22">
        <v>0</v>
      </c>
      <c r="H153" s="55">
        <v>0</v>
      </c>
      <c r="I153" s="55">
        <v>0</v>
      </c>
      <c r="J153" s="55">
        <v>0</v>
      </c>
      <c r="K153" s="55">
        <v>0.08</v>
      </c>
      <c r="L153" s="55">
        <v>0</v>
      </c>
      <c r="M153" s="55">
        <v>0</v>
      </c>
      <c r="N153" s="55"/>
    </row>
    <row r="154" spans="1:14" hidden="1">
      <c r="A154" s="55">
        <v>114</v>
      </c>
      <c r="B154" s="55" t="s">
        <v>1052</v>
      </c>
      <c r="C154" s="55" t="s">
        <v>19</v>
      </c>
      <c r="D154" s="22">
        <v>20</v>
      </c>
      <c r="E154" s="22">
        <v>0</v>
      </c>
      <c r="F154" s="22">
        <v>137</v>
      </c>
      <c r="G154" s="22">
        <v>0</v>
      </c>
      <c r="H154" s="55">
        <v>0</v>
      </c>
      <c r="I154" s="55">
        <v>0</v>
      </c>
      <c r="J154" s="55">
        <v>0.11</v>
      </c>
      <c r="K154" s="55">
        <v>0.08</v>
      </c>
      <c r="L154" s="55">
        <v>0</v>
      </c>
      <c r="M154" s="55">
        <v>0</v>
      </c>
      <c r="N154" s="55"/>
    </row>
    <row r="155" spans="1:14" hidden="1">
      <c r="A155" s="55">
        <v>115</v>
      </c>
      <c r="B155" s="55" t="s">
        <v>147</v>
      </c>
      <c r="C155" s="55" t="s">
        <v>19</v>
      </c>
      <c r="D155" s="22">
        <v>0</v>
      </c>
      <c r="E155" s="22">
        <v>11</v>
      </c>
      <c r="F155" s="22">
        <v>136</v>
      </c>
      <c r="G155" s="22">
        <v>253</v>
      </c>
      <c r="H155" s="55">
        <v>-100</v>
      </c>
      <c r="I155" s="55">
        <v>-46.25</v>
      </c>
      <c r="J155" s="55">
        <v>0</v>
      </c>
      <c r="K155" s="55">
        <v>0.08</v>
      </c>
      <c r="L155" s="55">
        <v>0.04</v>
      </c>
      <c r="M155" s="55">
        <v>0.16</v>
      </c>
      <c r="N155" s="55"/>
    </row>
    <row r="156" spans="1:14" hidden="1">
      <c r="A156" s="55">
        <v>116</v>
      </c>
      <c r="B156" s="55" t="s">
        <v>70</v>
      </c>
      <c r="C156" s="55" t="s">
        <v>19</v>
      </c>
      <c r="D156" s="22">
        <v>4</v>
      </c>
      <c r="E156" s="22">
        <v>32</v>
      </c>
      <c r="F156" s="22">
        <v>130</v>
      </c>
      <c r="G156" s="22">
        <v>983</v>
      </c>
      <c r="H156" s="55">
        <v>-87.5</v>
      </c>
      <c r="I156" s="55">
        <v>-86.78</v>
      </c>
      <c r="J156" s="55">
        <v>0.02</v>
      </c>
      <c r="K156" s="55">
        <v>0.08</v>
      </c>
      <c r="L156" s="55">
        <v>0.12</v>
      </c>
      <c r="M156" s="55">
        <v>0.61</v>
      </c>
      <c r="N156" s="55"/>
    </row>
    <row r="157" spans="1:14" hidden="1">
      <c r="A157" s="55">
        <v>117</v>
      </c>
      <c r="B157" s="55" t="s">
        <v>593</v>
      </c>
      <c r="C157" s="55" t="s">
        <v>19</v>
      </c>
      <c r="D157" s="22">
        <v>16</v>
      </c>
      <c r="E157" s="22">
        <v>1</v>
      </c>
      <c r="F157" s="22">
        <v>130</v>
      </c>
      <c r="G157" s="22">
        <v>167</v>
      </c>
      <c r="H157" s="55">
        <v>1500</v>
      </c>
      <c r="I157" s="55">
        <v>-22.16</v>
      </c>
      <c r="J157" s="55">
        <v>0.09</v>
      </c>
      <c r="K157" s="55">
        <v>0.08</v>
      </c>
      <c r="L157" s="55">
        <v>0</v>
      </c>
      <c r="M157" s="55">
        <v>0.1</v>
      </c>
      <c r="N157" s="55"/>
    </row>
    <row r="158" spans="1:14" hidden="1">
      <c r="A158" s="55">
        <v>118</v>
      </c>
      <c r="B158" s="55" t="s">
        <v>238</v>
      </c>
      <c r="C158" s="55" t="s">
        <v>19</v>
      </c>
      <c r="D158" s="22">
        <v>18</v>
      </c>
      <c r="E158" s="22">
        <v>5</v>
      </c>
      <c r="F158" s="22">
        <v>129</v>
      </c>
      <c r="G158" s="22">
        <v>41</v>
      </c>
      <c r="H158" s="55">
        <v>260</v>
      </c>
      <c r="I158" s="55">
        <v>214.63</v>
      </c>
      <c r="J158" s="55">
        <v>0.1</v>
      </c>
      <c r="K158" s="55">
        <v>7.0000000000000007E-2</v>
      </c>
      <c r="L158" s="55">
        <v>0.02</v>
      </c>
      <c r="M158" s="55">
        <v>0.03</v>
      </c>
      <c r="N158" s="55"/>
    </row>
    <row r="159" spans="1:14" hidden="1">
      <c r="A159" s="55">
        <v>119</v>
      </c>
      <c r="B159" s="55" t="s">
        <v>1032</v>
      </c>
      <c r="C159" s="55" t="s">
        <v>19</v>
      </c>
      <c r="D159" s="22">
        <v>4</v>
      </c>
      <c r="E159" s="22">
        <v>1</v>
      </c>
      <c r="F159" s="22">
        <v>128</v>
      </c>
      <c r="G159" s="22">
        <v>1</v>
      </c>
      <c r="H159" s="55">
        <v>300</v>
      </c>
      <c r="I159" s="55">
        <v>12700</v>
      </c>
      <c r="J159" s="55">
        <v>0.02</v>
      </c>
      <c r="K159" s="55">
        <v>7.0000000000000007E-2</v>
      </c>
      <c r="L159" s="55">
        <v>0</v>
      </c>
      <c r="M159" s="55">
        <v>0</v>
      </c>
      <c r="N159" s="55"/>
    </row>
    <row r="160" spans="1:14">
      <c r="A160" s="55">
        <v>120</v>
      </c>
      <c r="B160" s="55" t="s">
        <v>1278</v>
      </c>
      <c r="C160" s="55" t="s">
        <v>20</v>
      </c>
      <c r="D160" s="22">
        <v>36</v>
      </c>
      <c r="E160" s="22">
        <v>0</v>
      </c>
      <c r="F160" s="22">
        <v>128</v>
      </c>
      <c r="G160" s="22">
        <v>0</v>
      </c>
      <c r="H160" s="55">
        <v>0</v>
      </c>
      <c r="I160" s="55">
        <v>0</v>
      </c>
      <c r="J160" s="55">
        <v>0.19</v>
      </c>
      <c r="K160" s="55">
        <v>7.0000000000000007E-2</v>
      </c>
      <c r="L160" s="55">
        <v>0</v>
      </c>
      <c r="M160" s="55">
        <v>0</v>
      </c>
      <c r="N160" s="55"/>
    </row>
    <row r="161" spans="1:14" hidden="1">
      <c r="A161" s="55">
        <v>121</v>
      </c>
      <c r="B161" s="55" t="s">
        <v>409</v>
      </c>
      <c r="C161" s="55" t="s">
        <v>19</v>
      </c>
      <c r="D161" s="22">
        <v>7</v>
      </c>
      <c r="E161" s="22">
        <v>27</v>
      </c>
      <c r="F161" s="22">
        <v>126</v>
      </c>
      <c r="G161" s="22">
        <v>536</v>
      </c>
      <c r="H161" s="55">
        <v>-74.069999999999993</v>
      </c>
      <c r="I161" s="55">
        <v>-76.489999999999995</v>
      </c>
      <c r="J161" s="55">
        <v>0.04</v>
      </c>
      <c r="K161" s="55">
        <v>7.0000000000000007E-2</v>
      </c>
      <c r="L161" s="55">
        <v>0.1</v>
      </c>
      <c r="M161" s="55">
        <v>0.33</v>
      </c>
      <c r="N161" s="55"/>
    </row>
    <row r="162" spans="1:14">
      <c r="A162" s="55">
        <v>122</v>
      </c>
      <c r="B162" s="55" t="s">
        <v>981</v>
      </c>
      <c r="C162" s="55" t="s">
        <v>20</v>
      </c>
      <c r="D162" s="22">
        <v>8</v>
      </c>
      <c r="E162" s="22">
        <v>13</v>
      </c>
      <c r="F162" s="22">
        <v>119</v>
      </c>
      <c r="G162" s="22">
        <v>44</v>
      </c>
      <c r="H162" s="55">
        <v>-38.46</v>
      </c>
      <c r="I162" s="55">
        <v>170.45</v>
      </c>
      <c r="J162" s="55">
        <v>0.04</v>
      </c>
      <c r="K162" s="55">
        <v>7.0000000000000007E-2</v>
      </c>
      <c r="L162" s="55">
        <v>0.05</v>
      </c>
      <c r="M162" s="55">
        <v>0.03</v>
      </c>
      <c r="N162" s="55"/>
    </row>
    <row r="163" spans="1:14" hidden="1">
      <c r="A163" s="55">
        <v>123</v>
      </c>
      <c r="B163" s="55" t="s">
        <v>412</v>
      </c>
      <c r="C163" s="55" t="s">
        <v>19</v>
      </c>
      <c r="D163" s="22">
        <v>4</v>
      </c>
      <c r="E163" s="22">
        <v>8</v>
      </c>
      <c r="F163" s="22">
        <v>118</v>
      </c>
      <c r="G163" s="22">
        <v>238</v>
      </c>
      <c r="H163" s="55">
        <v>-50</v>
      </c>
      <c r="I163" s="55">
        <v>-50.42</v>
      </c>
      <c r="J163" s="55">
        <v>0.02</v>
      </c>
      <c r="K163" s="55">
        <v>7.0000000000000007E-2</v>
      </c>
      <c r="L163" s="55">
        <v>0.03</v>
      </c>
      <c r="M163" s="55">
        <v>0.15</v>
      </c>
      <c r="N163" s="55"/>
    </row>
    <row r="164" spans="1:14">
      <c r="A164" s="55">
        <v>124</v>
      </c>
      <c r="B164" s="55" t="s">
        <v>1300</v>
      </c>
      <c r="C164" s="55" t="s">
        <v>20</v>
      </c>
      <c r="D164" s="22">
        <v>44</v>
      </c>
      <c r="E164" s="22">
        <v>0</v>
      </c>
      <c r="F164" s="22">
        <v>116</v>
      </c>
      <c r="G164" s="22">
        <v>0</v>
      </c>
      <c r="H164" s="55">
        <v>0</v>
      </c>
      <c r="I164" s="55">
        <v>0</v>
      </c>
      <c r="J164" s="55">
        <v>0.24</v>
      </c>
      <c r="K164" s="55">
        <v>7.0000000000000007E-2</v>
      </c>
      <c r="L164" s="55">
        <v>0</v>
      </c>
      <c r="M164" s="55">
        <v>0</v>
      </c>
      <c r="N164" s="55"/>
    </row>
    <row r="165" spans="1:14">
      <c r="A165" s="55">
        <v>125</v>
      </c>
      <c r="B165" s="55" t="s">
        <v>1053</v>
      </c>
      <c r="C165" s="55" t="s">
        <v>20</v>
      </c>
      <c r="D165" s="22">
        <v>2</v>
      </c>
      <c r="E165" s="22">
        <v>0</v>
      </c>
      <c r="F165" s="22">
        <v>112</v>
      </c>
      <c r="G165" s="22">
        <v>0</v>
      </c>
      <c r="H165" s="55">
        <v>0</v>
      </c>
      <c r="I165" s="55">
        <v>0</v>
      </c>
      <c r="J165" s="55">
        <v>0.01</v>
      </c>
      <c r="K165" s="55">
        <v>0.06</v>
      </c>
      <c r="L165" s="55">
        <v>0</v>
      </c>
      <c r="M165" s="55">
        <v>0</v>
      </c>
      <c r="N165" s="55"/>
    </row>
    <row r="166" spans="1:14" hidden="1">
      <c r="A166" s="55">
        <v>126</v>
      </c>
      <c r="B166" s="55" t="s">
        <v>1145</v>
      </c>
      <c r="C166" s="55" t="s">
        <v>19</v>
      </c>
      <c r="D166" s="22">
        <v>5</v>
      </c>
      <c r="E166" s="22">
        <v>0</v>
      </c>
      <c r="F166" s="22">
        <v>111</v>
      </c>
      <c r="G166" s="22">
        <v>0</v>
      </c>
      <c r="H166" s="55">
        <v>0</v>
      </c>
      <c r="I166" s="55">
        <v>0</v>
      </c>
      <c r="J166" s="55">
        <v>0.03</v>
      </c>
      <c r="K166" s="55">
        <v>0.06</v>
      </c>
      <c r="L166" s="55">
        <v>0</v>
      </c>
      <c r="M166" s="55">
        <v>0</v>
      </c>
      <c r="N166" s="55"/>
    </row>
    <row r="167" spans="1:14">
      <c r="A167" s="55">
        <v>127</v>
      </c>
      <c r="B167" s="55" t="s">
        <v>659</v>
      </c>
      <c r="C167" s="55" t="s">
        <v>20</v>
      </c>
      <c r="D167" s="22">
        <v>9</v>
      </c>
      <c r="E167" s="22">
        <v>7</v>
      </c>
      <c r="F167" s="22">
        <v>101</v>
      </c>
      <c r="G167" s="22">
        <v>263</v>
      </c>
      <c r="H167" s="55">
        <v>28.57</v>
      </c>
      <c r="I167" s="55">
        <v>-61.6</v>
      </c>
      <c r="J167" s="55">
        <v>0.05</v>
      </c>
      <c r="K167" s="55">
        <v>0.06</v>
      </c>
      <c r="L167" s="55">
        <v>0.03</v>
      </c>
      <c r="M167" s="55">
        <v>0.16</v>
      </c>
      <c r="N167" s="55"/>
    </row>
    <row r="168" spans="1:14" hidden="1">
      <c r="A168" s="55">
        <v>128</v>
      </c>
      <c r="B168" s="55" t="s">
        <v>595</v>
      </c>
      <c r="C168" s="55" t="s">
        <v>19</v>
      </c>
      <c r="D168" s="22">
        <v>5</v>
      </c>
      <c r="E168" s="22">
        <v>8</v>
      </c>
      <c r="F168" s="22">
        <v>99</v>
      </c>
      <c r="G168" s="22">
        <v>80</v>
      </c>
      <c r="H168" s="55">
        <v>-37.5</v>
      </c>
      <c r="I168" s="55">
        <v>23.75</v>
      </c>
      <c r="J168" s="55">
        <v>0.03</v>
      </c>
      <c r="K168" s="55">
        <v>0.06</v>
      </c>
      <c r="L168" s="55">
        <v>0.03</v>
      </c>
      <c r="M168" s="55">
        <v>0.05</v>
      </c>
      <c r="N168" s="55"/>
    </row>
    <row r="169" spans="1:14" hidden="1">
      <c r="A169" s="55">
        <v>129</v>
      </c>
      <c r="B169" s="55" t="s">
        <v>417</v>
      </c>
      <c r="C169" s="55" t="s">
        <v>19</v>
      </c>
      <c r="D169" s="22">
        <v>21</v>
      </c>
      <c r="E169" s="22">
        <v>6</v>
      </c>
      <c r="F169" s="22">
        <v>98</v>
      </c>
      <c r="G169" s="22">
        <v>65</v>
      </c>
      <c r="H169" s="55">
        <v>250</v>
      </c>
      <c r="I169" s="55">
        <v>50.77</v>
      </c>
      <c r="J169" s="55">
        <v>0.11</v>
      </c>
      <c r="K169" s="55">
        <v>0.06</v>
      </c>
      <c r="L169" s="55">
        <v>0.02</v>
      </c>
      <c r="M169" s="55">
        <v>0.04</v>
      </c>
      <c r="N169" s="55"/>
    </row>
    <row r="170" spans="1:14">
      <c r="A170" s="55">
        <v>130</v>
      </c>
      <c r="B170" s="55" t="s">
        <v>1056</v>
      </c>
      <c r="C170" s="55" t="s">
        <v>20</v>
      </c>
      <c r="D170" s="22">
        <v>2</v>
      </c>
      <c r="E170" s="22">
        <v>0</v>
      </c>
      <c r="F170" s="22">
        <v>98</v>
      </c>
      <c r="G170" s="22">
        <v>0</v>
      </c>
      <c r="H170" s="55">
        <v>0</v>
      </c>
      <c r="I170" s="55">
        <v>0</v>
      </c>
      <c r="J170" s="55">
        <v>0.01</v>
      </c>
      <c r="K170" s="55">
        <v>0.06</v>
      </c>
      <c r="L170" s="55">
        <v>0</v>
      </c>
      <c r="M170" s="55">
        <v>0</v>
      </c>
      <c r="N170" s="55"/>
    </row>
    <row r="171" spans="1:14">
      <c r="A171" s="55">
        <v>131</v>
      </c>
      <c r="B171" s="55" t="s">
        <v>1088</v>
      </c>
      <c r="C171" s="55" t="s">
        <v>20</v>
      </c>
      <c r="D171" s="22">
        <v>10</v>
      </c>
      <c r="E171" s="22">
        <v>3</v>
      </c>
      <c r="F171" s="22">
        <v>92</v>
      </c>
      <c r="G171" s="22">
        <v>50</v>
      </c>
      <c r="H171" s="55">
        <v>233.33</v>
      </c>
      <c r="I171" s="55">
        <v>84</v>
      </c>
      <c r="J171" s="55">
        <v>0.05</v>
      </c>
      <c r="K171" s="55">
        <v>0.05</v>
      </c>
      <c r="L171" s="55">
        <v>0.01</v>
      </c>
      <c r="M171" s="55">
        <v>0.03</v>
      </c>
      <c r="N171" s="55"/>
    </row>
    <row r="172" spans="1:14" hidden="1">
      <c r="A172" s="55">
        <v>132</v>
      </c>
      <c r="B172" s="55" t="s">
        <v>353</v>
      </c>
      <c r="C172" s="55" t="s">
        <v>19</v>
      </c>
      <c r="D172" s="22">
        <v>29</v>
      </c>
      <c r="E172" s="22">
        <v>0</v>
      </c>
      <c r="F172" s="22">
        <v>90</v>
      </c>
      <c r="G172" s="22">
        <v>18</v>
      </c>
      <c r="H172" s="55">
        <v>0</v>
      </c>
      <c r="I172" s="55">
        <v>400</v>
      </c>
      <c r="J172" s="55">
        <v>0.16</v>
      </c>
      <c r="K172" s="55">
        <v>0.05</v>
      </c>
      <c r="L172" s="55">
        <v>0</v>
      </c>
      <c r="M172" s="55">
        <v>0.01</v>
      </c>
      <c r="N172" s="55"/>
    </row>
    <row r="173" spans="1:14" hidden="1">
      <c r="A173" s="55">
        <v>133</v>
      </c>
      <c r="B173" s="55" t="s">
        <v>418</v>
      </c>
      <c r="C173" s="55" t="s">
        <v>19</v>
      </c>
      <c r="D173" s="22">
        <v>2</v>
      </c>
      <c r="E173" s="22">
        <v>1</v>
      </c>
      <c r="F173" s="22">
        <v>88</v>
      </c>
      <c r="G173" s="22">
        <v>220</v>
      </c>
      <c r="H173" s="55">
        <v>100</v>
      </c>
      <c r="I173" s="55">
        <v>-60</v>
      </c>
      <c r="J173" s="55">
        <v>0.01</v>
      </c>
      <c r="K173" s="55">
        <v>0.05</v>
      </c>
      <c r="L173" s="55">
        <v>0</v>
      </c>
      <c r="M173" s="55">
        <v>0.14000000000000001</v>
      </c>
      <c r="N173" s="55"/>
    </row>
    <row r="174" spans="1:14">
      <c r="A174" s="55">
        <v>134</v>
      </c>
      <c r="B174" s="55" t="s">
        <v>652</v>
      </c>
      <c r="C174" s="55" t="s">
        <v>20</v>
      </c>
      <c r="D174" s="22">
        <v>6</v>
      </c>
      <c r="E174" s="22">
        <v>56</v>
      </c>
      <c r="F174" s="22">
        <v>88</v>
      </c>
      <c r="G174" s="22">
        <v>175</v>
      </c>
      <c r="H174" s="55">
        <v>-89.29</v>
      </c>
      <c r="I174" s="55">
        <v>-49.71</v>
      </c>
      <c r="J174" s="55">
        <v>0.03</v>
      </c>
      <c r="K174" s="55">
        <v>0.05</v>
      </c>
      <c r="L174" s="55">
        <v>0.21</v>
      </c>
      <c r="M174" s="55">
        <v>0.11</v>
      </c>
      <c r="N174" s="55"/>
    </row>
    <row r="175" spans="1:14" hidden="1">
      <c r="A175" s="55">
        <v>135</v>
      </c>
      <c r="B175" s="55" t="s">
        <v>428</v>
      </c>
      <c r="C175" s="55" t="s">
        <v>19</v>
      </c>
      <c r="D175" s="22">
        <v>14</v>
      </c>
      <c r="E175" s="22">
        <v>10</v>
      </c>
      <c r="F175" s="22">
        <v>88</v>
      </c>
      <c r="G175" s="22">
        <v>103</v>
      </c>
      <c r="H175" s="55">
        <v>40</v>
      </c>
      <c r="I175" s="55">
        <v>-14.56</v>
      </c>
      <c r="J175" s="55">
        <v>0.08</v>
      </c>
      <c r="K175" s="55">
        <v>0.05</v>
      </c>
      <c r="L175" s="55">
        <v>0.04</v>
      </c>
      <c r="M175" s="55">
        <v>0.06</v>
      </c>
      <c r="N175" s="55"/>
    </row>
    <row r="176" spans="1:14" hidden="1">
      <c r="A176" s="55">
        <v>136</v>
      </c>
      <c r="B176" s="55" t="s">
        <v>489</v>
      </c>
      <c r="C176" s="55" t="s">
        <v>19</v>
      </c>
      <c r="D176" s="22">
        <v>24</v>
      </c>
      <c r="E176" s="22">
        <v>3</v>
      </c>
      <c r="F176" s="22">
        <v>88</v>
      </c>
      <c r="G176" s="22">
        <v>34</v>
      </c>
      <c r="H176" s="55">
        <v>700</v>
      </c>
      <c r="I176" s="55">
        <v>158.82</v>
      </c>
      <c r="J176" s="55">
        <v>0.13</v>
      </c>
      <c r="K176" s="55">
        <v>0.05</v>
      </c>
      <c r="L176" s="55">
        <v>0.01</v>
      </c>
      <c r="M176" s="55">
        <v>0.02</v>
      </c>
      <c r="N176" s="55"/>
    </row>
    <row r="177" spans="1:14">
      <c r="A177" s="55">
        <v>137</v>
      </c>
      <c r="B177" s="55" t="s">
        <v>637</v>
      </c>
      <c r="C177" s="55" t="s">
        <v>20</v>
      </c>
      <c r="D177" s="22">
        <v>0</v>
      </c>
      <c r="E177" s="22">
        <v>707</v>
      </c>
      <c r="F177" s="22">
        <v>87</v>
      </c>
      <c r="G177" s="22">
        <v>2330</v>
      </c>
      <c r="H177" s="55">
        <v>-100</v>
      </c>
      <c r="I177" s="55">
        <v>-96.27</v>
      </c>
      <c r="J177" s="55">
        <v>0</v>
      </c>
      <c r="K177" s="55">
        <v>0.05</v>
      </c>
      <c r="L177" s="55">
        <v>2.67</v>
      </c>
      <c r="M177" s="55">
        <v>1.44</v>
      </c>
      <c r="N177" s="55"/>
    </row>
    <row r="178" spans="1:14" hidden="1">
      <c r="A178" s="55">
        <v>138</v>
      </c>
      <c r="B178" s="55" t="s">
        <v>645</v>
      </c>
      <c r="C178" s="55" t="s">
        <v>19</v>
      </c>
      <c r="D178" s="22">
        <v>2</v>
      </c>
      <c r="E178" s="22">
        <v>26</v>
      </c>
      <c r="F178" s="22">
        <v>87</v>
      </c>
      <c r="G178" s="22">
        <v>142</v>
      </c>
      <c r="H178" s="62">
        <v>-92.31</v>
      </c>
      <c r="I178" s="62">
        <v>-38.729999999999997</v>
      </c>
      <c r="J178" s="55">
        <v>0.01</v>
      </c>
      <c r="K178" s="55">
        <v>0.05</v>
      </c>
      <c r="L178" s="55">
        <v>0.1</v>
      </c>
      <c r="M178" s="55">
        <v>0.09</v>
      </c>
      <c r="N178" s="55"/>
    </row>
    <row r="179" spans="1:14">
      <c r="A179" s="55">
        <v>139</v>
      </c>
      <c r="B179" s="55" t="s">
        <v>1075</v>
      </c>
      <c r="C179" s="55" t="s">
        <v>20</v>
      </c>
      <c r="D179" s="22">
        <v>11</v>
      </c>
      <c r="E179" s="22">
        <v>0</v>
      </c>
      <c r="F179" s="22">
        <v>86</v>
      </c>
      <c r="G179" s="22">
        <v>0</v>
      </c>
      <c r="H179" s="55">
        <v>0</v>
      </c>
      <c r="I179" s="55">
        <v>0</v>
      </c>
      <c r="J179" s="55">
        <v>0.06</v>
      </c>
      <c r="K179" s="55">
        <v>0.05</v>
      </c>
      <c r="L179" s="55">
        <v>0</v>
      </c>
      <c r="M179" s="55">
        <v>0</v>
      </c>
      <c r="N179" s="55"/>
    </row>
    <row r="180" spans="1:14">
      <c r="A180" s="55">
        <v>140</v>
      </c>
      <c r="B180" s="55" t="s">
        <v>437</v>
      </c>
      <c r="C180" s="55" t="s">
        <v>20</v>
      </c>
      <c r="D180" s="22">
        <v>17</v>
      </c>
      <c r="E180" s="22">
        <v>10</v>
      </c>
      <c r="F180" s="22">
        <v>84</v>
      </c>
      <c r="G180" s="22">
        <v>33</v>
      </c>
      <c r="H180" s="62">
        <v>70</v>
      </c>
      <c r="I180" s="62">
        <v>154.55000000000001</v>
      </c>
      <c r="J180" s="55">
        <v>0.09</v>
      </c>
      <c r="K180" s="55">
        <v>0.05</v>
      </c>
      <c r="L180" s="55">
        <v>0.04</v>
      </c>
      <c r="M180" s="55">
        <v>0.02</v>
      </c>
      <c r="N180" s="55"/>
    </row>
    <row r="181" spans="1:14" hidden="1">
      <c r="A181" s="55">
        <v>141</v>
      </c>
      <c r="B181" s="55" t="s">
        <v>435</v>
      </c>
      <c r="C181" s="55" t="s">
        <v>19</v>
      </c>
      <c r="D181" s="22">
        <v>4</v>
      </c>
      <c r="E181" s="22">
        <v>0</v>
      </c>
      <c r="F181" s="22">
        <v>82</v>
      </c>
      <c r="G181" s="22">
        <v>23</v>
      </c>
      <c r="H181" s="55">
        <v>0</v>
      </c>
      <c r="I181" s="55">
        <v>256.52</v>
      </c>
      <c r="J181" s="55">
        <v>0.02</v>
      </c>
      <c r="K181" s="55">
        <v>0.05</v>
      </c>
      <c r="L181" s="55">
        <v>0</v>
      </c>
      <c r="M181" s="55">
        <v>0.01</v>
      </c>
      <c r="N181" s="55"/>
    </row>
    <row r="182" spans="1:14">
      <c r="A182" s="55">
        <v>142</v>
      </c>
      <c r="B182" s="55" t="s">
        <v>1316</v>
      </c>
      <c r="C182" s="55" t="s">
        <v>20</v>
      </c>
      <c r="D182" s="22">
        <v>81</v>
      </c>
      <c r="E182" s="22">
        <v>0</v>
      </c>
      <c r="F182" s="22">
        <v>81</v>
      </c>
      <c r="G182" s="22">
        <v>0</v>
      </c>
      <c r="H182" s="55">
        <v>0</v>
      </c>
      <c r="I182" s="55">
        <v>0</v>
      </c>
      <c r="J182" s="55">
        <v>0.44</v>
      </c>
      <c r="K182" s="55">
        <v>0.05</v>
      </c>
      <c r="L182" s="55">
        <v>0</v>
      </c>
      <c r="M182" s="55">
        <v>0</v>
      </c>
      <c r="N182" s="55"/>
    </row>
    <row r="183" spans="1:14" hidden="1">
      <c r="A183" s="55">
        <v>143</v>
      </c>
      <c r="B183" s="55" t="s">
        <v>1074</v>
      </c>
      <c r="C183" s="55" t="s">
        <v>19</v>
      </c>
      <c r="D183" s="22">
        <v>3</v>
      </c>
      <c r="E183" s="22">
        <v>0</v>
      </c>
      <c r="F183" s="22">
        <v>80</v>
      </c>
      <c r="G183" s="22">
        <v>0</v>
      </c>
      <c r="H183" s="55">
        <v>0</v>
      </c>
      <c r="I183" s="55">
        <v>0</v>
      </c>
      <c r="J183" s="55">
        <v>0.02</v>
      </c>
      <c r="K183" s="55">
        <v>0.05</v>
      </c>
      <c r="L183" s="55">
        <v>0</v>
      </c>
      <c r="M183" s="55">
        <v>0</v>
      </c>
      <c r="N183" s="55"/>
    </row>
    <row r="184" spans="1:14">
      <c r="A184" s="55">
        <v>144</v>
      </c>
      <c r="B184" s="55" t="s">
        <v>1036</v>
      </c>
      <c r="C184" s="55" t="s">
        <v>20</v>
      </c>
      <c r="D184" s="22">
        <v>1</v>
      </c>
      <c r="E184" s="22">
        <v>5</v>
      </c>
      <c r="F184" s="22">
        <v>79</v>
      </c>
      <c r="G184" s="22">
        <v>5</v>
      </c>
      <c r="H184" s="55">
        <v>-80</v>
      </c>
      <c r="I184" s="55">
        <v>1480</v>
      </c>
      <c r="J184" s="55">
        <v>0.01</v>
      </c>
      <c r="K184" s="55">
        <v>0.05</v>
      </c>
      <c r="L184" s="55">
        <v>0.02</v>
      </c>
      <c r="M184" s="55">
        <v>0</v>
      </c>
      <c r="N184" s="55"/>
    </row>
    <row r="185" spans="1:14">
      <c r="A185" s="55">
        <v>145</v>
      </c>
      <c r="B185" s="55" t="s">
        <v>572</v>
      </c>
      <c r="C185" s="55" t="s">
        <v>20</v>
      </c>
      <c r="D185" s="22">
        <v>9</v>
      </c>
      <c r="E185" s="22">
        <v>3</v>
      </c>
      <c r="F185" s="22">
        <v>76</v>
      </c>
      <c r="G185" s="22">
        <v>31</v>
      </c>
      <c r="H185" s="55">
        <v>200</v>
      </c>
      <c r="I185" s="55">
        <v>145.16</v>
      </c>
      <c r="J185" s="55">
        <v>0.05</v>
      </c>
      <c r="K185" s="55">
        <v>0.04</v>
      </c>
      <c r="L185" s="55">
        <v>0.01</v>
      </c>
      <c r="M185" s="55">
        <v>0.02</v>
      </c>
      <c r="N185" s="55"/>
    </row>
    <row r="186" spans="1:14">
      <c r="A186" s="55">
        <v>146</v>
      </c>
      <c r="B186" s="55" t="s">
        <v>1152</v>
      </c>
      <c r="C186" s="55" t="s">
        <v>20</v>
      </c>
      <c r="D186" s="22">
        <v>4</v>
      </c>
      <c r="E186" s="22">
        <v>0</v>
      </c>
      <c r="F186" s="22">
        <v>76</v>
      </c>
      <c r="G186" s="22">
        <v>0</v>
      </c>
      <c r="H186" s="55">
        <v>0</v>
      </c>
      <c r="I186" s="55">
        <v>0</v>
      </c>
      <c r="J186" s="55">
        <v>0.02</v>
      </c>
      <c r="K186" s="55">
        <v>0.04</v>
      </c>
      <c r="L186" s="55">
        <v>0</v>
      </c>
      <c r="M186" s="55">
        <v>0</v>
      </c>
      <c r="N186" s="55"/>
    </row>
    <row r="187" spans="1:14">
      <c r="A187" s="55">
        <v>147</v>
      </c>
      <c r="B187" s="55" t="s">
        <v>555</v>
      </c>
      <c r="C187" s="55" t="s">
        <v>20</v>
      </c>
      <c r="D187" s="22">
        <v>13</v>
      </c>
      <c r="E187" s="22">
        <v>26</v>
      </c>
      <c r="F187" s="22">
        <v>69</v>
      </c>
      <c r="G187" s="22">
        <v>156</v>
      </c>
      <c r="H187" s="55">
        <v>-50</v>
      </c>
      <c r="I187" s="55">
        <v>-55.77</v>
      </c>
      <c r="J187" s="55">
        <v>7.0000000000000007E-2</v>
      </c>
      <c r="K187" s="55">
        <v>0.04</v>
      </c>
      <c r="L187" s="55">
        <v>0.1</v>
      </c>
      <c r="M187" s="55">
        <v>0.1</v>
      </c>
      <c r="N187" s="55"/>
    </row>
    <row r="188" spans="1:14">
      <c r="A188" s="55">
        <v>148</v>
      </c>
      <c r="B188" s="55" t="s">
        <v>1009</v>
      </c>
      <c r="C188" s="55" t="s">
        <v>20</v>
      </c>
      <c r="D188" s="22">
        <v>2</v>
      </c>
      <c r="E188" s="22">
        <v>3</v>
      </c>
      <c r="F188" s="22">
        <v>69</v>
      </c>
      <c r="G188" s="22">
        <v>25</v>
      </c>
      <c r="H188" s="55">
        <v>-33.33</v>
      </c>
      <c r="I188" s="55">
        <v>176</v>
      </c>
      <c r="J188" s="55">
        <v>0.01</v>
      </c>
      <c r="K188" s="55">
        <v>0.04</v>
      </c>
      <c r="L188" s="55">
        <v>0.01</v>
      </c>
      <c r="M188" s="55">
        <v>0.02</v>
      </c>
      <c r="N188" s="55"/>
    </row>
    <row r="189" spans="1:14" hidden="1">
      <c r="A189" s="55">
        <v>149</v>
      </c>
      <c r="B189" s="55" t="s">
        <v>427</v>
      </c>
      <c r="C189" s="55" t="s">
        <v>19</v>
      </c>
      <c r="D189" s="22">
        <v>2</v>
      </c>
      <c r="E189" s="22">
        <v>9</v>
      </c>
      <c r="F189" s="22">
        <v>67</v>
      </c>
      <c r="G189" s="22">
        <v>93</v>
      </c>
      <c r="H189" s="55">
        <v>-77.78</v>
      </c>
      <c r="I189" s="55">
        <v>-27.96</v>
      </c>
      <c r="J189" s="55">
        <v>0.01</v>
      </c>
      <c r="K189" s="55">
        <v>0.04</v>
      </c>
      <c r="L189" s="55">
        <v>0.03</v>
      </c>
      <c r="M189" s="55">
        <v>0.06</v>
      </c>
      <c r="N189" s="55"/>
    </row>
    <row r="190" spans="1:14">
      <c r="A190" s="55">
        <v>150</v>
      </c>
      <c r="B190" s="55" t="s">
        <v>1022</v>
      </c>
      <c r="C190" s="55" t="s">
        <v>20</v>
      </c>
      <c r="D190" s="22">
        <v>4</v>
      </c>
      <c r="E190" s="22">
        <v>8</v>
      </c>
      <c r="F190" s="22">
        <v>65</v>
      </c>
      <c r="G190" s="22">
        <v>11</v>
      </c>
      <c r="H190" s="55">
        <v>-50</v>
      </c>
      <c r="I190" s="55">
        <v>490.91</v>
      </c>
      <c r="J190" s="55">
        <v>0.02</v>
      </c>
      <c r="K190" s="55">
        <v>0.04</v>
      </c>
      <c r="L190" s="55">
        <v>0.03</v>
      </c>
      <c r="M190" s="55">
        <v>0.01</v>
      </c>
      <c r="N190" s="55"/>
    </row>
    <row r="191" spans="1:14" hidden="1">
      <c r="A191" s="55">
        <v>151</v>
      </c>
      <c r="B191" s="55" t="s">
        <v>1126</v>
      </c>
      <c r="C191" s="55" t="s">
        <v>19</v>
      </c>
      <c r="D191" s="22">
        <v>2</v>
      </c>
      <c r="E191" s="22">
        <v>0</v>
      </c>
      <c r="F191" s="22">
        <v>64</v>
      </c>
      <c r="G191" s="22">
        <v>0</v>
      </c>
      <c r="H191" s="55">
        <v>0</v>
      </c>
      <c r="I191" s="55">
        <v>0</v>
      </c>
      <c r="J191" s="55">
        <v>0.01</v>
      </c>
      <c r="K191" s="55">
        <v>0.04</v>
      </c>
      <c r="L191" s="55">
        <v>0</v>
      </c>
      <c r="M191" s="55">
        <v>0</v>
      </c>
      <c r="N191" s="55"/>
    </row>
    <row r="192" spans="1:14">
      <c r="A192" s="55">
        <v>152</v>
      </c>
      <c r="B192" s="55" t="s">
        <v>1252</v>
      </c>
      <c r="C192" s="55" t="s">
        <v>20</v>
      </c>
      <c r="D192" s="22">
        <v>7</v>
      </c>
      <c r="E192" s="22">
        <v>0</v>
      </c>
      <c r="F192" s="22">
        <v>63</v>
      </c>
      <c r="G192" s="22">
        <v>0</v>
      </c>
      <c r="H192" s="55">
        <v>0</v>
      </c>
      <c r="I192" s="55">
        <v>0</v>
      </c>
      <c r="J192" s="55">
        <v>0.04</v>
      </c>
      <c r="K192" s="55">
        <v>0.04</v>
      </c>
      <c r="L192" s="55">
        <v>0</v>
      </c>
      <c r="M192" s="55">
        <v>0</v>
      </c>
      <c r="N192" s="55"/>
    </row>
    <row r="193" spans="1:14" hidden="1">
      <c r="A193" s="55">
        <v>153</v>
      </c>
      <c r="B193" s="55" t="s">
        <v>608</v>
      </c>
      <c r="C193" s="55" t="s">
        <v>19</v>
      </c>
      <c r="D193" s="22">
        <v>6</v>
      </c>
      <c r="E193" s="22">
        <v>4</v>
      </c>
      <c r="F193" s="22">
        <v>60</v>
      </c>
      <c r="G193" s="22">
        <v>71</v>
      </c>
      <c r="H193" s="55">
        <v>50</v>
      </c>
      <c r="I193" s="55">
        <v>-15.49</v>
      </c>
      <c r="J193" s="55">
        <v>0.03</v>
      </c>
      <c r="K193" s="55">
        <v>0.03</v>
      </c>
      <c r="L193" s="55">
        <v>0.02</v>
      </c>
      <c r="M193" s="55">
        <v>0.04</v>
      </c>
      <c r="N193" s="55"/>
    </row>
    <row r="194" spans="1:14">
      <c r="A194" s="55">
        <v>154</v>
      </c>
      <c r="B194" s="55" t="s">
        <v>1231</v>
      </c>
      <c r="C194" s="55" t="s">
        <v>20</v>
      </c>
      <c r="D194" s="22">
        <v>6</v>
      </c>
      <c r="E194" s="22">
        <v>0</v>
      </c>
      <c r="F194" s="22">
        <v>58</v>
      </c>
      <c r="G194" s="22">
        <v>0</v>
      </c>
      <c r="H194" s="62">
        <v>0</v>
      </c>
      <c r="I194" s="62">
        <v>0</v>
      </c>
      <c r="J194" s="62">
        <v>0.03</v>
      </c>
      <c r="K194" s="62">
        <v>0.03</v>
      </c>
      <c r="L194" s="62">
        <v>0</v>
      </c>
      <c r="M194" s="62">
        <v>0</v>
      </c>
      <c r="N194" s="55"/>
    </row>
    <row r="195" spans="1:14" hidden="1">
      <c r="A195" s="55">
        <v>155</v>
      </c>
      <c r="B195" s="55" t="s">
        <v>237</v>
      </c>
      <c r="C195" s="55" t="s">
        <v>19</v>
      </c>
      <c r="D195" s="22">
        <v>10</v>
      </c>
      <c r="E195" s="22">
        <v>0</v>
      </c>
      <c r="F195" s="22">
        <v>55</v>
      </c>
      <c r="G195" s="22">
        <v>23</v>
      </c>
      <c r="H195" s="55">
        <v>0</v>
      </c>
      <c r="I195" s="55">
        <v>139.13</v>
      </c>
      <c r="J195" s="55">
        <v>0.05</v>
      </c>
      <c r="K195" s="55">
        <v>0.03</v>
      </c>
      <c r="L195" s="55">
        <v>0</v>
      </c>
      <c r="M195" s="55">
        <v>0.01</v>
      </c>
      <c r="N195" s="55"/>
    </row>
    <row r="196" spans="1:14" hidden="1">
      <c r="A196" s="55">
        <v>156</v>
      </c>
      <c r="B196" s="55" t="s">
        <v>1218</v>
      </c>
      <c r="C196" s="55" t="s">
        <v>19</v>
      </c>
      <c r="D196" s="22">
        <v>2</v>
      </c>
      <c r="E196" s="22">
        <v>0</v>
      </c>
      <c r="F196" s="22">
        <v>55</v>
      </c>
      <c r="G196" s="22">
        <v>0</v>
      </c>
      <c r="H196" s="55">
        <v>0</v>
      </c>
      <c r="I196" s="55">
        <v>0</v>
      </c>
      <c r="J196" s="55">
        <v>0.01</v>
      </c>
      <c r="K196" s="55">
        <v>0.03</v>
      </c>
      <c r="L196" s="55">
        <v>0</v>
      </c>
      <c r="M196" s="55">
        <v>0</v>
      </c>
      <c r="N196" s="55"/>
    </row>
    <row r="197" spans="1:14" hidden="1">
      <c r="A197" s="55">
        <v>157</v>
      </c>
      <c r="B197" s="55" t="s">
        <v>550</v>
      </c>
      <c r="C197" s="55" t="s">
        <v>19</v>
      </c>
      <c r="D197" s="22">
        <v>1</v>
      </c>
      <c r="E197" s="22">
        <v>2</v>
      </c>
      <c r="F197" s="22">
        <v>54</v>
      </c>
      <c r="G197" s="22">
        <v>145</v>
      </c>
      <c r="H197" s="55">
        <v>-50</v>
      </c>
      <c r="I197" s="55">
        <v>-62.76</v>
      </c>
      <c r="J197" s="55">
        <v>0.01</v>
      </c>
      <c r="K197" s="55">
        <v>0.03</v>
      </c>
      <c r="L197" s="55">
        <v>0.01</v>
      </c>
      <c r="M197" s="55">
        <v>0.09</v>
      </c>
      <c r="N197" s="55"/>
    </row>
    <row r="198" spans="1:14">
      <c r="A198" s="55">
        <v>158</v>
      </c>
      <c r="B198" s="55" t="s">
        <v>1124</v>
      </c>
      <c r="C198" s="55" t="s">
        <v>20</v>
      </c>
      <c r="D198" s="22">
        <v>5</v>
      </c>
      <c r="E198" s="22">
        <v>0</v>
      </c>
      <c r="F198" s="22">
        <v>53</v>
      </c>
      <c r="G198" s="22">
        <v>0</v>
      </c>
      <c r="H198" s="55">
        <v>0</v>
      </c>
      <c r="I198" s="55">
        <v>0</v>
      </c>
      <c r="J198" s="55">
        <v>0.03</v>
      </c>
      <c r="K198" s="55">
        <v>0.03</v>
      </c>
      <c r="L198" s="55">
        <v>0</v>
      </c>
      <c r="M198" s="55">
        <v>0</v>
      </c>
      <c r="N198" s="55"/>
    </row>
    <row r="199" spans="1:14" hidden="1">
      <c r="A199" s="55">
        <v>159</v>
      </c>
      <c r="B199" s="55" t="s">
        <v>190</v>
      </c>
      <c r="C199" s="55" t="s">
        <v>19</v>
      </c>
      <c r="D199" s="22">
        <v>0</v>
      </c>
      <c r="E199" s="22">
        <v>0</v>
      </c>
      <c r="F199" s="22">
        <v>52</v>
      </c>
      <c r="G199" s="22">
        <v>0</v>
      </c>
      <c r="H199" s="55">
        <v>0</v>
      </c>
      <c r="I199" s="55">
        <v>0</v>
      </c>
      <c r="J199" s="55">
        <v>0</v>
      </c>
      <c r="K199" s="55">
        <v>0.03</v>
      </c>
      <c r="L199" s="55">
        <v>0</v>
      </c>
      <c r="M199" s="55">
        <v>0</v>
      </c>
      <c r="N199" s="55"/>
    </row>
    <row r="200" spans="1:14">
      <c r="A200" s="55">
        <v>160</v>
      </c>
      <c r="B200" s="55" t="s">
        <v>643</v>
      </c>
      <c r="C200" s="55" t="s">
        <v>20</v>
      </c>
      <c r="D200" s="22">
        <v>4</v>
      </c>
      <c r="E200" s="22">
        <v>13</v>
      </c>
      <c r="F200" s="22">
        <v>51</v>
      </c>
      <c r="G200" s="22">
        <v>111</v>
      </c>
      <c r="H200" s="55">
        <v>-69.23</v>
      </c>
      <c r="I200" s="55">
        <v>-54.05</v>
      </c>
      <c r="J200" s="55">
        <v>0.02</v>
      </c>
      <c r="K200" s="55">
        <v>0.03</v>
      </c>
      <c r="L200" s="55">
        <v>0.05</v>
      </c>
      <c r="M200" s="55">
        <v>7.0000000000000007E-2</v>
      </c>
      <c r="N200" s="55"/>
    </row>
    <row r="201" spans="1:14">
      <c r="A201" s="55">
        <v>161</v>
      </c>
      <c r="B201" s="55" t="s">
        <v>495</v>
      </c>
      <c r="C201" s="55" t="s">
        <v>20</v>
      </c>
      <c r="D201" s="22">
        <v>7</v>
      </c>
      <c r="E201" s="22">
        <v>2</v>
      </c>
      <c r="F201" s="22">
        <v>51</v>
      </c>
      <c r="G201" s="22">
        <v>86</v>
      </c>
      <c r="H201" s="55">
        <v>250</v>
      </c>
      <c r="I201" s="55">
        <v>-40.700000000000003</v>
      </c>
      <c r="J201" s="55">
        <v>0.04</v>
      </c>
      <c r="K201" s="55">
        <v>0.03</v>
      </c>
      <c r="L201" s="55">
        <v>0.01</v>
      </c>
      <c r="M201" s="55">
        <v>0.05</v>
      </c>
      <c r="N201" s="55"/>
    </row>
    <row r="202" spans="1:14">
      <c r="A202" s="55">
        <v>162</v>
      </c>
      <c r="B202" s="55" t="s">
        <v>646</v>
      </c>
      <c r="C202" s="55" t="s">
        <v>20</v>
      </c>
      <c r="D202" s="22">
        <v>0</v>
      </c>
      <c r="E202" s="22">
        <v>5</v>
      </c>
      <c r="F202" s="22">
        <v>49</v>
      </c>
      <c r="G202" s="22">
        <v>54</v>
      </c>
      <c r="H202" s="55">
        <v>-100</v>
      </c>
      <c r="I202" s="55">
        <v>-9.26</v>
      </c>
      <c r="J202" s="55">
        <v>0</v>
      </c>
      <c r="K202" s="55">
        <v>0.03</v>
      </c>
      <c r="L202" s="55">
        <v>0.02</v>
      </c>
      <c r="M202" s="55">
        <v>0.03</v>
      </c>
      <c r="N202" s="55"/>
    </row>
    <row r="203" spans="1:14" hidden="1">
      <c r="A203" s="55">
        <v>163</v>
      </c>
      <c r="B203" s="55" t="s">
        <v>434</v>
      </c>
      <c r="C203" s="55" t="s">
        <v>19</v>
      </c>
      <c r="D203" s="22">
        <v>18</v>
      </c>
      <c r="E203" s="22">
        <v>14</v>
      </c>
      <c r="F203" s="22">
        <v>46</v>
      </c>
      <c r="G203" s="22">
        <v>112</v>
      </c>
      <c r="H203" s="55">
        <v>28.57</v>
      </c>
      <c r="I203" s="55">
        <v>-58.93</v>
      </c>
      <c r="J203" s="55">
        <v>0.1</v>
      </c>
      <c r="K203" s="55">
        <v>0.03</v>
      </c>
      <c r="L203" s="55">
        <v>0.05</v>
      </c>
      <c r="M203" s="55">
        <v>7.0000000000000007E-2</v>
      </c>
      <c r="N203" s="55"/>
    </row>
    <row r="204" spans="1:14" hidden="1">
      <c r="A204" s="135">
        <v>164</v>
      </c>
      <c r="B204" s="135" t="s">
        <v>1153</v>
      </c>
      <c r="C204" s="135" t="s">
        <v>19</v>
      </c>
      <c r="D204" s="142">
        <v>27</v>
      </c>
      <c r="E204" s="142">
        <v>0</v>
      </c>
      <c r="F204" s="142">
        <v>46</v>
      </c>
      <c r="G204" s="142">
        <v>0</v>
      </c>
      <c r="H204" s="135">
        <v>0</v>
      </c>
      <c r="I204" s="135">
        <v>0</v>
      </c>
      <c r="J204" s="135">
        <v>0.15</v>
      </c>
      <c r="K204" s="135">
        <v>0.03</v>
      </c>
      <c r="L204" s="135">
        <v>0</v>
      </c>
      <c r="M204" s="135">
        <v>0</v>
      </c>
      <c r="N204" s="55"/>
    </row>
    <row r="205" spans="1:14">
      <c r="A205" s="135">
        <v>165</v>
      </c>
      <c r="B205" s="135" t="s">
        <v>1149</v>
      </c>
      <c r="C205" s="135" t="s">
        <v>20</v>
      </c>
      <c r="D205" s="142">
        <v>4</v>
      </c>
      <c r="E205" s="142">
        <v>0</v>
      </c>
      <c r="F205" s="142">
        <v>45</v>
      </c>
      <c r="G205" s="142">
        <v>3</v>
      </c>
      <c r="H205" s="135">
        <v>0</v>
      </c>
      <c r="I205" s="135">
        <v>1400</v>
      </c>
      <c r="J205" s="135">
        <v>0.02</v>
      </c>
      <c r="K205" s="135">
        <v>0.03</v>
      </c>
      <c r="L205" s="135">
        <v>0</v>
      </c>
      <c r="M205" s="135">
        <v>0</v>
      </c>
      <c r="N205" s="55"/>
    </row>
    <row r="206" spans="1:14">
      <c r="A206" s="135">
        <v>166</v>
      </c>
      <c r="B206" s="135" t="s">
        <v>1072</v>
      </c>
      <c r="C206" s="135" t="s">
        <v>20</v>
      </c>
      <c r="D206" s="142">
        <v>0</v>
      </c>
      <c r="E206" s="142">
        <v>0</v>
      </c>
      <c r="F206" s="142">
        <v>44</v>
      </c>
      <c r="G206" s="142">
        <v>0</v>
      </c>
      <c r="H206" s="135">
        <v>0</v>
      </c>
      <c r="I206" s="135">
        <v>0</v>
      </c>
      <c r="J206" s="135">
        <v>0</v>
      </c>
      <c r="K206" s="135">
        <v>0.03</v>
      </c>
      <c r="L206" s="135">
        <v>0</v>
      </c>
      <c r="M206" s="135">
        <v>0</v>
      </c>
      <c r="N206" s="55"/>
    </row>
    <row r="207" spans="1:14" hidden="1">
      <c r="A207" s="135">
        <v>167</v>
      </c>
      <c r="B207" s="135" t="s">
        <v>492</v>
      </c>
      <c r="C207" s="135" t="s">
        <v>19</v>
      </c>
      <c r="D207" s="142">
        <v>5</v>
      </c>
      <c r="E207" s="142">
        <v>3</v>
      </c>
      <c r="F207" s="142">
        <v>43</v>
      </c>
      <c r="G207" s="142">
        <v>12</v>
      </c>
      <c r="H207" s="135">
        <v>66.67</v>
      </c>
      <c r="I207" s="135">
        <v>258.33</v>
      </c>
      <c r="J207" s="135">
        <v>0.03</v>
      </c>
      <c r="K207" s="135">
        <v>0.02</v>
      </c>
      <c r="L207" s="135">
        <v>0.01</v>
      </c>
      <c r="M207" s="135">
        <v>0.01</v>
      </c>
      <c r="N207" s="55"/>
    </row>
    <row r="208" spans="1:14">
      <c r="A208" s="135">
        <v>168</v>
      </c>
      <c r="B208" s="135" t="s">
        <v>609</v>
      </c>
      <c r="C208" s="135" t="s">
        <v>20</v>
      </c>
      <c r="D208" s="142">
        <v>4</v>
      </c>
      <c r="E208" s="142">
        <v>3</v>
      </c>
      <c r="F208" s="142">
        <v>39</v>
      </c>
      <c r="G208" s="142">
        <v>24</v>
      </c>
      <c r="H208" s="135">
        <v>33.33</v>
      </c>
      <c r="I208" s="135">
        <v>62.5</v>
      </c>
      <c r="J208" s="135">
        <v>0.02</v>
      </c>
      <c r="K208" s="135">
        <v>0.02</v>
      </c>
      <c r="L208" s="135">
        <v>0.01</v>
      </c>
      <c r="M208" s="135">
        <v>0.01</v>
      </c>
      <c r="N208" s="55"/>
    </row>
    <row r="209" spans="1:14">
      <c r="A209" s="135">
        <v>169</v>
      </c>
      <c r="B209" s="135" t="s">
        <v>703</v>
      </c>
      <c r="C209" s="135" t="s">
        <v>20</v>
      </c>
      <c r="D209" s="142">
        <v>0</v>
      </c>
      <c r="E209" s="142">
        <v>13</v>
      </c>
      <c r="F209" s="142">
        <v>36</v>
      </c>
      <c r="G209" s="142">
        <v>38</v>
      </c>
      <c r="H209" s="135">
        <v>-100</v>
      </c>
      <c r="I209" s="135">
        <v>-5.26</v>
      </c>
      <c r="J209" s="135">
        <v>0</v>
      </c>
      <c r="K209" s="135">
        <v>0.02</v>
      </c>
      <c r="L209" s="135">
        <v>0.05</v>
      </c>
      <c r="M209" s="135">
        <v>0.02</v>
      </c>
      <c r="N209" s="55"/>
    </row>
    <row r="210" spans="1:14" hidden="1">
      <c r="A210" s="135">
        <v>170</v>
      </c>
      <c r="B210" s="135" t="s">
        <v>426</v>
      </c>
      <c r="C210" s="135" t="s">
        <v>19</v>
      </c>
      <c r="D210" s="142">
        <v>0</v>
      </c>
      <c r="E210" s="142">
        <v>10</v>
      </c>
      <c r="F210" s="142">
        <v>35</v>
      </c>
      <c r="G210" s="142">
        <v>132</v>
      </c>
      <c r="H210" s="135">
        <v>-100</v>
      </c>
      <c r="I210" s="135">
        <v>-73.48</v>
      </c>
      <c r="J210" s="135">
        <v>0</v>
      </c>
      <c r="K210" s="135">
        <v>0.02</v>
      </c>
      <c r="L210" s="135">
        <v>0.04</v>
      </c>
      <c r="M210" s="135">
        <v>0.08</v>
      </c>
      <c r="N210" s="55"/>
    </row>
    <row r="211" spans="1:14">
      <c r="A211" s="135">
        <v>171</v>
      </c>
      <c r="B211" s="135" t="s">
        <v>498</v>
      </c>
      <c r="C211" s="135" t="s">
        <v>20</v>
      </c>
      <c r="D211" s="142">
        <v>0</v>
      </c>
      <c r="E211" s="142">
        <v>14</v>
      </c>
      <c r="F211" s="142">
        <v>34</v>
      </c>
      <c r="G211" s="142">
        <v>113</v>
      </c>
      <c r="H211" s="135">
        <v>-100</v>
      </c>
      <c r="I211" s="135">
        <v>-69.91</v>
      </c>
      <c r="J211" s="135">
        <v>0</v>
      </c>
      <c r="K211" s="135">
        <v>0.02</v>
      </c>
      <c r="L211" s="135">
        <v>0.05</v>
      </c>
      <c r="M211" s="135">
        <v>7.0000000000000007E-2</v>
      </c>
      <c r="N211" s="55"/>
    </row>
    <row r="212" spans="1:14" hidden="1">
      <c r="A212" s="135">
        <v>172</v>
      </c>
      <c r="B212" s="135" t="s">
        <v>129</v>
      </c>
      <c r="C212" s="135" t="s">
        <v>19</v>
      </c>
      <c r="D212" s="142">
        <v>4</v>
      </c>
      <c r="E212" s="142">
        <v>4</v>
      </c>
      <c r="F212" s="142">
        <v>34</v>
      </c>
      <c r="G212" s="142">
        <v>100</v>
      </c>
      <c r="H212" s="135">
        <v>0</v>
      </c>
      <c r="I212" s="135">
        <v>-66</v>
      </c>
      <c r="J212" s="135">
        <v>0.02</v>
      </c>
      <c r="K212" s="135">
        <v>0.02</v>
      </c>
      <c r="L212" s="135">
        <v>0.02</v>
      </c>
      <c r="M212" s="135">
        <v>0.06</v>
      </c>
      <c r="N212" s="55"/>
    </row>
    <row r="213" spans="1:14">
      <c r="A213" s="135">
        <v>173</v>
      </c>
      <c r="B213" s="135" t="s">
        <v>1270</v>
      </c>
      <c r="C213" s="135" t="s">
        <v>20</v>
      </c>
      <c r="D213" s="142">
        <v>7</v>
      </c>
      <c r="E213" s="142">
        <v>0</v>
      </c>
      <c r="F213" s="142">
        <v>34</v>
      </c>
      <c r="G213" s="142">
        <v>0</v>
      </c>
      <c r="H213" s="137">
        <v>0</v>
      </c>
      <c r="I213" s="137">
        <v>0</v>
      </c>
      <c r="J213" s="137">
        <v>0.04</v>
      </c>
      <c r="K213" s="137">
        <v>0.02</v>
      </c>
      <c r="L213" s="137">
        <v>0</v>
      </c>
      <c r="M213" s="137">
        <v>0</v>
      </c>
      <c r="N213" s="55"/>
    </row>
    <row r="214" spans="1:14" hidden="1">
      <c r="A214" s="135">
        <v>174</v>
      </c>
      <c r="B214" s="135" t="s">
        <v>689</v>
      </c>
      <c r="C214" s="135" t="s">
        <v>19</v>
      </c>
      <c r="D214" s="142">
        <v>0</v>
      </c>
      <c r="E214" s="142">
        <v>1</v>
      </c>
      <c r="F214" s="142">
        <v>33</v>
      </c>
      <c r="G214" s="142">
        <v>15</v>
      </c>
      <c r="H214" s="135">
        <v>-100</v>
      </c>
      <c r="I214" s="135">
        <v>120</v>
      </c>
      <c r="J214" s="135">
        <v>0</v>
      </c>
      <c r="K214" s="135">
        <v>0.02</v>
      </c>
      <c r="L214" s="135">
        <v>0</v>
      </c>
      <c r="M214" s="135">
        <v>0.01</v>
      </c>
      <c r="N214" s="55"/>
    </row>
    <row r="215" spans="1:14" hidden="1">
      <c r="A215" s="135">
        <v>175</v>
      </c>
      <c r="B215" s="135" t="s">
        <v>701</v>
      </c>
      <c r="C215" s="135" t="s">
        <v>19</v>
      </c>
      <c r="D215" s="142">
        <v>0</v>
      </c>
      <c r="E215" s="142">
        <v>8</v>
      </c>
      <c r="F215" s="142">
        <v>32</v>
      </c>
      <c r="G215" s="142">
        <v>113</v>
      </c>
      <c r="H215" s="135">
        <v>-100</v>
      </c>
      <c r="I215" s="135">
        <v>-71.680000000000007</v>
      </c>
      <c r="J215" s="135">
        <v>0</v>
      </c>
      <c r="K215" s="135">
        <v>0.02</v>
      </c>
      <c r="L215" s="135">
        <v>0.03</v>
      </c>
      <c r="M215" s="135">
        <v>7.0000000000000007E-2</v>
      </c>
      <c r="N215" s="55"/>
    </row>
    <row r="216" spans="1:14" hidden="1">
      <c r="A216" s="135">
        <v>176</v>
      </c>
      <c r="B216" s="135" t="s">
        <v>594</v>
      </c>
      <c r="C216" s="135" t="s">
        <v>19</v>
      </c>
      <c r="D216" s="142">
        <v>3</v>
      </c>
      <c r="E216" s="142">
        <v>8</v>
      </c>
      <c r="F216" s="142">
        <v>31</v>
      </c>
      <c r="G216" s="142">
        <v>55</v>
      </c>
      <c r="H216" s="135">
        <v>-62.5</v>
      </c>
      <c r="I216" s="135">
        <v>-43.64</v>
      </c>
      <c r="J216" s="135">
        <v>0.02</v>
      </c>
      <c r="K216" s="135">
        <v>0.02</v>
      </c>
      <c r="L216" s="135">
        <v>0.03</v>
      </c>
      <c r="M216" s="135">
        <v>0.03</v>
      </c>
      <c r="N216" s="55"/>
    </row>
    <row r="217" spans="1:14" hidden="1">
      <c r="A217" s="135">
        <v>177</v>
      </c>
      <c r="B217" s="135" t="s">
        <v>139</v>
      </c>
      <c r="C217" s="135" t="s">
        <v>19</v>
      </c>
      <c r="D217" s="142">
        <v>0</v>
      </c>
      <c r="E217" s="142">
        <v>9</v>
      </c>
      <c r="F217" s="142">
        <v>30</v>
      </c>
      <c r="G217" s="142">
        <v>164</v>
      </c>
      <c r="H217" s="135">
        <v>-100</v>
      </c>
      <c r="I217" s="135">
        <v>-81.709999999999994</v>
      </c>
      <c r="J217" s="135">
        <v>0</v>
      </c>
      <c r="K217" s="135">
        <v>0.02</v>
      </c>
      <c r="L217" s="135">
        <v>0.03</v>
      </c>
      <c r="M217" s="135">
        <v>0.1</v>
      </c>
      <c r="N217" s="55"/>
    </row>
    <row r="218" spans="1:14" hidden="1">
      <c r="A218" s="135">
        <v>178</v>
      </c>
      <c r="B218" s="135" t="s">
        <v>986</v>
      </c>
      <c r="C218" s="135" t="s">
        <v>19</v>
      </c>
      <c r="D218" s="142">
        <v>0</v>
      </c>
      <c r="E218" s="142">
        <v>7</v>
      </c>
      <c r="F218" s="142">
        <v>30</v>
      </c>
      <c r="G218" s="142">
        <v>80</v>
      </c>
      <c r="H218" s="135">
        <v>-100</v>
      </c>
      <c r="I218" s="135">
        <v>-62.5</v>
      </c>
      <c r="J218" s="135">
        <v>0</v>
      </c>
      <c r="K218" s="135">
        <v>0.02</v>
      </c>
      <c r="L218" s="135">
        <v>0.03</v>
      </c>
      <c r="M218" s="135">
        <v>0.05</v>
      </c>
      <c r="N218" s="55"/>
    </row>
    <row r="219" spans="1:14" hidden="1">
      <c r="A219" s="135">
        <v>179</v>
      </c>
      <c r="B219" s="135" t="s">
        <v>419</v>
      </c>
      <c r="C219" s="135" t="s">
        <v>19</v>
      </c>
      <c r="D219" s="142">
        <v>2</v>
      </c>
      <c r="E219" s="142">
        <v>1</v>
      </c>
      <c r="F219" s="142">
        <v>30</v>
      </c>
      <c r="G219" s="142">
        <v>53</v>
      </c>
      <c r="H219" s="135">
        <v>100</v>
      </c>
      <c r="I219" s="135">
        <v>-43.4</v>
      </c>
      <c r="J219" s="135">
        <v>0.01</v>
      </c>
      <c r="K219" s="135">
        <v>0.02</v>
      </c>
      <c r="L219" s="135">
        <v>0</v>
      </c>
      <c r="M219" s="135">
        <v>0.03</v>
      </c>
      <c r="N219" s="55"/>
    </row>
    <row r="220" spans="1:14">
      <c r="A220" s="135">
        <v>180</v>
      </c>
      <c r="B220" s="135" t="s">
        <v>429</v>
      </c>
      <c r="C220" s="135" t="s">
        <v>20</v>
      </c>
      <c r="D220" s="142">
        <v>0</v>
      </c>
      <c r="E220" s="142">
        <v>11</v>
      </c>
      <c r="F220" s="142">
        <v>28</v>
      </c>
      <c r="G220" s="142">
        <v>43</v>
      </c>
      <c r="H220" s="135">
        <v>-100</v>
      </c>
      <c r="I220" s="135">
        <v>-34.880000000000003</v>
      </c>
      <c r="J220" s="135">
        <v>0</v>
      </c>
      <c r="K220" s="135">
        <v>0.02</v>
      </c>
      <c r="L220" s="135">
        <v>0.04</v>
      </c>
      <c r="M220" s="135">
        <v>0.03</v>
      </c>
      <c r="N220" s="55"/>
    </row>
    <row r="221" spans="1:14" hidden="1">
      <c r="A221" s="135">
        <v>181</v>
      </c>
      <c r="B221" s="135" t="s">
        <v>497</v>
      </c>
      <c r="C221" s="135" t="s">
        <v>19</v>
      </c>
      <c r="D221" s="142">
        <v>2</v>
      </c>
      <c r="E221" s="142">
        <v>3</v>
      </c>
      <c r="F221" s="142">
        <v>27</v>
      </c>
      <c r="G221" s="142">
        <v>25</v>
      </c>
      <c r="H221" s="135">
        <v>-33.33</v>
      </c>
      <c r="I221" s="135">
        <v>8</v>
      </c>
      <c r="J221" s="135">
        <v>0.01</v>
      </c>
      <c r="K221" s="135">
        <v>0.02</v>
      </c>
      <c r="L221" s="135">
        <v>0.01</v>
      </c>
      <c r="M221" s="135">
        <v>0.02</v>
      </c>
      <c r="N221" s="55"/>
    </row>
    <row r="222" spans="1:14" hidden="1">
      <c r="A222" s="135">
        <v>182</v>
      </c>
      <c r="B222" s="135" t="s">
        <v>1302</v>
      </c>
      <c r="C222" s="135" t="s">
        <v>19</v>
      </c>
      <c r="D222" s="142">
        <v>14</v>
      </c>
      <c r="E222" s="142">
        <v>0</v>
      </c>
      <c r="F222" s="142">
        <v>26</v>
      </c>
      <c r="G222" s="142">
        <v>0</v>
      </c>
      <c r="H222" s="135">
        <v>0</v>
      </c>
      <c r="I222" s="135">
        <v>0</v>
      </c>
      <c r="J222" s="135">
        <v>0.08</v>
      </c>
      <c r="K222" s="135">
        <v>0.02</v>
      </c>
      <c r="L222" s="135">
        <v>0</v>
      </c>
      <c r="M222" s="135">
        <v>0</v>
      </c>
      <c r="N222" s="55"/>
    </row>
    <row r="223" spans="1:14" hidden="1">
      <c r="A223" s="135">
        <v>183</v>
      </c>
      <c r="B223" s="135" t="s">
        <v>697</v>
      </c>
      <c r="C223" s="135" t="s">
        <v>19</v>
      </c>
      <c r="D223" s="142">
        <v>0</v>
      </c>
      <c r="E223" s="142">
        <v>8</v>
      </c>
      <c r="F223" s="142">
        <v>25</v>
      </c>
      <c r="G223" s="142">
        <v>17</v>
      </c>
      <c r="H223" s="135">
        <v>-100</v>
      </c>
      <c r="I223" s="135">
        <v>47.06</v>
      </c>
      <c r="J223" s="135">
        <v>0</v>
      </c>
      <c r="K223" s="135">
        <v>0.01</v>
      </c>
      <c r="L223" s="135">
        <v>0.03</v>
      </c>
      <c r="M223" s="135">
        <v>0.01</v>
      </c>
      <c r="N223" s="55"/>
    </row>
    <row r="224" spans="1:14">
      <c r="A224" s="135">
        <v>184</v>
      </c>
      <c r="B224" s="135" t="s">
        <v>398</v>
      </c>
      <c r="C224" s="135" t="s">
        <v>20</v>
      </c>
      <c r="D224" s="142">
        <v>0</v>
      </c>
      <c r="E224" s="142">
        <v>26</v>
      </c>
      <c r="F224" s="142">
        <v>23</v>
      </c>
      <c r="G224" s="142">
        <v>264</v>
      </c>
      <c r="H224" s="135">
        <v>-100</v>
      </c>
      <c r="I224" s="135">
        <v>-91.29</v>
      </c>
      <c r="J224" s="135">
        <v>0</v>
      </c>
      <c r="K224" s="135">
        <v>0.01</v>
      </c>
      <c r="L224" s="135">
        <v>0.1</v>
      </c>
      <c r="M224" s="135">
        <v>0.16</v>
      </c>
      <c r="N224" s="55"/>
    </row>
    <row r="225" spans="1:14" hidden="1">
      <c r="A225" s="135">
        <v>185</v>
      </c>
      <c r="B225" s="135" t="s">
        <v>1303</v>
      </c>
      <c r="C225" s="135" t="s">
        <v>19</v>
      </c>
      <c r="D225" s="142">
        <v>20</v>
      </c>
      <c r="E225" s="142">
        <v>0</v>
      </c>
      <c r="F225" s="142">
        <v>23</v>
      </c>
      <c r="G225" s="142">
        <v>0</v>
      </c>
      <c r="H225" s="135">
        <v>0</v>
      </c>
      <c r="I225" s="135">
        <v>0</v>
      </c>
      <c r="J225" s="135">
        <v>0.11</v>
      </c>
      <c r="K225" s="135">
        <v>0.01</v>
      </c>
      <c r="L225" s="135">
        <v>0</v>
      </c>
      <c r="M225" s="135">
        <v>0</v>
      </c>
      <c r="N225" s="55"/>
    </row>
    <row r="226" spans="1:14" hidden="1">
      <c r="A226" s="135">
        <v>186</v>
      </c>
      <c r="B226" s="135" t="s">
        <v>171</v>
      </c>
      <c r="C226" s="135" t="s">
        <v>19</v>
      </c>
      <c r="D226" s="142">
        <v>0</v>
      </c>
      <c r="E226" s="142">
        <v>2</v>
      </c>
      <c r="F226" s="142">
        <v>22</v>
      </c>
      <c r="G226" s="142">
        <v>37</v>
      </c>
      <c r="H226" s="135">
        <v>-100</v>
      </c>
      <c r="I226" s="135">
        <v>-40.54</v>
      </c>
      <c r="J226" s="135">
        <v>0</v>
      </c>
      <c r="K226" s="135">
        <v>0.01</v>
      </c>
      <c r="L226" s="135">
        <v>0.01</v>
      </c>
      <c r="M226" s="135">
        <v>0.02</v>
      </c>
      <c r="N226" s="55"/>
    </row>
    <row r="227" spans="1:14">
      <c r="A227" s="135">
        <v>187</v>
      </c>
      <c r="B227" s="135" t="s">
        <v>1314</v>
      </c>
      <c r="C227" s="135" t="s">
        <v>20</v>
      </c>
      <c r="D227" s="142">
        <v>12</v>
      </c>
      <c r="E227" s="142">
        <v>0</v>
      </c>
      <c r="F227" s="142">
        <v>22</v>
      </c>
      <c r="G227" s="142">
        <v>0</v>
      </c>
      <c r="H227" s="135">
        <v>0</v>
      </c>
      <c r="I227" s="135">
        <v>0</v>
      </c>
      <c r="J227" s="135">
        <v>0.06</v>
      </c>
      <c r="K227" s="135">
        <v>0.01</v>
      </c>
      <c r="L227" s="135">
        <v>0</v>
      </c>
      <c r="M227" s="135">
        <v>0</v>
      </c>
      <c r="N227" s="55"/>
    </row>
    <row r="228" spans="1:14">
      <c r="A228" s="135">
        <v>188</v>
      </c>
      <c r="B228" s="135" t="s">
        <v>1250</v>
      </c>
      <c r="C228" s="135" t="s">
        <v>20</v>
      </c>
      <c r="D228" s="142">
        <v>1</v>
      </c>
      <c r="E228" s="142">
        <v>0</v>
      </c>
      <c r="F228" s="142">
        <v>21</v>
      </c>
      <c r="G228" s="142">
        <v>0</v>
      </c>
      <c r="H228" s="135">
        <v>0</v>
      </c>
      <c r="I228" s="135">
        <v>0</v>
      </c>
      <c r="J228" s="135">
        <v>0.01</v>
      </c>
      <c r="K228" s="135">
        <v>0.01</v>
      </c>
      <c r="L228" s="135">
        <v>0</v>
      </c>
      <c r="M228" s="135">
        <v>0</v>
      </c>
      <c r="N228" s="55"/>
    </row>
    <row r="229" spans="1:14">
      <c r="A229" s="135">
        <v>189</v>
      </c>
      <c r="B229" s="135" t="s">
        <v>1219</v>
      </c>
      <c r="C229" s="135" t="s">
        <v>20</v>
      </c>
      <c r="D229" s="142">
        <v>0</v>
      </c>
      <c r="E229" s="142">
        <v>0</v>
      </c>
      <c r="F229" s="142">
        <v>21</v>
      </c>
      <c r="G229" s="142">
        <v>0</v>
      </c>
      <c r="H229" s="135">
        <v>0</v>
      </c>
      <c r="I229" s="135">
        <v>0</v>
      </c>
      <c r="J229" s="135">
        <v>0</v>
      </c>
      <c r="K229" s="135">
        <v>0.01</v>
      </c>
      <c r="L229" s="135">
        <v>0</v>
      </c>
      <c r="M229" s="135">
        <v>0</v>
      </c>
      <c r="N229" s="55"/>
    </row>
    <row r="230" spans="1:14">
      <c r="A230" s="135">
        <v>190</v>
      </c>
      <c r="B230" s="135" t="s">
        <v>386</v>
      </c>
      <c r="C230" s="135" t="s">
        <v>20</v>
      </c>
      <c r="D230" s="142">
        <v>2</v>
      </c>
      <c r="E230" s="142">
        <v>22</v>
      </c>
      <c r="F230" s="142">
        <v>20</v>
      </c>
      <c r="G230" s="142">
        <v>118</v>
      </c>
      <c r="H230" s="135">
        <v>-90.91</v>
      </c>
      <c r="I230" s="135">
        <v>-83.05</v>
      </c>
      <c r="J230" s="135">
        <v>0.01</v>
      </c>
      <c r="K230" s="135">
        <v>0.01</v>
      </c>
      <c r="L230" s="135">
        <v>0.08</v>
      </c>
      <c r="M230" s="135">
        <v>7.0000000000000007E-2</v>
      </c>
      <c r="N230" s="55"/>
    </row>
    <row r="231" spans="1:14">
      <c r="A231" s="135">
        <v>191</v>
      </c>
      <c r="B231" s="135" t="s">
        <v>1225</v>
      </c>
      <c r="C231" s="135" t="s">
        <v>20</v>
      </c>
      <c r="D231" s="142">
        <v>0</v>
      </c>
      <c r="E231" s="142">
        <v>0</v>
      </c>
      <c r="F231" s="142">
        <v>20</v>
      </c>
      <c r="G231" s="142">
        <v>0</v>
      </c>
      <c r="H231" s="135">
        <v>0</v>
      </c>
      <c r="I231" s="135">
        <v>0</v>
      </c>
      <c r="J231" s="135">
        <v>0</v>
      </c>
      <c r="K231" s="135">
        <v>0.01</v>
      </c>
      <c r="L231" s="135">
        <v>0</v>
      </c>
      <c r="M231" s="135">
        <v>0</v>
      </c>
      <c r="N231" s="55"/>
    </row>
    <row r="232" spans="1:14">
      <c r="A232" s="135">
        <v>192</v>
      </c>
      <c r="B232" s="135" t="s">
        <v>1034</v>
      </c>
      <c r="C232" s="135" t="s">
        <v>20</v>
      </c>
      <c r="D232" s="142">
        <v>1</v>
      </c>
      <c r="E232" s="142">
        <v>7</v>
      </c>
      <c r="F232" s="142">
        <v>19</v>
      </c>
      <c r="G232" s="142">
        <v>7</v>
      </c>
      <c r="H232" s="135">
        <v>-85.71</v>
      </c>
      <c r="I232" s="135">
        <v>171.43</v>
      </c>
      <c r="J232" s="135">
        <v>0.01</v>
      </c>
      <c r="K232" s="135">
        <v>0.01</v>
      </c>
      <c r="L232" s="135">
        <v>0.03</v>
      </c>
      <c r="M232" s="135">
        <v>0</v>
      </c>
      <c r="N232" s="55"/>
    </row>
    <row r="233" spans="1:14">
      <c r="A233" s="135">
        <v>193</v>
      </c>
      <c r="B233" s="135" t="s">
        <v>1080</v>
      </c>
      <c r="C233" s="135" t="s">
        <v>20</v>
      </c>
      <c r="D233" s="142">
        <v>0</v>
      </c>
      <c r="E233" s="142">
        <v>0</v>
      </c>
      <c r="F233" s="142">
        <v>19</v>
      </c>
      <c r="G233" s="142">
        <v>0</v>
      </c>
      <c r="H233" s="135">
        <v>0</v>
      </c>
      <c r="I233" s="135">
        <v>0</v>
      </c>
      <c r="J233" s="135">
        <v>0</v>
      </c>
      <c r="K233" s="135">
        <v>0.01</v>
      </c>
      <c r="L233" s="135">
        <v>0</v>
      </c>
      <c r="M233" s="135">
        <v>0</v>
      </c>
      <c r="N233" s="55"/>
    </row>
    <row r="234" spans="1:14">
      <c r="A234" s="135">
        <v>194</v>
      </c>
      <c r="B234" s="135" t="s">
        <v>1267</v>
      </c>
      <c r="C234" s="135" t="s">
        <v>20</v>
      </c>
      <c r="D234" s="142">
        <v>1</v>
      </c>
      <c r="E234" s="142">
        <v>0</v>
      </c>
      <c r="F234" s="142">
        <v>18</v>
      </c>
      <c r="G234" s="142">
        <v>0</v>
      </c>
      <c r="H234" s="135">
        <v>0</v>
      </c>
      <c r="I234" s="135">
        <v>0</v>
      </c>
      <c r="J234" s="135">
        <v>0.01</v>
      </c>
      <c r="K234" s="135">
        <v>0.01</v>
      </c>
      <c r="L234" s="135">
        <v>0</v>
      </c>
      <c r="M234" s="135">
        <v>0</v>
      </c>
      <c r="N234" s="55"/>
    </row>
    <row r="235" spans="1:14">
      <c r="A235" s="135">
        <v>195</v>
      </c>
      <c r="B235" s="135" t="s">
        <v>1095</v>
      </c>
      <c r="C235" s="135" t="s">
        <v>20</v>
      </c>
      <c r="D235" s="142">
        <v>1</v>
      </c>
      <c r="E235" s="142">
        <v>2</v>
      </c>
      <c r="F235" s="142">
        <v>17</v>
      </c>
      <c r="G235" s="142">
        <v>15</v>
      </c>
      <c r="H235" s="135">
        <v>-50</v>
      </c>
      <c r="I235" s="135">
        <v>13.33</v>
      </c>
      <c r="J235" s="135">
        <v>0.01</v>
      </c>
      <c r="K235" s="135">
        <v>0.01</v>
      </c>
      <c r="L235" s="135">
        <v>0.01</v>
      </c>
      <c r="M235" s="135">
        <v>0.01</v>
      </c>
    </row>
    <row r="236" spans="1:14" hidden="1">
      <c r="A236" s="135">
        <v>196</v>
      </c>
      <c r="B236" s="135" t="s">
        <v>1211</v>
      </c>
      <c r="C236" s="135" t="s">
        <v>19</v>
      </c>
      <c r="D236" s="142">
        <v>1</v>
      </c>
      <c r="E236" s="142">
        <v>0</v>
      </c>
      <c r="F236" s="142">
        <v>17</v>
      </c>
      <c r="G236" s="142">
        <v>0</v>
      </c>
      <c r="H236" s="135">
        <v>0</v>
      </c>
      <c r="I236" s="135">
        <v>0</v>
      </c>
      <c r="J236" s="135">
        <v>0.01</v>
      </c>
      <c r="K236" s="135">
        <v>0.01</v>
      </c>
      <c r="L236" s="135">
        <v>0</v>
      </c>
      <c r="M236" s="135">
        <v>0</v>
      </c>
    </row>
    <row r="237" spans="1:14" hidden="1">
      <c r="A237" s="135">
        <v>197</v>
      </c>
      <c r="B237" s="135" t="s">
        <v>232</v>
      </c>
      <c r="C237" s="135" t="s">
        <v>19</v>
      </c>
      <c r="D237" s="142">
        <v>1</v>
      </c>
      <c r="E237" s="142">
        <v>0</v>
      </c>
      <c r="F237" s="142">
        <v>15</v>
      </c>
      <c r="G237" s="142">
        <v>33</v>
      </c>
      <c r="H237" s="135">
        <v>0</v>
      </c>
      <c r="I237" s="135">
        <v>-54.55</v>
      </c>
      <c r="J237" s="135">
        <v>0.01</v>
      </c>
      <c r="K237" s="135">
        <v>0.01</v>
      </c>
      <c r="L237" s="135">
        <v>0</v>
      </c>
      <c r="M237" s="135">
        <v>0.02</v>
      </c>
    </row>
    <row r="238" spans="1:14">
      <c r="A238" s="135">
        <v>198</v>
      </c>
      <c r="B238" s="135" t="s">
        <v>1077</v>
      </c>
      <c r="C238" s="135" t="s">
        <v>20</v>
      </c>
      <c r="D238" s="142">
        <v>0</v>
      </c>
      <c r="E238" s="142">
        <v>1</v>
      </c>
      <c r="F238" s="142">
        <v>15</v>
      </c>
      <c r="G238" s="142">
        <v>19</v>
      </c>
      <c r="H238" s="135">
        <v>-100</v>
      </c>
      <c r="I238" s="135">
        <v>-21.05</v>
      </c>
      <c r="J238" s="135">
        <v>0</v>
      </c>
      <c r="K238" s="135">
        <v>0.01</v>
      </c>
      <c r="L238" s="135">
        <v>0</v>
      </c>
      <c r="M238" s="135">
        <v>0.01</v>
      </c>
    </row>
    <row r="239" spans="1:14" hidden="1">
      <c r="A239" s="135">
        <v>199</v>
      </c>
      <c r="B239" s="135" t="s">
        <v>1155</v>
      </c>
      <c r="C239" s="135" t="s">
        <v>19</v>
      </c>
      <c r="D239" s="142">
        <v>3</v>
      </c>
      <c r="E239" s="142">
        <v>0</v>
      </c>
      <c r="F239" s="142">
        <v>15</v>
      </c>
      <c r="G239" s="142">
        <v>0</v>
      </c>
      <c r="H239" s="135">
        <v>0</v>
      </c>
      <c r="I239" s="135">
        <v>0</v>
      </c>
      <c r="J239" s="135">
        <v>0.02</v>
      </c>
      <c r="K239" s="135">
        <v>0.01</v>
      </c>
      <c r="L239" s="135">
        <v>0</v>
      </c>
      <c r="M239" s="135">
        <v>0</v>
      </c>
    </row>
    <row r="240" spans="1:14" hidden="1">
      <c r="A240" s="135">
        <v>200</v>
      </c>
      <c r="B240" s="135" t="s">
        <v>421</v>
      </c>
      <c r="C240" s="135" t="s">
        <v>19</v>
      </c>
      <c r="D240" s="142">
        <v>2</v>
      </c>
      <c r="E240" s="142">
        <v>2</v>
      </c>
      <c r="F240" s="142">
        <v>14</v>
      </c>
      <c r="G240" s="142">
        <v>34</v>
      </c>
      <c r="H240" s="135">
        <v>0</v>
      </c>
      <c r="I240" s="135">
        <v>-58.82</v>
      </c>
      <c r="J240" s="135">
        <v>0.01</v>
      </c>
      <c r="K240" s="135">
        <v>0.01</v>
      </c>
      <c r="L240" s="135">
        <v>0.01</v>
      </c>
      <c r="M240" s="135">
        <v>0.02</v>
      </c>
    </row>
    <row r="241" spans="1:13" hidden="1">
      <c r="A241" s="135">
        <v>201</v>
      </c>
      <c r="B241" s="135" t="s">
        <v>494</v>
      </c>
      <c r="C241" s="135" t="s">
        <v>19</v>
      </c>
      <c r="D241" s="142">
        <v>3</v>
      </c>
      <c r="E241" s="142">
        <v>1</v>
      </c>
      <c r="F241" s="142">
        <v>13</v>
      </c>
      <c r="G241" s="142">
        <v>42</v>
      </c>
      <c r="H241" s="135">
        <v>200</v>
      </c>
      <c r="I241" s="135">
        <v>-69.05</v>
      </c>
      <c r="J241" s="135">
        <v>0.02</v>
      </c>
      <c r="K241" s="135">
        <v>0.01</v>
      </c>
      <c r="L241" s="135">
        <v>0</v>
      </c>
      <c r="M241" s="135">
        <v>0.03</v>
      </c>
    </row>
    <row r="242" spans="1:13" hidden="1">
      <c r="A242" s="135">
        <v>202</v>
      </c>
      <c r="B242" s="135" t="s">
        <v>389</v>
      </c>
      <c r="C242" s="135" t="s">
        <v>19</v>
      </c>
      <c r="D242" s="142">
        <v>1</v>
      </c>
      <c r="E242" s="142">
        <v>0</v>
      </c>
      <c r="F242" s="142">
        <v>12</v>
      </c>
      <c r="G242" s="142">
        <v>8</v>
      </c>
      <c r="H242" s="135">
        <v>0</v>
      </c>
      <c r="I242" s="135">
        <v>50</v>
      </c>
      <c r="J242" s="135">
        <v>0.01</v>
      </c>
      <c r="K242" s="135">
        <v>0.01</v>
      </c>
      <c r="L242" s="135">
        <v>0</v>
      </c>
      <c r="M242" s="135">
        <v>0</v>
      </c>
    </row>
    <row r="243" spans="1:13" hidden="1">
      <c r="A243" s="135">
        <v>203</v>
      </c>
      <c r="B243" s="135" t="s">
        <v>381</v>
      </c>
      <c r="C243" s="135" t="s">
        <v>19</v>
      </c>
      <c r="D243" s="142">
        <v>10</v>
      </c>
      <c r="E243" s="142">
        <v>0</v>
      </c>
      <c r="F243" s="142">
        <v>10</v>
      </c>
      <c r="G243" s="142">
        <v>10</v>
      </c>
      <c r="H243" s="135">
        <v>0</v>
      </c>
      <c r="I243" s="135">
        <v>0</v>
      </c>
      <c r="J243" s="135">
        <v>0.05</v>
      </c>
      <c r="K243" s="135">
        <v>0.01</v>
      </c>
      <c r="L243" s="135">
        <v>0</v>
      </c>
      <c r="M243" s="135">
        <v>0.01</v>
      </c>
    </row>
    <row r="244" spans="1:13" hidden="1">
      <c r="A244" s="135">
        <v>204</v>
      </c>
      <c r="B244" s="135" t="s">
        <v>359</v>
      </c>
      <c r="C244" s="135" t="s">
        <v>19</v>
      </c>
      <c r="D244" s="142">
        <v>0</v>
      </c>
      <c r="E244" s="142">
        <v>2</v>
      </c>
      <c r="F244" s="142">
        <v>9</v>
      </c>
      <c r="G244" s="142">
        <v>16</v>
      </c>
      <c r="H244" s="135">
        <v>-100</v>
      </c>
      <c r="I244" s="135">
        <v>-43.75</v>
      </c>
      <c r="J244" s="135">
        <v>0</v>
      </c>
      <c r="K244" s="135">
        <v>0.01</v>
      </c>
      <c r="L244" s="135">
        <v>0.01</v>
      </c>
      <c r="M244" s="135">
        <v>0.01</v>
      </c>
    </row>
    <row r="245" spans="1:13" hidden="1">
      <c r="A245" s="135">
        <v>205</v>
      </c>
      <c r="B245" s="135" t="s">
        <v>377</v>
      </c>
      <c r="C245" s="135" t="s">
        <v>19</v>
      </c>
      <c r="D245" s="142">
        <v>0</v>
      </c>
      <c r="E245" s="142">
        <v>8</v>
      </c>
      <c r="F245" s="142">
        <v>6</v>
      </c>
      <c r="G245" s="142">
        <v>93</v>
      </c>
      <c r="H245" s="135">
        <v>-100</v>
      </c>
      <c r="I245" s="135">
        <v>-93.55</v>
      </c>
      <c r="J245" s="135">
        <v>0</v>
      </c>
      <c r="K245" s="135">
        <v>0</v>
      </c>
      <c r="L245" s="135">
        <v>0.03</v>
      </c>
      <c r="M245" s="135">
        <v>0.06</v>
      </c>
    </row>
    <row r="246" spans="1:13" hidden="1">
      <c r="A246" s="135">
        <v>206</v>
      </c>
      <c r="B246" s="135" t="s">
        <v>1091</v>
      </c>
      <c r="C246" s="135" t="s">
        <v>19</v>
      </c>
      <c r="D246" s="142">
        <v>1</v>
      </c>
      <c r="E246" s="142">
        <v>1</v>
      </c>
      <c r="F246" s="142">
        <v>6</v>
      </c>
      <c r="G246" s="142">
        <v>4</v>
      </c>
      <c r="H246" s="135">
        <v>0</v>
      </c>
      <c r="I246" s="135">
        <v>50</v>
      </c>
      <c r="J246" s="135">
        <v>0.01</v>
      </c>
      <c r="K246" s="135">
        <v>0</v>
      </c>
      <c r="L246" s="135">
        <v>0</v>
      </c>
      <c r="M246" s="135">
        <v>0</v>
      </c>
    </row>
    <row r="247" spans="1:13">
      <c r="A247" s="135">
        <v>207</v>
      </c>
      <c r="B247" s="135" t="s">
        <v>1269</v>
      </c>
      <c r="C247" s="135" t="s">
        <v>20</v>
      </c>
      <c r="D247" s="142">
        <v>1</v>
      </c>
      <c r="E247" s="142">
        <v>0</v>
      </c>
      <c r="F247" s="142">
        <v>6</v>
      </c>
      <c r="G247" s="142">
        <v>0</v>
      </c>
      <c r="H247" s="135">
        <v>0</v>
      </c>
      <c r="I247" s="135">
        <v>0</v>
      </c>
      <c r="J247" s="135">
        <v>0.01</v>
      </c>
      <c r="K247" s="135">
        <v>0</v>
      </c>
      <c r="L247" s="135">
        <v>0</v>
      </c>
      <c r="M247" s="135">
        <v>0</v>
      </c>
    </row>
    <row r="248" spans="1:13" hidden="1">
      <c r="A248" s="135">
        <v>208</v>
      </c>
      <c r="B248" s="135" t="s">
        <v>1212</v>
      </c>
      <c r="C248" s="135" t="s">
        <v>19</v>
      </c>
      <c r="D248" s="142">
        <v>4</v>
      </c>
      <c r="E248" s="142">
        <v>0</v>
      </c>
      <c r="F248" s="142">
        <v>5</v>
      </c>
      <c r="G248" s="142">
        <v>0</v>
      </c>
      <c r="H248" s="135">
        <v>0</v>
      </c>
      <c r="I248" s="135">
        <v>0</v>
      </c>
      <c r="J248" s="135">
        <v>0.02</v>
      </c>
      <c r="K248" s="135">
        <v>0</v>
      </c>
      <c r="L248" s="135">
        <v>0</v>
      </c>
      <c r="M248" s="135">
        <v>0</v>
      </c>
    </row>
    <row r="249" spans="1:13">
      <c r="A249" s="135">
        <v>209</v>
      </c>
      <c r="B249" s="135" t="s">
        <v>1248</v>
      </c>
      <c r="C249" s="135" t="s">
        <v>20</v>
      </c>
      <c r="D249" s="142">
        <v>0</v>
      </c>
      <c r="E249" s="142">
        <v>0</v>
      </c>
      <c r="F249" s="142">
        <v>5</v>
      </c>
      <c r="G249" s="142">
        <v>0</v>
      </c>
      <c r="H249" s="135">
        <v>0</v>
      </c>
      <c r="I249" s="135">
        <v>0</v>
      </c>
      <c r="J249" s="135">
        <v>0</v>
      </c>
      <c r="K249" s="135">
        <v>0</v>
      </c>
      <c r="L249" s="135">
        <v>0</v>
      </c>
      <c r="M249" s="135">
        <v>0</v>
      </c>
    </row>
    <row r="250" spans="1:13" hidden="1">
      <c r="A250" s="135">
        <v>210</v>
      </c>
      <c r="B250" s="135" t="s">
        <v>1058</v>
      </c>
      <c r="C250" s="135" t="s">
        <v>19</v>
      </c>
      <c r="D250" s="142">
        <v>1</v>
      </c>
      <c r="E250" s="142">
        <v>0</v>
      </c>
      <c r="F250" s="142">
        <v>5</v>
      </c>
      <c r="G250" s="142">
        <v>0</v>
      </c>
      <c r="H250" s="135">
        <v>0</v>
      </c>
      <c r="I250" s="135">
        <v>0</v>
      </c>
      <c r="J250" s="135">
        <v>0.01</v>
      </c>
      <c r="K250" s="135">
        <v>0</v>
      </c>
      <c r="L250" s="135">
        <v>0</v>
      </c>
      <c r="M250" s="135">
        <v>0</v>
      </c>
    </row>
    <row r="251" spans="1:13" hidden="1">
      <c r="A251" s="135">
        <v>211</v>
      </c>
      <c r="B251" s="135" t="s">
        <v>1092</v>
      </c>
      <c r="C251" s="135" t="s">
        <v>19</v>
      </c>
      <c r="D251" s="142">
        <v>0</v>
      </c>
      <c r="E251" s="142">
        <v>0</v>
      </c>
      <c r="F251" s="142">
        <v>5</v>
      </c>
      <c r="G251" s="142">
        <v>0</v>
      </c>
      <c r="H251" s="135">
        <v>0</v>
      </c>
      <c r="I251" s="135">
        <v>0</v>
      </c>
      <c r="J251" s="135">
        <v>0</v>
      </c>
      <c r="K251" s="135">
        <v>0</v>
      </c>
      <c r="L251" s="135">
        <v>0</v>
      </c>
      <c r="M251" s="135">
        <v>0</v>
      </c>
    </row>
    <row r="252" spans="1:13" hidden="1">
      <c r="A252" s="135">
        <v>212</v>
      </c>
      <c r="B252" s="135" t="s">
        <v>433</v>
      </c>
      <c r="C252" s="135" t="s">
        <v>19</v>
      </c>
      <c r="D252" s="142">
        <v>0</v>
      </c>
      <c r="E252" s="142">
        <v>0</v>
      </c>
      <c r="F252" s="142">
        <v>4</v>
      </c>
      <c r="G252" s="142">
        <v>8</v>
      </c>
      <c r="H252" s="135">
        <v>0</v>
      </c>
      <c r="I252" s="135">
        <v>-50</v>
      </c>
      <c r="J252" s="135">
        <v>0</v>
      </c>
      <c r="K252" s="135">
        <v>0</v>
      </c>
      <c r="L252" s="135">
        <v>0</v>
      </c>
      <c r="M252" s="135">
        <v>0</v>
      </c>
    </row>
    <row r="253" spans="1:13" hidden="1">
      <c r="A253" s="135">
        <v>213</v>
      </c>
      <c r="B253" s="135" t="s">
        <v>1094</v>
      </c>
      <c r="C253" s="135" t="s">
        <v>19</v>
      </c>
      <c r="D253" s="142">
        <v>1</v>
      </c>
      <c r="E253" s="142">
        <v>0</v>
      </c>
      <c r="F253" s="142">
        <v>4</v>
      </c>
      <c r="G253" s="142">
        <v>5</v>
      </c>
      <c r="H253" s="135">
        <v>0</v>
      </c>
      <c r="I253" s="135">
        <v>-20</v>
      </c>
      <c r="J253" s="135">
        <v>0.01</v>
      </c>
      <c r="K253" s="135">
        <v>0</v>
      </c>
      <c r="L253" s="135">
        <v>0</v>
      </c>
      <c r="M253" s="135">
        <v>0</v>
      </c>
    </row>
    <row r="254" spans="1:13">
      <c r="A254" s="135">
        <v>214</v>
      </c>
      <c r="B254" s="135" t="s">
        <v>1251</v>
      </c>
      <c r="C254" s="135" t="s">
        <v>20</v>
      </c>
      <c r="D254" s="142">
        <v>1</v>
      </c>
      <c r="E254" s="142">
        <v>0</v>
      </c>
      <c r="F254" s="142">
        <v>4</v>
      </c>
      <c r="G254" s="142">
        <v>0</v>
      </c>
      <c r="H254" s="135">
        <v>0</v>
      </c>
      <c r="I254" s="135">
        <v>0</v>
      </c>
      <c r="J254" s="135">
        <v>0.01</v>
      </c>
      <c r="K254" s="135">
        <v>0</v>
      </c>
      <c r="L254" s="135">
        <v>0</v>
      </c>
      <c r="M254" s="135">
        <v>0</v>
      </c>
    </row>
    <row r="255" spans="1:13">
      <c r="A255" s="135">
        <v>215</v>
      </c>
      <c r="B255" s="135" t="s">
        <v>1146</v>
      </c>
      <c r="C255" s="135" t="s">
        <v>20</v>
      </c>
      <c r="D255" s="142">
        <v>1</v>
      </c>
      <c r="E255" s="142">
        <v>0</v>
      </c>
      <c r="F255" s="142">
        <v>4</v>
      </c>
      <c r="G255" s="142">
        <v>0</v>
      </c>
      <c r="H255" s="135">
        <v>0</v>
      </c>
      <c r="I255" s="135">
        <v>0</v>
      </c>
      <c r="J255" s="135">
        <v>0.01</v>
      </c>
      <c r="K255" s="135">
        <v>0</v>
      </c>
      <c r="L255" s="135">
        <v>0</v>
      </c>
      <c r="M255" s="135">
        <v>0</v>
      </c>
    </row>
    <row r="256" spans="1:13" hidden="1">
      <c r="A256" s="135">
        <v>216</v>
      </c>
      <c r="B256" s="135" t="s">
        <v>140</v>
      </c>
      <c r="C256" s="135" t="s">
        <v>19</v>
      </c>
      <c r="D256" s="142">
        <v>0</v>
      </c>
      <c r="E256" s="142">
        <v>2</v>
      </c>
      <c r="F256" s="142">
        <v>3</v>
      </c>
      <c r="G256" s="142">
        <v>107</v>
      </c>
      <c r="H256" s="135">
        <v>-100</v>
      </c>
      <c r="I256" s="135">
        <v>-97.2</v>
      </c>
      <c r="J256" s="135">
        <v>0</v>
      </c>
      <c r="K256" s="135">
        <v>0</v>
      </c>
      <c r="L256" s="135">
        <v>0.01</v>
      </c>
      <c r="M256" s="135">
        <v>7.0000000000000007E-2</v>
      </c>
    </row>
    <row r="257" spans="1:13" hidden="1">
      <c r="A257" s="135">
        <v>217</v>
      </c>
      <c r="B257" s="135" t="s">
        <v>551</v>
      </c>
      <c r="C257" s="135" t="s">
        <v>19</v>
      </c>
      <c r="D257" s="142">
        <v>0</v>
      </c>
      <c r="E257" s="142">
        <v>2</v>
      </c>
      <c r="F257" s="142">
        <v>3</v>
      </c>
      <c r="G257" s="142">
        <v>7</v>
      </c>
      <c r="H257" s="135">
        <v>-100</v>
      </c>
      <c r="I257" s="135">
        <v>-57.14</v>
      </c>
      <c r="J257" s="135">
        <v>0</v>
      </c>
      <c r="K257" s="135">
        <v>0</v>
      </c>
      <c r="L257" s="135">
        <v>0.01</v>
      </c>
      <c r="M257" s="135">
        <v>0</v>
      </c>
    </row>
    <row r="258" spans="1:13">
      <c r="A258" s="135">
        <v>218</v>
      </c>
      <c r="B258" s="135" t="s">
        <v>1154</v>
      </c>
      <c r="C258" s="135" t="s">
        <v>20</v>
      </c>
      <c r="D258" s="142">
        <v>0</v>
      </c>
      <c r="E258" s="142">
        <v>2</v>
      </c>
      <c r="F258" s="142">
        <v>3</v>
      </c>
      <c r="G258" s="142">
        <v>3</v>
      </c>
      <c r="H258" s="135">
        <v>-100</v>
      </c>
      <c r="I258" s="135">
        <v>0</v>
      </c>
      <c r="J258" s="135">
        <v>0</v>
      </c>
      <c r="K258" s="135">
        <v>0</v>
      </c>
      <c r="L258" s="135">
        <v>0.01</v>
      </c>
      <c r="M258" s="135">
        <v>0</v>
      </c>
    </row>
    <row r="259" spans="1:13" hidden="1">
      <c r="A259" s="135">
        <v>219</v>
      </c>
      <c r="B259" s="135" t="s">
        <v>1098</v>
      </c>
      <c r="C259" s="135" t="s">
        <v>19</v>
      </c>
      <c r="D259" s="142">
        <v>0</v>
      </c>
      <c r="E259" s="142">
        <v>0</v>
      </c>
      <c r="F259" s="142">
        <v>3</v>
      </c>
      <c r="G259" s="142">
        <v>2</v>
      </c>
      <c r="H259" s="135">
        <v>0</v>
      </c>
      <c r="I259" s="135">
        <v>50</v>
      </c>
      <c r="J259" s="135">
        <v>0</v>
      </c>
      <c r="K259" s="135">
        <v>0</v>
      </c>
      <c r="L259" s="135">
        <v>0</v>
      </c>
      <c r="M259" s="135">
        <v>0</v>
      </c>
    </row>
    <row r="260" spans="1:13" hidden="1">
      <c r="A260" s="135">
        <v>220</v>
      </c>
      <c r="B260" s="135" t="s">
        <v>1184</v>
      </c>
      <c r="C260" s="135" t="s">
        <v>19</v>
      </c>
      <c r="D260" s="142">
        <v>0</v>
      </c>
      <c r="E260" s="142">
        <v>0</v>
      </c>
      <c r="F260" s="142">
        <v>3</v>
      </c>
      <c r="G260" s="142">
        <v>0</v>
      </c>
      <c r="H260" s="135">
        <v>0</v>
      </c>
      <c r="I260" s="135">
        <v>0</v>
      </c>
      <c r="J260" s="135">
        <v>0</v>
      </c>
      <c r="K260" s="135">
        <v>0</v>
      </c>
      <c r="L260" s="135">
        <v>0</v>
      </c>
      <c r="M260" s="135">
        <v>0</v>
      </c>
    </row>
    <row r="261" spans="1:13">
      <c r="A261" s="135">
        <v>221</v>
      </c>
      <c r="B261" s="135" t="s">
        <v>230</v>
      </c>
      <c r="C261" s="135" t="s">
        <v>20</v>
      </c>
      <c r="D261" s="142">
        <v>0</v>
      </c>
      <c r="E261" s="142">
        <v>5</v>
      </c>
      <c r="F261" s="142">
        <v>2</v>
      </c>
      <c r="G261" s="142">
        <v>1872</v>
      </c>
      <c r="H261" s="135">
        <v>-100</v>
      </c>
      <c r="I261" s="135">
        <v>-99.89</v>
      </c>
      <c r="J261" s="135">
        <v>0</v>
      </c>
      <c r="K261" s="135">
        <v>0</v>
      </c>
      <c r="L261" s="135">
        <v>0.02</v>
      </c>
      <c r="M261" s="135">
        <v>1.1599999999999999</v>
      </c>
    </row>
    <row r="262" spans="1:13" hidden="1">
      <c r="A262" s="135">
        <v>222</v>
      </c>
      <c r="B262" s="135" t="s">
        <v>1096</v>
      </c>
      <c r="C262" s="135" t="s">
        <v>19</v>
      </c>
      <c r="D262" s="142">
        <v>0</v>
      </c>
      <c r="E262" s="142">
        <v>0</v>
      </c>
      <c r="F262" s="142">
        <v>2</v>
      </c>
      <c r="G262" s="142">
        <v>66</v>
      </c>
      <c r="H262" s="135">
        <v>0</v>
      </c>
      <c r="I262" s="135">
        <v>-96.97</v>
      </c>
      <c r="J262" s="135">
        <v>0</v>
      </c>
      <c r="K262" s="135">
        <v>0</v>
      </c>
      <c r="L262" s="135">
        <v>0</v>
      </c>
      <c r="M262" s="135">
        <v>0.04</v>
      </c>
    </row>
    <row r="263" spans="1:13" hidden="1">
      <c r="A263" s="135">
        <v>223</v>
      </c>
      <c r="B263" s="135" t="s">
        <v>669</v>
      </c>
      <c r="C263" s="135" t="s">
        <v>19</v>
      </c>
      <c r="D263" s="142">
        <v>0</v>
      </c>
      <c r="E263" s="142">
        <v>1</v>
      </c>
      <c r="F263" s="142">
        <v>2</v>
      </c>
      <c r="G263" s="142">
        <v>17</v>
      </c>
      <c r="H263" s="135">
        <v>-100</v>
      </c>
      <c r="I263" s="135">
        <v>-88.24</v>
      </c>
      <c r="J263" s="135">
        <v>0</v>
      </c>
      <c r="K263" s="135">
        <v>0</v>
      </c>
      <c r="L263" s="135">
        <v>0</v>
      </c>
      <c r="M263" s="135">
        <v>0.01</v>
      </c>
    </row>
    <row r="264" spans="1:13" hidden="1">
      <c r="A264" s="135">
        <v>224</v>
      </c>
      <c r="B264" s="135" t="s">
        <v>486</v>
      </c>
      <c r="C264" s="135" t="s">
        <v>239</v>
      </c>
      <c r="D264" s="142">
        <v>0</v>
      </c>
      <c r="E264" s="142">
        <v>0</v>
      </c>
      <c r="F264" s="142">
        <v>2</v>
      </c>
      <c r="G264" s="142">
        <v>2</v>
      </c>
      <c r="H264" s="135">
        <v>0</v>
      </c>
      <c r="I264" s="135">
        <v>0</v>
      </c>
      <c r="J264" s="135">
        <v>0</v>
      </c>
      <c r="K264" s="135">
        <v>0</v>
      </c>
      <c r="L264" s="135">
        <v>0</v>
      </c>
      <c r="M264" s="135">
        <v>0</v>
      </c>
    </row>
    <row r="265" spans="1:13" hidden="1">
      <c r="A265" s="135">
        <v>225</v>
      </c>
      <c r="B265" s="135" t="s">
        <v>170</v>
      </c>
      <c r="C265" s="135" t="s">
        <v>19</v>
      </c>
      <c r="D265" s="142">
        <v>1</v>
      </c>
      <c r="E265" s="142">
        <v>0</v>
      </c>
      <c r="F265" s="142">
        <v>2</v>
      </c>
      <c r="G265" s="142">
        <v>2</v>
      </c>
      <c r="H265" s="135">
        <v>0</v>
      </c>
      <c r="I265" s="135">
        <v>0</v>
      </c>
      <c r="J265" s="135">
        <v>0.01</v>
      </c>
      <c r="K265" s="135">
        <v>0</v>
      </c>
      <c r="L265" s="135">
        <v>0</v>
      </c>
      <c r="M265" s="135">
        <v>0</v>
      </c>
    </row>
    <row r="266" spans="1:13" hidden="1">
      <c r="A266" s="135">
        <v>226</v>
      </c>
      <c r="B266" s="135" t="s">
        <v>1131</v>
      </c>
      <c r="C266" s="135" t="s">
        <v>19</v>
      </c>
      <c r="D266" s="142">
        <v>0</v>
      </c>
      <c r="E266" s="142">
        <v>0</v>
      </c>
      <c r="F266" s="142">
        <v>2</v>
      </c>
      <c r="G266" s="142">
        <v>0</v>
      </c>
      <c r="H266" s="135">
        <v>0</v>
      </c>
      <c r="I266" s="135">
        <v>0</v>
      </c>
      <c r="J266" s="135">
        <v>0</v>
      </c>
      <c r="K266" s="135">
        <v>0</v>
      </c>
      <c r="L266" s="135">
        <v>0</v>
      </c>
      <c r="M266" s="135">
        <v>0</v>
      </c>
    </row>
    <row r="267" spans="1:13" hidden="1">
      <c r="A267" s="135">
        <v>227</v>
      </c>
      <c r="B267" s="135" t="s">
        <v>420</v>
      </c>
      <c r="C267" s="135" t="s">
        <v>19</v>
      </c>
      <c r="D267" s="142">
        <v>0</v>
      </c>
      <c r="E267" s="142">
        <v>1</v>
      </c>
      <c r="F267" s="142">
        <v>1</v>
      </c>
      <c r="G267" s="142">
        <v>222</v>
      </c>
      <c r="H267" s="135">
        <v>-100</v>
      </c>
      <c r="I267" s="135">
        <v>-99.55</v>
      </c>
      <c r="J267" s="135">
        <v>0</v>
      </c>
      <c r="K267" s="135">
        <v>0</v>
      </c>
      <c r="L267" s="135">
        <v>0</v>
      </c>
      <c r="M267" s="135">
        <v>0.14000000000000001</v>
      </c>
    </row>
    <row r="268" spans="1:13" hidden="1">
      <c r="A268" s="135">
        <v>228</v>
      </c>
      <c r="B268" s="135" t="s">
        <v>1093</v>
      </c>
      <c r="C268" s="135" t="s">
        <v>19</v>
      </c>
      <c r="D268" s="142">
        <v>0</v>
      </c>
      <c r="E268" s="142">
        <v>1</v>
      </c>
      <c r="F268" s="142">
        <v>1</v>
      </c>
      <c r="G268" s="142">
        <v>87</v>
      </c>
      <c r="H268" s="135">
        <v>-100</v>
      </c>
      <c r="I268" s="135">
        <v>-98.85</v>
      </c>
      <c r="J268" s="135">
        <v>0</v>
      </c>
      <c r="K268" s="135">
        <v>0</v>
      </c>
      <c r="L268" s="135">
        <v>0</v>
      </c>
      <c r="M268" s="135">
        <v>0.05</v>
      </c>
    </row>
    <row r="269" spans="1:13">
      <c r="A269" s="135">
        <v>229</v>
      </c>
      <c r="B269" s="135" t="s">
        <v>1220</v>
      </c>
      <c r="C269" s="135" t="s">
        <v>20</v>
      </c>
      <c r="D269" s="142">
        <v>0</v>
      </c>
      <c r="E269" s="142">
        <v>0</v>
      </c>
      <c r="F269" s="142">
        <v>1</v>
      </c>
      <c r="G269" s="142">
        <v>0</v>
      </c>
      <c r="H269" s="135">
        <v>0</v>
      </c>
      <c r="I269" s="135">
        <v>0</v>
      </c>
      <c r="J269" s="135">
        <v>0</v>
      </c>
      <c r="K269" s="135">
        <v>0</v>
      </c>
      <c r="L269" s="135">
        <v>0</v>
      </c>
      <c r="M269" s="135">
        <v>0</v>
      </c>
    </row>
    <row r="270" spans="1:13">
      <c r="A270" s="135">
        <v>230</v>
      </c>
      <c r="B270" s="135" t="s">
        <v>1275</v>
      </c>
      <c r="C270" s="135" t="s">
        <v>20</v>
      </c>
      <c r="D270" s="142">
        <v>0</v>
      </c>
      <c r="E270" s="142">
        <v>0</v>
      </c>
      <c r="F270" s="142">
        <v>1</v>
      </c>
      <c r="G270" s="142">
        <v>0</v>
      </c>
      <c r="H270" s="135">
        <v>0</v>
      </c>
      <c r="I270" s="135">
        <v>0</v>
      </c>
      <c r="J270" s="135">
        <v>0</v>
      </c>
      <c r="K270" s="135">
        <v>0</v>
      </c>
      <c r="L270" s="135">
        <v>0</v>
      </c>
      <c r="M270" s="135">
        <v>0</v>
      </c>
    </row>
    <row r="271" spans="1:13">
      <c r="A271" s="135">
        <v>231</v>
      </c>
      <c r="B271" s="135" t="s">
        <v>558</v>
      </c>
      <c r="C271" s="135" t="s">
        <v>20</v>
      </c>
      <c r="D271" s="142">
        <v>0</v>
      </c>
      <c r="E271" s="142">
        <v>0</v>
      </c>
      <c r="F271" s="142">
        <v>0</v>
      </c>
      <c r="G271" s="142">
        <v>62</v>
      </c>
      <c r="H271" s="135">
        <v>0</v>
      </c>
      <c r="I271" s="135">
        <v>-100</v>
      </c>
      <c r="J271" s="135">
        <v>0</v>
      </c>
      <c r="K271" s="135">
        <v>0</v>
      </c>
      <c r="L271" s="135">
        <v>0</v>
      </c>
      <c r="M271" s="135">
        <v>0.04</v>
      </c>
    </row>
    <row r="272" spans="1:13" hidden="1">
      <c r="A272" s="135">
        <v>232</v>
      </c>
      <c r="B272" s="135" t="s">
        <v>233</v>
      </c>
      <c r="C272" s="135" t="s">
        <v>19</v>
      </c>
      <c r="D272" s="142">
        <v>0</v>
      </c>
      <c r="E272" s="142">
        <v>0</v>
      </c>
      <c r="F272" s="142">
        <v>0</v>
      </c>
      <c r="G272" s="142">
        <v>45</v>
      </c>
      <c r="H272" s="135">
        <v>0</v>
      </c>
      <c r="I272" s="135">
        <v>-100</v>
      </c>
      <c r="J272" s="135">
        <v>0</v>
      </c>
      <c r="K272" s="135">
        <v>0</v>
      </c>
      <c r="L272" s="135">
        <v>0</v>
      </c>
      <c r="M272" s="135">
        <v>0.03</v>
      </c>
    </row>
    <row r="273" spans="1:13" hidden="1">
      <c r="A273" s="135">
        <v>233</v>
      </c>
      <c r="B273" s="135" t="s">
        <v>349</v>
      </c>
      <c r="C273" s="135" t="s">
        <v>19</v>
      </c>
      <c r="D273" s="142">
        <v>0</v>
      </c>
      <c r="E273" s="142">
        <v>0</v>
      </c>
      <c r="F273" s="142">
        <v>0</v>
      </c>
      <c r="G273" s="142">
        <v>11</v>
      </c>
      <c r="H273" s="135">
        <v>0</v>
      </c>
      <c r="I273" s="135">
        <v>-100</v>
      </c>
      <c r="J273" s="135">
        <v>0</v>
      </c>
      <c r="K273" s="135">
        <v>0</v>
      </c>
      <c r="L273" s="135">
        <v>0</v>
      </c>
      <c r="M273" s="135">
        <v>0.01</v>
      </c>
    </row>
    <row r="274" spans="1:13" hidden="1">
      <c r="A274" s="135">
        <v>234</v>
      </c>
      <c r="B274" s="135" t="s">
        <v>204</v>
      </c>
      <c r="C274" s="135" t="s">
        <v>19</v>
      </c>
      <c r="D274" s="142">
        <v>0</v>
      </c>
      <c r="E274" s="142">
        <v>0</v>
      </c>
      <c r="F274" s="142">
        <v>0</v>
      </c>
      <c r="G274" s="142">
        <v>8</v>
      </c>
      <c r="H274" s="135">
        <v>0</v>
      </c>
      <c r="I274" s="135">
        <v>-100</v>
      </c>
      <c r="J274" s="135">
        <v>0</v>
      </c>
      <c r="K274" s="135">
        <v>0</v>
      </c>
      <c r="L274" s="135">
        <v>0</v>
      </c>
      <c r="M274" s="135">
        <v>0</v>
      </c>
    </row>
    <row r="275" spans="1:13" hidden="1">
      <c r="A275" s="135">
        <v>235</v>
      </c>
      <c r="B275" s="135" t="s">
        <v>402</v>
      </c>
      <c r="C275" s="135" t="s">
        <v>1059</v>
      </c>
      <c r="D275" s="142">
        <v>0</v>
      </c>
      <c r="E275" s="142">
        <v>0</v>
      </c>
      <c r="F275" s="142">
        <v>0</v>
      </c>
      <c r="G275" s="142">
        <v>8</v>
      </c>
      <c r="H275" s="135">
        <v>0</v>
      </c>
      <c r="I275" s="135">
        <v>-100</v>
      </c>
      <c r="J275" s="135">
        <v>0</v>
      </c>
      <c r="K275" s="135">
        <v>0</v>
      </c>
      <c r="L275" s="135">
        <v>0</v>
      </c>
      <c r="M275" s="135">
        <v>0</v>
      </c>
    </row>
    <row r="276" spans="1:13">
      <c r="A276" s="135">
        <v>236</v>
      </c>
      <c r="B276" s="135" t="s">
        <v>1148</v>
      </c>
      <c r="C276" s="135" t="s">
        <v>20</v>
      </c>
      <c r="D276" s="142">
        <v>0</v>
      </c>
      <c r="E276" s="142">
        <v>0</v>
      </c>
      <c r="F276" s="142">
        <v>0</v>
      </c>
      <c r="G276" s="142">
        <v>7</v>
      </c>
      <c r="H276" s="135">
        <v>0</v>
      </c>
      <c r="I276" s="135">
        <v>-100</v>
      </c>
      <c r="J276" s="135">
        <v>0</v>
      </c>
      <c r="K276" s="135">
        <v>0</v>
      </c>
      <c r="L276" s="135">
        <v>0</v>
      </c>
      <c r="M276" s="135">
        <v>0</v>
      </c>
    </row>
    <row r="277" spans="1:13" hidden="1">
      <c r="A277" s="135">
        <v>237</v>
      </c>
      <c r="B277" s="135" t="s">
        <v>1156</v>
      </c>
      <c r="C277" s="135" t="s">
        <v>19</v>
      </c>
      <c r="D277" s="142">
        <v>0</v>
      </c>
      <c r="E277" s="142">
        <v>0</v>
      </c>
      <c r="F277" s="142">
        <v>0</v>
      </c>
      <c r="G277" s="142">
        <v>7</v>
      </c>
      <c r="H277" s="135">
        <v>0</v>
      </c>
      <c r="I277" s="135">
        <v>-100</v>
      </c>
      <c r="J277" s="135">
        <v>0</v>
      </c>
      <c r="K277" s="135">
        <v>0</v>
      </c>
      <c r="L277" s="135">
        <v>0</v>
      </c>
      <c r="M277" s="135">
        <v>0</v>
      </c>
    </row>
    <row r="278" spans="1:13" hidden="1">
      <c r="A278" s="135">
        <v>238</v>
      </c>
      <c r="B278" s="135" t="s">
        <v>1132</v>
      </c>
      <c r="C278" s="135" t="s">
        <v>19</v>
      </c>
      <c r="D278" s="142">
        <v>0</v>
      </c>
      <c r="E278" s="142">
        <v>0</v>
      </c>
      <c r="F278" s="142">
        <v>0</v>
      </c>
      <c r="G278" s="142">
        <v>4</v>
      </c>
      <c r="H278" s="135">
        <v>0</v>
      </c>
      <c r="I278" s="135">
        <v>-100</v>
      </c>
      <c r="J278" s="135">
        <v>0</v>
      </c>
      <c r="K278" s="135">
        <v>0</v>
      </c>
      <c r="L278" s="135">
        <v>0</v>
      </c>
      <c r="M278" s="135">
        <v>0</v>
      </c>
    </row>
    <row r="279" spans="1:13" hidden="1">
      <c r="A279" s="135">
        <v>239</v>
      </c>
      <c r="B279" s="135" t="s">
        <v>1097</v>
      </c>
      <c r="C279" s="135" t="s">
        <v>19</v>
      </c>
      <c r="D279" s="142">
        <v>0</v>
      </c>
      <c r="E279" s="142">
        <v>0</v>
      </c>
      <c r="F279" s="142">
        <v>0</v>
      </c>
      <c r="G279" s="142">
        <v>3</v>
      </c>
      <c r="H279" s="135">
        <v>0</v>
      </c>
      <c r="I279" s="135">
        <v>-100</v>
      </c>
      <c r="J279" s="135">
        <v>0</v>
      </c>
      <c r="K279" s="135">
        <v>0</v>
      </c>
      <c r="L279" s="135">
        <v>0</v>
      </c>
      <c r="M279" s="135">
        <v>0</v>
      </c>
    </row>
    <row r="280" spans="1:13" hidden="1">
      <c r="A280" s="135">
        <v>240</v>
      </c>
      <c r="B280" s="135" t="s">
        <v>1213</v>
      </c>
      <c r="C280" s="135" t="s">
        <v>239</v>
      </c>
      <c r="D280" s="142">
        <v>0</v>
      </c>
      <c r="E280" s="142">
        <v>0</v>
      </c>
      <c r="F280" s="142">
        <v>0</v>
      </c>
      <c r="G280" s="142">
        <v>2</v>
      </c>
      <c r="H280" s="135">
        <v>0</v>
      </c>
      <c r="I280" s="135">
        <v>-100</v>
      </c>
      <c r="J280" s="135">
        <v>0</v>
      </c>
      <c r="K280" s="135">
        <v>0</v>
      </c>
      <c r="L280" s="135">
        <v>0</v>
      </c>
      <c r="M280" s="135">
        <v>0</v>
      </c>
    </row>
    <row r="281" spans="1:13">
      <c r="A281" s="135"/>
      <c r="B281" s="135" t="s">
        <v>454</v>
      </c>
      <c r="C281" s="135"/>
      <c r="D281" s="142">
        <f>SUBTOTAL(109,getAggRechargeModels6[antalPerioden])</f>
        <v>11363</v>
      </c>
      <c r="E281" s="142">
        <f>SUBTOTAL(109,getAggRechargeModels6[antalFGPeriod])</f>
        <v>18204</v>
      </c>
      <c r="F281" s="142">
        <f>SUBTOTAL(109,getAggRechargeModels6[antalÅret])</f>
        <v>111704</v>
      </c>
      <c r="G281" s="142">
        <f>SUBTOTAL(109,getAggRechargeModels6[antalFGAr])</f>
        <v>94451</v>
      </c>
      <c r="H281" s="137">
        <f>IF(getAggRechargeModels6[[#Totals],[antalFGPeriod]] &gt;0,(getAggRechargeModels6[[#Totals],[antalPerioden]] - getAggRechargeModels6[[#Totals],[antalFGPeriod]] ) / getAggRechargeModels6[[#Totals],[antalFGPeriod]] *100,0)</f>
        <v>-37.579652823555264</v>
      </c>
      <c r="I281" s="137">
        <f>IF(getAggRechargeModels6[[#Totals],[antalFGAr]] &gt; 0,( getAggRechargeModels6[[#Totals],[antalÅret]] - getAggRechargeModels6[[#Totals],[antalFGAr]] ) / getAggRechargeModels6[[#Totals],[antalFGAr]] * 100,0)</f>
        <v>18.26661443499804</v>
      </c>
      <c r="J281" s="143">
        <f>IF(getAggModelsPB[[#Totals],[antalPerioden]] &gt; 0,getAggRechargeModels6[[#Totals],[antalPerioden]]  / getAggModelsPB[[#Totals],[antalPerioden]] * 100,0)</f>
        <v>38.816014210562273</v>
      </c>
      <c r="K281" s="143">
        <f>IF(getAggModelsPB[[#Totals],[antalÅret]] &gt; 0,getAggRechargeModels6[[#Totals],[antalÅret]]  / getAggModelsPB[[#Totals],[antalÅret]] * 100,0)</f>
        <v>38.563167797283072</v>
      </c>
      <c r="L281" s="143">
        <f>IF(getAggModelsPB[[#Totals],[antalFGPeriod]] &gt; 0,getAggRechargeModels6[[#Totals],[antalFGPeriod]]  / getAggModelsPB[[#Totals],[antalFGPeriod]] * 100,0)</f>
        <v>51.313564099673016</v>
      </c>
      <c r="M281" s="143">
        <f>IF(getAggModelsPB[[#Totals],[antalFGAr]] &gt; 0,getAggRechargeModels6[[#Totals],[antalFGAr]]  / getAggModelsPB[[#Totals],[antalFGAr]] * 100,0)</f>
        <v>32.785582133175048</v>
      </c>
    </row>
    <row r="285" spans="1:13">
      <c r="A285" t="s">
        <v>677</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86"/>
  <sheetViews>
    <sheetView workbookViewId="0">
      <selection activeCell="N29" sqref="N29"/>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615</v>
      </c>
      <c r="P2" s="66"/>
      <c r="Q2" s="66"/>
      <c r="R2" s="66"/>
      <c r="S2" s="66"/>
      <c r="T2" s="66"/>
    </row>
    <row r="3" spans="15:21">
      <c r="O3" s="25" t="s">
        <v>614</v>
      </c>
      <c r="P3" s="25"/>
      <c r="Q3" s="25"/>
      <c r="R3" s="25"/>
      <c r="S3" s="25"/>
      <c r="T3" s="25"/>
      <c r="U3" s="25"/>
    </row>
    <row r="4" spans="15:21">
      <c r="O4" s="6"/>
      <c r="P4" s="6"/>
      <c r="Q4" s="16"/>
      <c r="R4" s="16"/>
      <c r="S4" s="16"/>
      <c r="T4" s="16"/>
      <c r="U4" s="25"/>
    </row>
    <row r="5" spans="15:21" ht="16" thickBot="1">
      <c r="O5" s="19" t="s">
        <v>455</v>
      </c>
      <c r="P5" s="19">
        <v>2021</v>
      </c>
      <c r="Q5" s="19">
        <v>2022</v>
      </c>
      <c r="R5" s="19">
        <v>2023</v>
      </c>
      <c r="S5" s="25"/>
      <c r="T5" s="25"/>
      <c r="U5" s="25"/>
    </row>
    <row r="6" spans="15:21">
      <c r="O6" s="16" t="s">
        <v>2</v>
      </c>
      <c r="P6" s="33">
        <v>5787</v>
      </c>
      <c r="Q6" s="33">
        <v>5363</v>
      </c>
      <c r="R6" s="33">
        <v>3424</v>
      </c>
      <c r="S6" s="25"/>
      <c r="T6" s="25"/>
      <c r="U6" s="25"/>
    </row>
    <row r="7" spans="15:21">
      <c r="O7" s="16" t="s">
        <v>3</v>
      </c>
      <c r="P7" s="34">
        <v>6559</v>
      </c>
      <c r="Q7" s="34">
        <v>5495</v>
      </c>
      <c r="R7" s="34">
        <v>3842</v>
      </c>
      <c r="S7" s="25"/>
      <c r="T7" s="25"/>
      <c r="U7" s="25"/>
    </row>
    <row r="8" spans="15:21">
      <c r="O8" s="16" t="s">
        <v>4</v>
      </c>
      <c r="P8" s="34">
        <v>14934</v>
      </c>
      <c r="Q8" s="34">
        <v>6809</v>
      </c>
      <c r="R8" s="34">
        <v>5540</v>
      </c>
      <c r="S8" s="25"/>
      <c r="T8" s="25"/>
      <c r="U8" s="25"/>
    </row>
    <row r="9" spans="15:21">
      <c r="O9" s="16" t="s">
        <v>5</v>
      </c>
      <c r="P9" s="34">
        <v>4563</v>
      </c>
      <c r="Q9" s="34">
        <v>5146</v>
      </c>
      <c r="R9" s="34">
        <v>4549</v>
      </c>
      <c r="S9" s="25"/>
      <c r="T9" s="25"/>
      <c r="U9" s="25"/>
    </row>
    <row r="10" spans="15:21">
      <c r="O10" s="16" t="s">
        <v>6</v>
      </c>
      <c r="P10" s="34">
        <v>5547</v>
      </c>
      <c r="Q10" s="34">
        <v>6138</v>
      </c>
      <c r="R10" s="34">
        <v>5975</v>
      </c>
      <c r="S10" s="25"/>
      <c r="T10" s="25"/>
      <c r="U10" s="25"/>
    </row>
    <row r="11" spans="15:21">
      <c r="O11" s="16" t="s">
        <v>7</v>
      </c>
      <c r="P11" s="34">
        <v>9142</v>
      </c>
      <c r="Q11" s="34">
        <v>6137</v>
      </c>
      <c r="R11" s="34">
        <v>5798</v>
      </c>
      <c r="S11" s="25"/>
      <c r="T11" s="25"/>
      <c r="U11" s="25"/>
    </row>
    <row r="12" spans="15:21">
      <c r="O12" s="16" t="s">
        <v>8</v>
      </c>
      <c r="P12" s="34">
        <v>3777</v>
      </c>
      <c r="Q12" s="34">
        <v>4239</v>
      </c>
      <c r="R12" s="34">
        <v>3882</v>
      </c>
      <c r="S12" s="25"/>
      <c r="T12" s="25"/>
      <c r="U12" s="25"/>
    </row>
    <row r="13" spans="15:21">
      <c r="O13" s="16" t="s">
        <v>9</v>
      </c>
      <c r="P13" s="34">
        <v>4541</v>
      </c>
      <c r="Q13" s="34">
        <v>3649</v>
      </c>
      <c r="R13" s="34">
        <v>4557</v>
      </c>
      <c r="S13" s="25"/>
      <c r="T13" s="25"/>
      <c r="U13" s="25"/>
    </row>
    <row r="14" spans="15:21">
      <c r="O14" s="16" t="s">
        <v>10</v>
      </c>
      <c r="P14" s="34">
        <v>4754</v>
      </c>
      <c r="Q14" s="34">
        <v>4370</v>
      </c>
      <c r="R14" s="34">
        <v>5337</v>
      </c>
      <c r="S14" s="25"/>
      <c r="T14" s="25"/>
      <c r="U14" s="25"/>
    </row>
    <row r="15" spans="15:21">
      <c r="O15" s="16" t="s">
        <v>11</v>
      </c>
      <c r="P15" s="34">
        <v>5583</v>
      </c>
      <c r="Q15" s="34">
        <v>5359</v>
      </c>
      <c r="R15" s="34">
        <v>5749</v>
      </c>
      <c r="S15" s="25"/>
      <c r="T15" s="25"/>
      <c r="U15" s="25"/>
    </row>
    <row r="16" spans="15:21">
      <c r="O16" s="16" t="s">
        <v>12</v>
      </c>
      <c r="P16" s="34">
        <v>5962</v>
      </c>
      <c r="Q16" s="34">
        <v>5650</v>
      </c>
      <c r="R16" s="34">
        <v>5307</v>
      </c>
      <c r="S16" s="25"/>
      <c r="T16" s="25"/>
      <c r="U16" s="25"/>
    </row>
    <row r="17" spans="15:21" ht="16" thickBot="1">
      <c r="O17" s="26" t="s">
        <v>13</v>
      </c>
      <c r="P17" s="134">
        <v>6692</v>
      </c>
      <c r="Q17" s="134">
        <v>8259</v>
      </c>
      <c r="R17" s="134">
        <v>7059</v>
      </c>
      <c r="S17" s="25"/>
      <c r="T17" s="25"/>
      <c r="U17" s="25"/>
    </row>
    <row r="18" spans="15:21">
      <c r="O18" s="6" t="s">
        <v>534</v>
      </c>
      <c r="P18" s="32">
        <f>SUMIF(R6:R17,"&gt;0",P6:P17)</f>
        <v>77841</v>
      </c>
      <c r="Q18" s="32">
        <f>SUMIF(R6:R17,"&gt;0",Q6:Q17)</f>
        <v>66614</v>
      </c>
      <c r="R18" s="32">
        <f>SUM(R6:R17)</f>
        <v>61019</v>
      </c>
      <c r="S18" s="25"/>
      <c r="T18" s="25"/>
      <c r="U18" s="25"/>
    </row>
    <row r="19" spans="15:21">
      <c r="O19" s="6" t="s">
        <v>533</v>
      </c>
      <c r="P19" s="29">
        <f>SUM(P6:P17)</f>
        <v>77841</v>
      </c>
      <c r="Q19" s="29">
        <f>SUM(Q6:Q17)</f>
        <v>66614</v>
      </c>
      <c r="R19" s="85">
        <v>61019</v>
      </c>
      <c r="S19" s="25"/>
      <c r="T19" s="25"/>
      <c r="U19" s="25"/>
    </row>
    <row r="35" spans="1:15" ht="21" thickBot="1">
      <c r="A35" s="66" t="s">
        <v>661</v>
      </c>
      <c r="B35" s="66"/>
      <c r="C35" s="9"/>
      <c r="E35" s="226" t="s">
        <v>1373</v>
      </c>
    </row>
    <row r="36" spans="1:15" ht="20">
      <c r="A36" s="9"/>
    </row>
    <row r="37" spans="1:15">
      <c r="A37" s="7" t="s">
        <v>451</v>
      </c>
      <c r="B37" s="55"/>
      <c r="C37" s="55"/>
      <c r="D37" s="55"/>
      <c r="E37" s="55"/>
      <c r="F37" s="55"/>
      <c r="G37" s="55"/>
      <c r="H37" s="260" t="s">
        <v>452</v>
      </c>
      <c r="I37" s="260"/>
      <c r="J37" s="260"/>
      <c r="K37" s="260"/>
      <c r="L37" s="260"/>
      <c r="M37" s="260"/>
      <c r="N37" s="55"/>
      <c r="O37" s="55"/>
    </row>
    <row r="38" spans="1:15">
      <c r="A38" s="103"/>
      <c r="B38" s="114"/>
      <c r="C38" s="114"/>
      <c r="D38" s="261" t="s">
        <v>535</v>
      </c>
      <c r="E38" s="262"/>
      <c r="F38" s="263" t="s">
        <v>535</v>
      </c>
      <c r="G38" s="264"/>
      <c r="H38" s="263" t="s">
        <v>536</v>
      </c>
      <c r="I38" s="264"/>
      <c r="J38" s="263" t="s">
        <v>537</v>
      </c>
      <c r="K38" s="264"/>
      <c r="L38" s="263" t="s">
        <v>537</v>
      </c>
      <c r="M38" s="264"/>
      <c r="N38" s="55"/>
      <c r="O38" s="55"/>
    </row>
    <row r="39" spans="1:15">
      <c r="A39" s="103"/>
      <c r="B39" s="115" t="s">
        <v>453</v>
      </c>
      <c r="C39" s="116" t="s">
        <v>539</v>
      </c>
      <c r="D39" s="117" t="str">
        <f>Innehåll!D79</f>
        <v xml:space="preserve"> 2023-12</v>
      </c>
      <c r="E39" s="117" t="str">
        <f>Innehåll!D80</f>
        <v xml:space="preserve"> 2022-12</v>
      </c>
      <c r="F39" s="117" t="str">
        <f>Innehåll!D81</f>
        <v>YTD  2023</v>
      </c>
      <c r="G39" s="117" t="str">
        <f>Innehåll!D82</f>
        <v>YTD  2022</v>
      </c>
      <c r="H39" s="117" t="str">
        <f>D39</f>
        <v xml:space="preserve"> 2023-12</v>
      </c>
      <c r="I39" s="118" t="str">
        <f>F39</f>
        <v>YTD  2023</v>
      </c>
      <c r="J39" s="117" t="str">
        <f>D39</f>
        <v xml:space="preserve"> 2023-12</v>
      </c>
      <c r="K39" s="119" t="str">
        <f>F39</f>
        <v>YTD  2023</v>
      </c>
      <c r="L39" s="120" t="str">
        <f>E39</f>
        <v xml:space="preserve"> 2022-12</v>
      </c>
      <c r="M39" s="120" t="str">
        <f>G39</f>
        <v>YTD  2022</v>
      </c>
      <c r="N39" s="55"/>
      <c r="O39" s="55"/>
    </row>
    <row r="40" spans="1:15" ht="15" hidden="1" customHeight="1">
      <c r="A40" s="55" t="s">
        <v>24</v>
      </c>
      <c r="B40" s="55" t="s">
        <v>225</v>
      </c>
      <c r="C40" s="55" t="s">
        <v>226</v>
      </c>
      <c r="D40" s="55" t="s">
        <v>26</v>
      </c>
      <c r="E40" s="55" t="s">
        <v>27</v>
      </c>
      <c r="F40" s="55" t="s">
        <v>28</v>
      </c>
      <c r="G40" s="55" t="s">
        <v>29</v>
      </c>
      <c r="H40" s="55" t="s">
        <v>30</v>
      </c>
      <c r="I40" s="55" t="s">
        <v>31</v>
      </c>
      <c r="J40" s="55" t="s">
        <v>32</v>
      </c>
      <c r="K40" s="55" t="s">
        <v>33</v>
      </c>
      <c r="L40" s="55" t="s">
        <v>34</v>
      </c>
      <c r="M40" s="55" t="s">
        <v>35</v>
      </c>
      <c r="N40" s="55"/>
      <c r="O40" s="55"/>
    </row>
    <row r="41" spans="1:15" hidden="1">
      <c r="A41" s="55">
        <v>1</v>
      </c>
      <c r="B41" s="55" t="s">
        <v>599</v>
      </c>
      <c r="C41" s="55" t="s">
        <v>20</v>
      </c>
      <c r="D41" s="22">
        <v>1098</v>
      </c>
      <c r="E41" s="22">
        <v>1090</v>
      </c>
      <c r="F41" s="22">
        <v>16412</v>
      </c>
      <c r="G41" s="22">
        <v>6550</v>
      </c>
      <c r="H41" s="55">
        <v>0.73</v>
      </c>
      <c r="I41" s="55">
        <v>150.56</v>
      </c>
      <c r="J41" s="55">
        <v>5.94</v>
      </c>
      <c r="K41" s="55">
        <v>9.48</v>
      </c>
      <c r="L41" s="55">
        <v>4.12</v>
      </c>
      <c r="M41" s="55">
        <v>4.05</v>
      </c>
      <c r="N41" s="55"/>
      <c r="O41" s="55"/>
    </row>
    <row r="42" spans="1:15" hidden="1">
      <c r="A42" s="55">
        <v>2</v>
      </c>
      <c r="B42" s="55" t="s">
        <v>478</v>
      </c>
      <c r="C42" s="55" t="s">
        <v>20</v>
      </c>
      <c r="D42" s="22">
        <v>1371</v>
      </c>
      <c r="E42" s="22">
        <v>1729</v>
      </c>
      <c r="F42" s="22">
        <v>11007</v>
      </c>
      <c r="G42" s="22">
        <v>8882</v>
      </c>
      <c r="H42" s="55">
        <v>-20.71</v>
      </c>
      <c r="I42" s="55">
        <v>23.92</v>
      </c>
      <c r="J42" s="55">
        <v>7.42</v>
      </c>
      <c r="K42" s="55">
        <v>6.36</v>
      </c>
      <c r="L42" s="55">
        <v>6.53</v>
      </c>
      <c r="M42" s="55">
        <v>5.49</v>
      </c>
      <c r="N42" s="55"/>
      <c r="O42" s="55"/>
    </row>
    <row r="43" spans="1:15">
      <c r="A43" s="55">
        <v>3</v>
      </c>
      <c r="B43" s="55" t="s">
        <v>392</v>
      </c>
      <c r="C43" s="55" t="s">
        <v>19</v>
      </c>
      <c r="D43" s="22">
        <v>1663</v>
      </c>
      <c r="E43" s="22">
        <v>1892</v>
      </c>
      <c r="F43" s="22">
        <v>9791</v>
      </c>
      <c r="G43" s="22">
        <v>8138</v>
      </c>
      <c r="H43" s="55">
        <v>-12.1</v>
      </c>
      <c r="I43" s="55">
        <v>20.309999999999999</v>
      </c>
      <c r="J43" s="55">
        <v>9</v>
      </c>
      <c r="K43" s="55">
        <v>5.65</v>
      </c>
      <c r="L43" s="55">
        <v>7.15</v>
      </c>
      <c r="M43" s="55">
        <v>5.03</v>
      </c>
      <c r="N43" s="55"/>
      <c r="O43" s="55"/>
    </row>
    <row r="44" spans="1:15" hidden="1">
      <c r="A44" s="55">
        <v>4</v>
      </c>
      <c r="B44" s="55" t="s">
        <v>422</v>
      </c>
      <c r="C44" s="55" t="s">
        <v>20</v>
      </c>
      <c r="D44" s="22">
        <v>798</v>
      </c>
      <c r="E44" s="22">
        <v>2616</v>
      </c>
      <c r="F44" s="22">
        <v>9142</v>
      </c>
      <c r="G44" s="22">
        <v>8242</v>
      </c>
      <c r="H44" s="55">
        <v>-69.5</v>
      </c>
      <c r="I44" s="55">
        <v>10.92</v>
      </c>
      <c r="J44" s="55">
        <v>4.32</v>
      </c>
      <c r="K44" s="55">
        <v>5.28</v>
      </c>
      <c r="L44" s="55">
        <v>9.89</v>
      </c>
      <c r="M44" s="55">
        <v>5.0999999999999996</v>
      </c>
      <c r="N44" s="55"/>
      <c r="O44" s="55"/>
    </row>
    <row r="45" spans="1:15" hidden="1">
      <c r="A45" s="55">
        <v>5</v>
      </c>
      <c r="B45" s="55" t="s">
        <v>566</v>
      </c>
      <c r="C45" s="55" t="s">
        <v>20</v>
      </c>
      <c r="D45" s="22">
        <v>786</v>
      </c>
      <c r="E45" s="22">
        <v>552</v>
      </c>
      <c r="F45" s="22">
        <v>5597</v>
      </c>
      <c r="G45" s="22">
        <v>4234</v>
      </c>
      <c r="H45" s="55">
        <v>42.39</v>
      </c>
      <c r="I45" s="55">
        <v>32.19</v>
      </c>
      <c r="J45" s="55">
        <v>4.25</v>
      </c>
      <c r="K45" s="55">
        <v>3.23</v>
      </c>
      <c r="L45" s="55">
        <v>2.09</v>
      </c>
      <c r="M45" s="55">
        <v>2.62</v>
      </c>
      <c r="N45" s="55"/>
      <c r="O45" s="55"/>
    </row>
    <row r="46" spans="1:15">
      <c r="A46" s="55">
        <v>6</v>
      </c>
      <c r="B46" s="55" t="s">
        <v>686</v>
      </c>
      <c r="C46" s="55" t="s">
        <v>19</v>
      </c>
      <c r="D46" s="22">
        <v>491</v>
      </c>
      <c r="E46" s="22">
        <v>492</v>
      </c>
      <c r="F46" s="22">
        <v>4537</v>
      </c>
      <c r="G46" s="22">
        <v>3782</v>
      </c>
      <c r="H46" s="55">
        <v>-0.2</v>
      </c>
      <c r="I46" s="55">
        <v>19.96</v>
      </c>
      <c r="J46" s="55">
        <v>2.66</v>
      </c>
      <c r="K46" s="55">
        <v>2.62</v>
      </c>
      <c r="L46" s="55">
        <v>1.86</v>
      </c>
      <c r="M46" s="55">
        <v>2.34</v>
      </c>
      <c r="N46" s="55"/>
      <c r="O46" s="55"/>
    </row>
    <row r="47" spans="1:15" hidden="1">
      <c r="A47" s="55">
        <v>7</v>
      </c>
      <c r="B47" s="55" t="s">
        <v>591</v>
      </c>
      <c r="C47" s="55" t="s">
        <v>20</v>
      </c>
      <c r="D47" s="22">
        <v>655</v>
      </c>
      <c r="E47" s="22">
        <v>291</v>
      </c>
      <c r="F47" s="22">
        <v>4411</v>
      </c>
      <c r="G47" s="22">
        <v>2170</v>
      </c>
      <c r="H47" s="55">
        <v>125.09</v>
      </c>
      <c r="I47" s="55">
        <v>103.27</v>
      </c>
      <c r="J47" s="55">
        <v>3.55</v>
      </c>
      <c r="K47" s="55">
        <v>2.5499999999999998</v>
      </c>
      <c r="L47" s="55">
        <v>1.1000000000000001</v>
      </c>
      <c r="M47" s="55">
        <v>1.34</v>
      </c>
      <c r="N47" s="55"/>
      <c r="O47" s="55"/>
    </row>
    <row r="48" spans="1:15" hidden="1">
      <c r="A48" s="55">
        <v>8</v>
      </c>
      <c r="B48" s="55" t="s">
        <v>627</v>
      </c>
      <c r="C48" s="55" t="s">
        <v>20</v>
      </c>
      <c r="D48" s="22">
        <v>256</v>
      </c>
      <c r="E48" s="22">
        <v>631</v>
      </c>
      <c r="F48" s="22">
        <v>4345</v>
      </c>
      <c r="G48" s="22">
        <v>3970</v>
      </c>
      <c r="H48" s="55">
        <v>-59.43</v>
      </c>
      <c r="I48" s="55">
        <v>9.4499999999999993</v>
      </c>
      <c r="J48" s="55">
        <v>1.39</v>
      </c>
      <c r="K48" s="55">
        <v>2.5099999999999998</v>
      </c>
      <c r="L48" s="55">
        <v>2.38</v>
      </c>
      <c r="M48" s="55">
        <v>2.46</v>
      </c>
      <c r="N48" s="55"/>
      <c r="O48" s="55"/>
    </row>
    <row r="49" spans="1:15" hidden="1">
      <c r="A49" s="55">
        <v>9</v>
      </c>
      <c r="B49" s="55" t="s">
        <v>229</v>
      </c>
      <c r="C49" s="55" t="s">
        <v>20</v>
      </c>
      <c r="D49" s="22">
        <v>249</v>
      </c>
      <c r="E49" s="22">
        <v>583</v>
      </c>
      <c r="F49" s="22">
        <v>3980</v>
      </c>
      <c r="G49" s="22">
        <v>6542</v>
      </c>
      <c r="H49" s="55">
        <v>-57.29</v>
      </c>
      <c r="I49" s="55">
        <v>-39.159999999999997</v>
      </c>
      <c r="J49" s="55">
        <v>1.35</v>
      </c>
      <c r="K49" s="55">
        <v>2.2999999999999998</v>
      </c>
      <c r="L49" s="55">
        <v>2.2000000000000002</v>
      </c>
      <c r="M49" s="55">
        <v>4.05</v>
      </c>
      <c r="N49" s="55"/>
      <c r="O49" s="55"/>
    </row>
    <row r="50" spans="1:15">
      <c r="A50" s="55">
        <v>10</v>
      </c>
      <c r="B50" s="55" t="s">
        <v>372</v>
      </c>
      <c r="C50" s="55" t="s">
        <v>19</v>
      </c>
      <c r="D50" s="22">
        <v>399</v>
      </c>
      <c r="E50" s="22">
        <v>203</v>
      </c>
      <c r="F50" s="22">
        <v>3889</v>
      </c>
      <c r="G50" s="22">
        <v>5214</v>
      </c>
      <c r="H50" s="55">
        <v>96.55</v>
      </c>
      <c r="I50" s="55">
        <v>-25.41</v>
      </c>
      <c r="J50" s="55">
        <v>2.16</v>
      </c>
      <c r="K50" s="55">
        <v>2.25</v>
      </c>
      <c r="L50" s="55">
        <v>0.77</v>
      </c>
      <c r="M50" s="55">
        <v>3.23</v>
      </c>
      <c r="N50" s="55"/>
      <c r="O50" s="55"/>
    </row>
    <row r="51" spans="1:15" hidden="1">
      <c r="A51" s="55">
        <v>11</v>
      </c>
      <c r="B51" s="55" t="s">
        <v>403</v>
      </c>
      <c r="C51" s="55" t="s">
        <v>20</v>
      </c>
      <c r="D51" s="22">
        <v>358</v>
      </c>
      <c r="E51" s="22">
        <v>604</v>
      </c>
      <c r="F51" s="22">
        <v>3638</v>
      </c>
      <c r="G51" s="22">
        <v>4465</v>
      </c>
      <c r="H51" s="55">
        <v>-40.729999999999997</v>
      </c>
      <c r="I51" s="55">
        <v>-18.52</v>
      </c>
      <c r="J51" s="55">
        <v>1.94</v>
      </c>
      <c r="K51" s="55">
        <v>2.1</v>
      </c>
      <c r="L51" s="55">
        <v>2.2799999999999998</v>
      </c>
      <c r="M51" s="55">
        <v>2.76</v>
      </c>
      <c r="N51" s="55"/>
      <c r="O51" s="55"/>
    </row>
    <row r="52" spans="1:15" hidden="1">
      <c r="A52" s="55">
        <v>12</v>
      </c>
      <c r="B52" s="55" t="s">
        <v>635</v>
      </c>
      <c r="C52" s="55" t="s">
        <v>20</v>
      </c>
      <c r="D52" s="22">
        <v>436</v>
      </c>
      <c r="E52" s="22">
        <v>1349</v>
      </c>
      <c r="F52" s="22">
        <v>3324</v>
      </c>
      <c r="G52" s="22">
        <v>3339</v>
      </c>
      <c r="H52" s="55">
        <v>-67.680000000000007</v>
      </c>
      <c r="I52" s="55">
        <v>-0.45</v>
      </c>
      <c r="J52" s="55">
        <v>2.36</v>
      </c>
      <c r="K52" s="55">
        <v>1.92</v>
      </c>
      <c r="L52" s="55">
        <v>5.0999999999999996</v>
      </c>
      <c r="M52" s="55">
        <v>2.0699999999999998</v>
      </c>
      <c r="N52" s="55"/>
      <c r="O52" s="55"/>
    </row>
    <row r="53" spans="1:15" hidden="1">
      <c r="A53" s="55">
        <v>13</v>
      </c>
      <c r="B53" s="55" t="s">
        <v>1018</v>
      </c>
      <c r="C53" s="55" t="s">
        <v>20</v>
      </c>
      <c r="D53" s="22">
        <v>211</v>
      </c>
      <c r="E53" s="22">
        <v>980</v>
      </c>
      <c r="F53" s="22">
        <v>3213</v>
      </c>
      <c r="G53" s="22">
        <v>1063</v>
      </c>
      <c r="H53" s="55">
        <v>-78.47</v>
      </c>
      <c r="I53" s="55">
        <v>202.26</v>
      </c>
      <c r="J53" s="55">
        <v>1.1399999999999999</v>
      </c>
      <c r="K53" s="55">
        <v>1.86</v>
      </c>
      <c r="L53" s="55">
        <v>3.7</v>
      </c>
      <c r="M53" s="55">
        <v>0.66</v>
      </c>
      <c r="N53" s="55"/>
      <c r="O53" s="55"/>
    </row>
    <row r="54" spans="1:15" hidden="1">
      <c r="A54" s="55">
        <v>14</v>
      </c>
      <c r="B54" s="55" t="s">
        <v>55</v>
      </c>
      <c r="C54" s="55" t="s">
        <v>20</v>
      </c>
      <c r="D54" s="22">
        <v>630</v>
      </c>
      <c r="E54" s="22">
        <v>157</v>
      </c>
      <c r="F54" s="22">
        <v>3011</v>
      </c>
      <c r="G54" s="22">
        <v>2238</v>
      </c>
      <c r="H54" s="55">
        <v>301.27</v>
      </c>
      <c r="I54" s="55">
        <v>34.54</v>
      </c>
      <c r="J54" s="55">
        <v>3.41</v>
      </c>
      <c r="K54" s="55">
        <v>1.74</v>
      </c>
      <c r="L54" s="55">
        <v>0.59</v>
      </c>
      <c r="M54" s="55">
        <v>1.38</v>
      </c>
      <c r="N54" s="55"/>
      <c r="O54" s="55"/>
    </row>
    <row r="55" spans="1:15" hidden="1">
      <c r="A55" s="55">
        <v>15</v>
      </c>
      <c r="B55" s="55" t="s">
        <v>416</v>
      </c>
      <c r="C55" s="55" t="s">
        <v>20</v>
      </c>
      <c r="D55" s="22">
        <v>330</v>
      </c>
      <c r="E55" s="22">
        <v>399</v>
      </c>
      <c r="F55" s="22">
        <v>2692</v>
      </c>
      <c r="G55" s="22">
        <v>1987</v>
      </c>
      <c r="H55" s="55">
        <v>-17.29</v>
      </c>
      <c r="I55" s="55">
        <v>35.479999999999997</v>
      </c>
      <c r="J55" s="55">
        <v>1.79</v>
      </c>
      <c r="K55" s="55">
        <v>1.55</v>
      </c>
      <c r="L55" s="55">
        <v>1.51</v>
      </c>
      <c r="M55" s="55">
        <v>1.23</v>
      </c>
      <c r="N55" s="55"/>
      <c r="O55" s="55"/>
    </row>
    <row r="56" spans="1:15">
      <c r="A56" s="55">
        <v>16</v>
      </c>
      <c r="B56" s="55" t="s">
        <v>393</v>
      </c>
      <c r="C56" s="55" t="s">
        <v>19</v>
      </c>
      <c r="D56" s="22">
        <v>273</v>
      </c>
      <c r="E56" s="22">
        <v>180</v>
      </c>
      <c r="F56" s="22">
        <v>2659</v>
      </c>
      <c r="G56" s="22">
        <v>1979</v>
      </c>
      <c r="H56" s="55">
        <v>51.67</v>
      </c>
      <c r="I56" s="55">
        <v>34.36</v>
      </c>
      <c r="J56" s="55">
        <v>1.48</v>
      </c>
      <c r="K56" s="55">
        <v>1.54</v>
      </c>
      <c r="L56" s="55">
        <v>0.68</v>
      </c>
      <c r="M56" s="55">
        <v>1.22</v>
      </c>
      <c r="N56" s="55"/>
      <c r="O56" s="55"/>
    </row>
    <row r="57" spans="1:15" hidden="1">
      <c r="A57" s="55">
        <v>17</v>
      </c>
      <c r="B57" s="55" t="s">
        <v>1002</v>
      </c>
      <c r="C57" s="55" t="s">
        <v>20</v>
      </c>
      <c r="D57" s="22">
        <v>106</v>
      </c>
      <c r="E57" s="22">
        <v>198</v>
      </c>
      <c r="F57" s="22">
        <v>2536</v>
      </c>
      <c r="G57" s="22">
        <v>313</v>
      </c>
      <c r="H57" s="55">
        <v>-46.46</v>
      </c>
      <c r="I57" s="55">
        <v>710.22</v>
      </c>
      <c r="J57" s="55">
        <v>0.56999999999999995</v>
      </c>
      <c r="K57" s="55">
        <v>1.46</v>
      </c>
      <c r="L57" s="55">
        <v>0.75</v>
      </c>
      <c r="M57" s="55">
        <v>0.19</v>
      </c>
      <c r="N57" s="55"/>
      <c r="O57" s="55"/>
    </row>
    <row r="58" spans="1:15">
      <c r="A58" s="55">
        <v>18</v>
      </c>
      <c r="B58" s="55" t="s">
        <v>408</v>
      </c>
      <c r="C58" s="55" t="s">
        <v>19</v>
      </c>
      <c r="D58" s="22">
        <v>340</v>
      </c>
      <c r="E58" s="22">
        <v>1346</v>
      </c>
      <c r="F58" s="22">
        <v>2403</v>
      </c>
      <c r="G58" s="22">
        <v>4633</v>
      </c>
      <c r="H58" s="55">
        <v>-74.739999999999995</v>
      </c>
      <c r="I58" s="55">
        <v>-48.13</v>
      </c>
      <c r="J58" s="55">
        <v>1.84</v>
      </c>
      <c r="K58" s="55">
        <v>1.39</v>
      </c>
      <c r="L58" s="55">
        <v>5.09</v>
      </c>
      <c r="M58" s="55">
        <v>2.87</v>
      </c>
      <c r="N58" s="55"/>
      <c r="O58" s="55"/>
    </row>
    <row r="59" spans="1:15" hidden="1">
      <c r="A59" s="55">
        <v>19</v>
      </c>
      <c r="B59" s="55" t="s">
        <v>94</v>
      </c>
      <c r="C59" s="55" t="s">
        <v>20</v>
      </c>
      <c r="D59" s="22">
        <v>320</v>
      </c>
      <c r="E59" s="22">
        <v>535</v>
      </c>
      <c r="F59" s="22">
        <v>2269</v>
      </c>
      <c r="G59" s="22">
        <v>3851</v>
      </c>
      <c r="H59" s="55">
        <v>-40.19</v>
      </c>
      <c r="I59" s="55">
        <v>-41.08</v>
      </c>
      <c r="J59" s="55">
        <v>1.73</v>
      </c>
      <c r="K59" s="55">
        <v>1.31</v>
      </c>
      <c r="L59" s="55">
        <v>2.02</v>
      </c>
      <c r="M59" s="55">
        <v>2.38</v>
      </c>
      <c r="N59" s="55"/>
      <c r="O59" s="55"/>
    </row>
    <row r="60" spans="1:15" hidden="1">
      <c r="A60" s="55">
        <v>20</v>
      </c>
      <c r="B60" s="55" t="s">
        <v>687</v>
      </c>
      <c r="C60" s="55" t="s">
        <v>20</v>
      </c>
      <c r="D60" s="22">
        <v>166</v>
      </c>
      <c r="E60" s="22">
        <v>76</v>
      </c>
      <c r="F60" s="22">
        <v>2203</v>
      </c>
      <c r="G60" s="22">
        <v>679</v>
      </c>
      <c r="H60" s="55">
        <v>118.42</v>
      </c>
      <c r="I60" s="55">
        <v>224.45</v>
      </c>
      <c r="J60" s="55">
        <v>0.9</v>
      </c>
      <c r="K60" s="55">
        <v>1.27</v>
      </c>
      <c r="L60" s="55">
        <v>0.28999999999999998</v>
      </c>
      <c r="M60" s="55">
        <v>0.42</v>
      </c>
      <c r="N60" s="55"/>
      <c r="O60" s="55"/>
    </row>
    <row r="61" spans="1:15">
      <c r="A61" s="55">
        <v>21</v>
      </c>
      <c r="B61" s="55" t="s">
        <v>423</v>
      </c>
      <c r="C61" s="55" t="s">
        <v>19</v>
      </c>
      <c r="D61" s="22">
        <v>225</v>
      </c>
      <c r="E61" s="22">
        <v>22</v>
      </c>
      <c r="F61" s="22">
        <v>2182</v>
      </c>
      <c r="G61" s="22">
        <v>1415</v>
      </c>
      <c r="H61" s="55">
        <v>922.73</v>
      </c>
      <c r="I61" s="55">
        <v>54.2</v>
      </c>
      <c r="J61" s="55">
        <v>1.22</v>
      </c>
      <c r="K61" s="55">
        <v>1.26</v>
      </c>
      <c r="L61" s="55">
        <v>0.08</v>
      </c>
      <c r="M61" s="55">
        <v>0.88</v>
      </c>
      <c r="N61" s="55"/>
      <c r="O61" s="55"/>
    </row>
    <row r="62" spans="1:15">
      <c r="A62" s="55">
        <v>22</v>
      </c>
      <c r="B62" s="55" t="s">
        <v>231</v>
      </c>
      <c r="C62" s="55" t="s">
        <v>19</v>
      </c>
      <c r="D62" s="22">
        <v>334</v>
      </c>
      <c r="E62" s="22">
        <v>284</v>
      </c>
      <c r="F62" s="22">
        <v>2116</v>
      </c>
      <c r="G62" s="22">
        <v>1435</v>
      </c>
      <c r="H62" s="55">
        <v>17.61</v>
      </c>
      <c r="I62" s="55">
        <v>47.46</v>
      </c>
      <c r="J62" s="55">
        <v>1.81</v>
      </c>
      <c r="K62" s="55">
        <v>1.22</v>
      </c>
      <c r="L62" s="55">
        <v>1.07</v>
      </c>
      <c r="M62" s="55">
        <v>0.89</v>
      </c>
      <c r="N62" s="55"/>
      <c r="O62" s="55"/>
    </row>
    <row r="63" spans="1:15" hidden="1">
      <c r="A63" s="55">
        <v>23</v>
      </c>
      <c r="B63" s="55" t="s">
        <v>136</v>
      </c>
      <c r="C63" s="55" t="s">
        <v>20</v>
      </c>
      <c r="D63" s="22">
        <v>268</v>
      </c>
      <c r="E63" s="22">
        <v>60</v>
      </c>
      <c r="F63" s="22">
        <v>2047</v>
      </c>
      <c r="G63" s="22">
        <v>1442</v>
      </c>
      <c r="H63" s="55">
        <v>346.67</v>
      </c>
      <c r="I63" s="55">
        <v>41.96</v>
      </c>
      <c r="J63" s="55">
        <v>1.45</v>
      </c>
      <c r="K63" s="55">
        <v>1.18</v>
      </c>
      <c r="L63" s="55">
        <v>0.23</v>
      </c>
      <c r="M63" s="55">
        <v>0.89</v>
      </c>
      <c r="N63" s="55"/>
      <c r="O63" s="55"/>
    </row>
    <row r="64" spans="1:15">
      <c r="A64" s="55">
        <v>24</v>
      </c>
      <c r="B64" s="55" t="s">
        <v>376</v>
      </c>
      <c r="C64" s="55" t="s">
        <v>19</v>
      </c>
      <c r="D64" s="22">
        <v>411</v>
      </c>
      <c r="E64" s="22">
        <v>600</v>
      </c>
      <c r="F64" s="22">
        <v>1933</v>
      </c>
      <c r="G64" s="22">
        <v>3845</v>
      </c>
      <c r="H64" s="55">
        <v>-31.5</v>
      </c>
      <c r="I64" s="55">
        <v>-49.73</v>
      </c>
      <c r="J64" s="55">
        <v>2.2200000000000002</v>
      </c>
      <c r="K64" s="55">
        <v>1.1200000000000001</v>
      </c>
      <c r="L64" s="55">
        <v>2.27</v>
      </c>
      <c r="M64" s="55">
        <v>2.38</v>
      </c>
      <c r="N64" s="55"/>
      <c r="O64" s="55"/>
    </row>
    <row r="65" spans="1:15" hidden="1">
      <c r="A65" s="55">
        <v>25</v>
      </c>
      <c r="B65" s="55" t="s">
        <v>691</v>
      </c>
      <c r="C65" s="55" t="s">
        <v>20</v>
      </c>
      <c r="D65" s="22">
        <v>50</v>
      </c>
      <c r="E65" s="22">
        <v>403</v>
      </c>
      <c r="F65" s="22">
        <v>1783</v>
      </c>
      <c r="G65" s="22">
        <v>1523</v>
      </c>
      <c r="H65" s="55">
        <v>-87.59</v>
      </c>
      <c r="I65" s="55">
        <v>17.07</v>
      </c>
      <c r="J65" s="55">
        <v>0.27</v>
      </c>
      <c r="K65" s="55">
        <v>1.03</v>
      </c>
      <c r="L65" s="55">
        <v>1.52</v>
      </c>
      <c r="M65" s="55">
        <v>0.94</v>
      </c>
      <c r="N65" s="55"/>
      <c r="O65" s="55"/>
    </row>
    <row r="66" spans="1:15" hidden="1">
      <c r="A66" s="55">
        <v>26</v>
      </c>
      <c r="B66" s="55" t="s">
        <v>693</v>
      </c>
      <c r="C66" s="55" t="s">
        <v>20</v>
      </c>
      <c r="D66" s="22">
        <v>211</v>
      </c>
      <c r="E66" s="22">
        <v>447</v>
      </c>
      <c r="F66" s="22">
        <v>1733</v>
      </c>
      <c r="G66" s="22">
        <v>1667</v>
      </c>
      <c r="H66" s="55">
        <v>-52.8</v>
      </c>
      <c r="I66" s="55">
        <v>3.96</v>
      </c>
      <c r="J66" s="55">
        <v>1.1399999999999999</v>
      </c>
      <c r="K66" s="55">
        <v>1</v>
      </c>
      <c r="L66" s="55">
        <v>1.69</v>
      </c>
      <c r="M66" s="55">
        <v>1.03</v>
      </c>
      <c r="N66" s="55"/>
      <c r="O66" s="55"/>
    </row>
    <row r="67" spans="1:15" hidden="1">
      <c r="A67" s="55">
        <v>27</v>
      </c>
      <c r="B67" s="55" t="s">
        <v>644</v>
      </c>
      <c r="C67" s="55" t="s">
        <v>20</v>
      </c>
      <c r="D67" s="22">
        <v>203</v>
      </c>
      <c r="E67" s="22">
        <v>96</v>
      </c>
      <c r="F67" s="22">
        <v>1716</v>
      </c>
      <c r="G67" s="22">
        <v>645</v>
      </c>
      <c r="H67" s="55">
        <v>111.46</v>
      </c>
      <c r="I67" s="55">
        <v>166.05</v>
      </c>
      <c r="J67" s="55">
        <v>1.1000000000000001</v>
      </c>
      <c r="K67" s="55">
        <v>0.99</v>
      </c>
      <c r="L67" s="55">
        <v>0.36</v>
      </c>
      <c r="M67" s="55">
        <v>0.4</v>
      </c>
      <c r="N67" s="55"/>
      <c r="O67" s="55"/>
    </row>
    <row r="68" spans="1:15">
      <c r="A68" s="55">
        <v>28</v>
      </c>
      <c r="B68" s="55" t="s">
        <v>227</v>
      </c>
      <c r="C68" s="55" t="s">
        <v>19</v>
      </c>
      <c r="D68" s="22">
        <v>111</v>
      </c>
      <c r="E68" s="22">
        <v>140</v>
      </c>
      <c r="F68" s="22">
        <v>1638</v>
      </c>
      <c r="G68" s="22">
        <v>1739</v>
      </c>
      <c r="H68" s="55">
        <v>-20.71</v>
      </c>
      <c r="I68" s="55">
        <v>-5.81</v>
      </c>
      <c r="J68" s="55">
        <v>0.6</v>
      </c>
      <c r="K68" s="55">
        <v>0.95</v>
      </c>
      <c r="L68" s="55">
        <v>0.53</v>
      </c>
      <c r="M68" s="55">
        <v>1.08</v>
      </c>
      <c r="N68" s="55"/>
      <c r="O68" s="55"/>
    </row>
    <row r="69" spans="1:15" hidden="1">
      <c r="A69" s="55">
        <v>29</v>
      </c>
      <c r="B69" s="55" t="s">
        <v>1021</v>
      </c>
      <c r="C69" s="55" t="s">
        <v>20</v>
      </c>
      <c r="D69" s="22">
        <v>211</v>
      </c>
      <c r="E69" s="22">
        <v>127</v>
      </c>
      <c r="F69" s="22">
        <v>1587</v>
      </c>
      <c r="G69" s="22">
        <v>138</v>
      </c>
      <c r="H69" s="55">
        <v>66.14</v>
      </c>
      <c r="I69" s="55">
        <v>1050</v>
      </c>
      <c r="J69" s="55">
        <v>1.1399999999999999</v>
      </c>
      <c r="K69" s="55">
        <v>0.92</v>
      </c>
      <c r="L69" s="55">
        <v>0.48</v>
      </c>
      <c r="M69" s="55">
        <v>0.09</v>
      </c>
      <c r="N69" s="55"/>
      <c r="O69" s="55"/>
    </row>
    <row r="70" spans="1:15">
      <c r="A70" s="55">
        <v>30</v>
      </c>
      <c r="B70" s="55" t="s">
        <v>642</v>
      </c>
      <c r="C70" s="55" t="s">
        <v>19</v>
      </c>
      <c r="D70" s="22">
        <v>135</v>
      </c>
      <c r="E70" s="22">
        <v>108</v>
      </c>
      <c r="F70" s="22">
        <v>1584</v>
      </c>
      <c r="G70" s="22">
        <v>1105</v>
      </c>
      <c r="H70" s="55">
        <v>25</v>
      </c>
      <c r="I70" s="55">
        <v>43.35</v>
      </c>
      <c r="J70" s="55">
        <v>0.73</v>
      </c>
      <c r="K70" s="55">
        <v>0.91</v>
      </c>
      <c r="L70" s="55">
        <v>0.41</v>
      </c>
      <c r="M70" s="55">
        <v>0.68</v>
      </c>
      <c r="N70" s="55"/>
      <c r="O70" s="55"/>
    </row>
    <row r="71" spans="1:15">
      <c r="A71" s="55">
        <v>31</v>
      </c>
      <c r="B71" s="55" t="s">
        <v>571</v>
      </c>
      <c r="C71" s="55" t="s">
        <v>19</v>
      </c>
      <c r="D71" s="22">
        <v>39</v>
      </c>
      <c r="E71" s="22">
        <v>171</v>
      </c>
      <c r="F71" s="22">
        <v>1462</v>
      </c>
      <c r="G71" s="22">
        <v>1983</v>
      </c>
      <c r="H71" s="55">
        <v>-77.19</v>
      </c>
      <c r="I71" s="55">
        <v>-26.27</v>
      </c>
      <c r="J71" s="55">
        <v>0.21</v>
      </c>
      <c r="K71" s="55">
        <v>0.84</v>
      </c>
      <c r="L71" s="55">
        <v>0.65</v>
      </c>
      <c r="M71" s="55">
        <v>1.23</v>
      </c>
      <c r="N71" s="55"/>
      <c r="O71" s="55"/>
    </row>
    <row r="72" spans="1:15">
      <c r="A72" s="55">
        <v>32</v>
      </c>
      <c r="B72" s="55" t="s">
        <v>979</v>
      </c>
      <c r="C72" s="55" t="s">
        <v>19</v>
      </c>
      <c r="D72" s="22">
        <v>136</v>
      </c>
      <c r="E72" s="22">
        <v>316</v>
      </c>
      <c r="F72" s="22">
        <v>1416</v>
      </c>
      <c r="G72" s="22">
        <v>1022</v>
      </c>
      <c r="H72" s="55">
        <v>-56.96</v>
      </c>
      <c r="I72" s="55">
        <v>38.549999999999997</v>
      </c>
      <c r="J72" s="55">
        <v>0.74</v>
      </c>
      <c r="K72" s="55">
        <v>0.82</v>
      </c>
      <c r="L72" s="55">
        <v>1.19</v>
      </c>
      <c r="M72" s="55">
        <v>0.63</v>
      </c>
      <c r="N72" s="55"/>
      <c r="O72" s="55"/>
    </row>
    <row r="73" spans="1:15" hidden="1">
      <c r="A73" s="55">
        <v>33</v>
      </c>
      <c r="B73" s="55" t="s">
        <v>637</v>
      </c>
      <c r="C73" s="55" t="s">
        <v>20</v>
      </c>
      <c r="D73" s="22">
        <v>128</v>
      </c>
      <c r="E73" s="22">
        <v>0</v>
      </c>
      <c r="F73" s="22">
        <v>1414</v>
      </c>
      <c r="G73" s="22">
        <v>0</v>
      </c>
      <c r="H73" s="55">
        <v>0</v>
      </c>
      <c r="I73" s="55">
        <v>0</v>
      </c>
      <c r="J73" s="55">
        <v>0.69</v>
      </c>
      <c r="K73" s="55">
        <v>0.82</v>
      </c>
      <c r="L73" s="55">
        <v>0</v>
      </c>
      <c r="M73" s="55">
        <v>0</v>
      </c>
      <c r="N73" s="55"/>
      <c r="O73" s="55"/>
    </row>
    <row r="74" spans="1:15">
      <c r="A74" s="55">
        <v>34</v>
      </c>
      <c r="B74" s="55" t="s">
        <v>488</v>
      </c>
      <c r="C74" s="55" t="s">
        <v>19</v>
      </c>
      <c r="D74" s="22">
        <v>168</v>
      </c>
      <c r="E74" s="22">
        <v>11</v>
      </c>
      <c r="F74" s="22">
        <v>1374</v>
      </c>
      <c r="G74" s="22">
        <v>1079</v>
      </c>
      <c r="H74" s="55">
        <v>1427.27</v>
      </c>
      <c r="I74" s="55">
        <v>27.34</v>
      </c>
      <c r="J74" s="55">
        <v>0.91</v>
      </c>
      <c r="K74" s="55">
        <v>0.79</v>
      </c>
      <c r="L74" s="55">
        <v>0.04</v>
      </c>
      <c r="M74" s="55">
        <v>0.67</v>
      </c>
      <c r="N74" s="55"/>
      <c r="O74" s="55"/>
    </row>
    <row r="75" spans="1:15">
      <c r="A75" s="55">
        <v>35</v>
      </c>
      <c r="B75" s="55" t="s">
        <v>1023</v>
      </c>
      <c r="C75" s="55" t="s">
        <v>19</v>
      </c>
      <c r="D75" s="22">
        <v>141</v>
      </c>
      <c r="E75" s="22">
        <v>12</v>
      </c>
      <c r="F75" s="22">
        <v>1287</v>
      </c>
      <c r="G75" s="22">
        <v>15</v>
      </c>
      <c r="H75" s="55">
        <v>1075</v>
      </c>
      <c r="I75" s="55">
        <v>8480</v>
      </c>
      <c r="J75" s="55">
        <v>0.76</v>
      </c>
      <c r="K75" s="55">
        <v>0.74</v>
      </c>
      <c r="L75" s="55">
        <v>0.05</v>
      </c>
      <c r="M75" s="55">
        <v>0.01</v>
      </c>
      <c r="N75" s="55"/>
      <c r="O75" s="55"/>
    </row>
    <row r="76" spans="1:15">
      <c r="A76" s="55">
        <v>36</v>
      </c>
      <c r="B76" s="55" t="s">
        <v>399</v>
      </c>
      <c r="C76" s="55" t="s">
        <v>19</v>
      </c>
      <c r="D76" s="22">
        <v>93</v>
      </c>
      <c r="E76" s="22">
        <v>199</v>
      </c>
      <c r="F76" s="22">
        <v>1275</v>
      </c>
      <c r="G76" s="22">
        <v>1922</v>
      </c>
      <c r="H76" s="55">
        <v>-53.27</v>
      </c>
      <c r="I76" s="55">
        <v>-33.659999999999997</v>
      </c>
      <c r="J76" s="55">
        <v>0.5</v>
      </c>
      <c r="K76" s="55">
        <v>0.74</v>
      </c>
      <c r="L76" s="55">
        <v>0.75</v>
      </c>
      <c r="M76" s="55">
        <v>1.19</v>
      </c>
      <c r="N76" s="55"/>
      <c r="O76" s="55"/>
    </row>
    <row r="77" spans="1:15" hidden="1">
      <c r="A77" s="55">
        <v>37</v>
      </c>
      <c r="B77" s="55" t="s">
        <v>636</v>
      </c>
      <c r="C77" s="55" t="s">
        <v>20</v>
      </c>
      <c r="D77" s="22">
        <v>7</v>
      </c>
      <c r="E77" s="22">
        <v>641</v>
      </c>
      <c r="F77" s="22">
        <v>1206</v>
      </c>
      <c r="G77" s="22">
        <v>2356</v>
      </c>
      <c r="H77" s="55">
        <v>-98.91</v>
      </c>
      <c r="I77" s="55">
        <v>-48.81</v>
      </c>
      <c r="J77" s="55">
        <v>0.04</v>
      </c>
      <c r="K77" s="55">
        <v>0.7</v>
      </c>
      <c r="L77" s="55">
        <v>2.42</v>
      </c>
      <c r="M77" s="55">
        <v>1.46</v>
      </c>
      <c r="N77" s="55"/>
      <c r="O77" s="55"/>
    </row>
    <row r="78" spans="1:15">
      <c r="A78" s="55">
        <v>38</v>
      </c>
      <c r="B78" s="55" t="s">
        <v>411</v>
      </c>
      <c r="C78" s="55" t="s">
        <v>19</v>
      </c>
      <c r="D78" s="22">
        <v>102</v>
      </c>
      <c r="E78" s="22">
        <v>196</v>
      </c>
      <c r="F78" s="22">
        <v>1192</v>
      </c>
      <c r="G78" s="22">
        <v>1863</v>
      </c>
      <c r="H78" s="55">
        <v>-47.96</v>
      </c>
      <c r="I78" s="55">
        <v>-36.020000000000003</v>
      </c>
      <c r="J78" s="55">
        <v>0.55000000000000004</v>
      </c>
      <c r="K78" s="55">
        <v>0.69</v>
      </c>
      <c r="L78" s="55">
        <v>0.74</v>
      </c>
      <c r="M78" s="55">
        <v>1.1499999999999999</v>
      </c>
      <c r="N78" s="55"/>
      <c r="O78" s="55"/>
    </row>
    <row r="79" spans="1:15" hidden="1">
      <c r="A79" s="55">
        <v>39</v>
      </c>
      <c r="B79" s="55" t="s">
        <v>1123</v>
      </c>
      <c r="C79" s="55" t="s">
        <v>20</v>
      </c>
      <c r="D79" s="22">
        <v>67</v>
      </c>
      <c r="E79" s="22">
        <v>0</v>
      </c>
      <c r="F79" s="22">
        <v>1190</v>
      </c>
      <c r="G79" s="22">
        <v>100</v>
      </c>
      <c r="H79" s="55">
        <v>0</v>
      </c>
      <c r="I79" s="55">
        <v>1090</v>
      </c>
      <c r="J79" s="55">
        <v>0.36</v>
      </c>
      <c r="K79" s="55">
        <v>0.69</v>
      </c>
      <c r="L79" s="55">
        <v>0</v>
      </c>
      <c r="M79" s="55">
        <v>0.06</v>
      </c>
      <c r="N79" s="55"/>
      <c r="O79" s="55"/>
    </row>
    <row r="80" spans="1:15" hidden="1">
      <c r="A80" s="55">
        <v>40</v>
      </c>
      <c r="B80" s="55" t="s">
        <v>696</v>
      </c>
      <c r="C80" s="55" t="s">
        <v>20</v>
      </c>
      <c r="D80" s="22">
        <v>132</v>
      </c>
      <c r="E80" s="22">
        <v>81</v>
      </c>
      <c r="F80" s="22">
        <v>1122</v>
      </c>
      <c r="G80" s="22">
        <v>773</v>
      </c>
      <c r="H80" s="55">
        <v>62.96</v>
      </c>
      <c r="I80" s="55">
        <v>45.15</v>
      </c>
      <c r="J80" s="55">
        <v>0.71</v>
      </c>
      <c r="K80" s="55">
        <v>0.65</v>
      </c>
      <c r="L80" s="55">
        <v>0.31</v>
      </c>
      <c r="M80" s="55">
        <v>0.48</v>
      </c>
      <c r="N80" s="55"/>
      <c r="O80" s="55"/>
    </row>
    <row r="81" spans="1:15" hidden="1">
      <c r="A81" s="55">
        <v>41</v>
      </c>
      <c r="B81" s="55" t="s">
        <v>597</v>
      </c>
      <c r="C81" s="55" t="s">
        <v>20</v>
      </c>
      <c r="D81" s="22">
        <v>159</v>
      </c>
      <c r="E81" s="22">
        <v>155</v>
      </c>
      <c r="F81" s="22">
        <v>1103</v>
      </c>
      <c r="G81" s="22">
        <v>553</v>
      </c>
      <c r="H81" s="55">
        <v>2.58</v>
      </c>
      <c r="I81" s="55">
        <v>99.46</v>
      </c>
      <c r="J81" s="55">
        <v>0.86</v>
      </c>
      <c r="K81" s="55">
        <v>0.64</v>
      </c>
      <c r="L81" s="55">
        <v>0.59</v>
      </c>
      <c r="M81" s="55">
        <v>0.34</v>
      </c>
      <c r="N81" s="55"/>
      <c r="O81" s="55"/>
    </row>
    <row r="82" spans="1:15" hidden="1">
      <c r="A82" s="55">
        <v>42</v>
      </c>
      <c r="B82" s="55" t="s">
        <v>583</v>
      </c>
      <c r="C82" s="55" t="s">
        <v>20</v>
      </c>
      <c r="D82" s="22">
        <v>55</v>
      </c>
      <c r="E82" s="22">
        <v>213</v>
      </c>
      <c r="F82" s="22">
        <v>1094</v>
      </c>
      <c r="G82" s="22">
        <v>2903</v>
      </c>
      <c r="H82" s="55">
        <v>-74.180000000000007</v>
      </c>
      <c r="I82" s="55">
        <v>-62.31</v>
      </c>
      <c r="J82" s="55">
        <v>0.3</v>
      </c>
      <c r="K82" s="55">
        <v>0.63</v>
      </c>
      <c r="L82" s="55">
        <v>0.8</v>
      </c>
      <c r="M82" s="55">
        <v>1.8</v>
      </c>
      <c r="N82" s="55"/>
      <c r="O82" s="55"/>
    </row>
    <row r="83" spans="1:15" hidden="1">
      <c r="A83" s="55">
        <v>43</v>
      </c>
      <c r="B83" s="55" t="s">
        <v>658</v>
      </c>
      <c r="C83" s="55" t="s">
        <v>20</v>
      </c>
      <c r="D83" s="22">
        <v>60</v>
      </c>
      <c r="E83" s="22">
        <v>99</v>
      </c>
      <c r="F83" s="22">
        <v>1036</v>
      </c>
      <c r="G83" s="22">
        <v>952</v>
      </c>
      <c r="H83" s="55">
        <v>-39.39</v>
      </c>
      <c r="I83" s="55">
        <v>8.82</v>
      </c>
      <c r="J83" s="55">
        <v>0.32</v>
      </c>
      <c r="K83" s="55">
        <v>0.6</v>
      </c>
      <c r="L83" s="55">
        <v>0.37</v>
      </c>
      <c r="M83" s="55">
        <v>0.59</v>
      </c>
      <c r="N83" s="55"/>
      <c r="O83" s="55"/>
    </row>
    <row r="84" spans="1:15">
      <c r="A84" s="55">
        <v>44</v>
      </c>
      <c r="B84" s="55" t="s">
        <v>487</v>
      </c>
      <c r="C84" s="55" t="s">
        <v>19</v>
      </c>
      <c r="D84" s="22">
        <v>141</v>
      </c>
      <c r="E84" s="22">
        <v>63</v>
      </c>
      <c r="F84" s="22">
        <v>1035</v>
      </c>
      <c r="G84" s="22">
        <v>372</v>
      </c>
      <c r="H84" s="55">
        <v>123.81</v>
      </c>
      <c r="I84" s="55">
        <v>178.23</v>
      </c>
      <c r="J84" s="55">
        <v>0.76</v>
      </c>
      <c r="K84" s="55">
        <v>0.6</v>
      </c>
      <c r="L84" s="55">
        <v>0.24</v>
      </c>
      <c r="M84" s="55">
        <v>0.23</v>
      </c>
      <c r="N84" s="55"/>
      <c r="O84" s="55"/>
    </row>
    <row r="85" spans="1:15" hidden="1">
      <c r="A85" s="55">
        <v>45</v>
      </c>
      <c r="B85" s="55" t="s">
        <v>557</v>
      </c>
      <c r="C85" s="55" t="s">
        <v>20</v>
      </c>
      <c r="D85" s="22">
        <v>106</v>
      </c>
      <c r="E85" s="22">
        <v>140</v>
      </c>
      <c r="F85" s="22">
        <v>987</v>
      </c>
      <c r="G85" s="22">
        <v>662</v>
      </c>
      <c r="H85" s="55">
        <v>-24.29</v>
      </c>
      <c r="I85" s="55">
        <v>49.09</v>
      </c>
      <c r="J85" s="55">
        <v>0.56999999999999995</v>
      </c>
      <c r="K85" s="55">
        <v>0.56999999999999995</v>
      </c>
      <c r="L85" s="55">
        <v>0.53</v>
      </c>
      <c r="M85" s="55">
        <v>0.41</v>
      </c>
      <c r="N85" s="55"/>
      <c r="O85" s="55"/>
    </row>
    <row r="86" spans="1:15" hidden="1">
      <c r="A86" s="55">
        <v>46</v>
      </c>
      <c r="B86" s="55" t="s">
        <v>400</v>
      </c>
      <c r="C86" s="55" t="s">
        <v>20</v>
      </c>
      <c r="D86" s="22">
        <v>102</v>
      </c>
      <c r="E86" s="22">
        <v>134</v>
      </c>
      <c r="F86" s="22">
        <v>920</v>
      </c>
      <c r="G86" s="22">
        <v>1379</v>
      </c>
      <c r="H86" s="55">
        <v>-23.88</v>
      </c>
      <c r="I86" s="55">
        <v>-33.28</v>
      </c>
      <c r="J86" s="55">
        <v>0.55000000000000004</v>
      </c>
      <c r="K86" s="55">
        <v>0.53</v>
      </c>
      <c r="L86" s="55">
        <v>0.51</v>
      </c>
      <c r="M86" s="55">
        <v>0.85</v>
      </c>
      <c r="N86" s="55"/>
      <c r="O86" s="55"/>
    </row>
    <row r="87" spans="1:15" hidden="1">
      <c r="A87" s="55">
        <v>47</v>
      </c>
      <c r="B87" s="55" t="s">
        <v>688</v>
      </c>
      <c r="C87" s="55" t="s">
        <v>20</v>
      </c>
      <c r="D87" s="22">
        <v>103</v>
      </c>
      <c r="E87" s="22">
        <v>375</v>
      </c>
      <c r="F87" s="22">
        <v>914</v>
      </c>
      <c r="G87" s="22">
        <v>950</v>
      </c>
      <c r="H87" s="55">
        <v>-72.53</v>
      </c>
      <c r="I87" s="55">
        <v>-3.79</v>
      </c>
      <c r="J87" s="55">
        <v>0.56000000000000005</v>
      </c>
      <c r="K87" s="55">
        <v>0.53</v>
      </c>
      <c r="L87" s="55">
        <v>1.42</v>
      </c>
      <c r="M87" s="55">
        <v>0.59</v>
      </c>
      <c r="N87" s="55"/>
      <c r="O87" s="55"/>
    </row>
    <row r="88" spans="1:15" hidden="1">
      <c r="A88" s="55">
        <v>48</v>
      </c>
      <c r="B88" s="55" t="s">
        <v>1008</v>
      </c>
      <c r="C88" s="55" t="s">
        <v>20</v>
      </c>
      <c r="D88" s="22">
        <v>80</v>
      </c>
      <c r="E88" s="22">
        <v>8</v>
      </c>
      <c r="F88" s="22">
        <v>909</v>
      </c>
      <c r="G88" s="22">
        <v>107</v>
      </c>
      <c r="H88" s="55">
        <v>900</v>
      </c>
      <c r="I88" s="55">
        <v>749.53</v>
      </c>
      <c r="J88" s="55">
        <v>0.43</v>
      </c>
      <c r="K88" s="55">
        <v>0.53</v>
      </c>
      <c r="L88" s="55">
        <v>0.03</v>
      </c>
      <c r="M88" s="55">
        <v>7.0000000000000007E-2</v>
      </c>
      <c r="N88" s="55"/>
      <c r="O88" s="55"/>
    </row>
    <row r="89" spans="1:15">
      <c r="A89" s="55">
        <v>49</v>
      </c>
      <c r="B89" s="55" t="s">
        <v>380</v>
      </c>
      <c r="C89" s="55" t="s">
        <v>19</v>
      </c>
      <c r="D89" s="22">
        <v>25</v>
      </c>
      <c r="E89" s="22">
        <v>102</v>
      </c>
      <c r="F89" s="22">
        <v>880</v>
      </c>
      <c r="G89" s="22">
        <v>2257</v>
      </c>
      <c r="H89" s="55">
        <v>-75.489999999999995</v>
      </c>
      <c r="I89" s="55">
        <v>-61.01</v>
      </c>
      <c r="J89" s="55">
        <v>0.14000000000000001</v>
      </c>
      <c r="K89" s="55">
        <v>0.51</v>
      </c>
      <c r="L89" s="55">
        <v>0.39</v>
      </c>
      <c r="M89" s="55">
        <v>1.4</v>
      </c>
      <c r="N89" s="55"/>
      <c r="O89" s="55"/>
    </row>
    <row r="90" spans="1:15">
      <c r="A90" s="55">
        <v>50</v>
      </c>
      <c r="B90" s="55" t="s">
        <v>40</v>
      </c>
      <c r="C90" s="55" t="s">
        <v>19</v>
      </c>
      <c r="D90" s="22">
        <v>79</v>
      </c>
      <c r="E90" s="22">
        <v>28</v>
      </c>
      <c r="F90" s="22">
        <v>834</v>
      </c>
      <c r="G90" s="22">
        <v>532</v>
      </c>
      <c r="H90" s="55">
        <v>182.14</v>
      </c>
      <c r="I90" s="55">
        <v>56.77</v>
      </c>
      <c r="J90" s="55">
        <v>0.43</v>
      </c>
      <c r="K90" s="55">
        <v>0.48</v>
      </c>
      <c r="L90" s="55">
        <v>0.11</v>
      </c>
      <c r="M90" s="55">
        <v>0.33</v>
      </c>
      <c r="N90" s="55"/>
      <c r="O90" s="55"/>
    </row>
    <row r="91" spans="1:15">
      <c r="A91" s="55">
        <v>51</v>
      </c>
      <c r="B91" s="55" t="s">
        <v>228</v>
      </c>
      <c r="C91" s="55" t="s">
        <v>19</v>
      </c>
      <c r="D91" s="22">
        <v>45</v>
      </c>
      <c r="E91" s="22">
        <v>36</v>
      </c>
      <c r="F91" s="22">
        <v>828</v>
      </c>
      <c r="G91" s="22">
        <v>1019</v>
      </c>
      <c r="H91" s="55">
        <v>25</v>
      </c>
      <c r="I91" s="55">
        <v>-18.739999999999998</v>
      </c>
      <c r="J91" s="55">
        <v>0.24</v>
      </c>
      <c r="K91" s="55">
        <v>0.48</v>
      </c>
      <c r="L91" s="55">
        <v>0.14000000000000001</v>
      </c>
      <c r="M91" s="55">
        <v>0.63</v>
      </c>
      <c r="N91" s="55"/>
      <c r="O91" s="55"/>
    </row>
    <row r="92" spans="1:15" hidden="1">
      <c r="A92" s="55">
        <v>52</v>
      </c>
      <c r="B92" s="55" t="s">
        <v>493</v>
      </c>
      <c r="C92" s="55" t="s">
        <v>20</v>
      </c>
      <c r="D92" s="22">
        <v>46</v>
      </c>
      <c r="E92" s="22">
        <v>282</v>
      </c>
      <c r="F92" s="22">
        <v>814</v>
      </c>
      <c r="G92" s="22">
        <v>774</v>
      </c>
      <c r="H92" s="55">
        <v>-83.69</v>
      </c>
      <c r="I92" s="55">
        <v>5.17</v>
      </c>
      <c r="J92" s="55">
        <v>0.25</v>
      </c>
      <c r="K92" s="55">
        <v>0.47</v>
      </c>
      <c r="L92" s="55">
        <v>1.07</v>
      </c>
      <c r="M92" s="55">
        <v>0.48</v>
      </c>
      <c r="N92" s="55"/>
      <c r="O92" s="55"/>
    </row>
    <row r="93" spans="1:15">
      <c r="A93" s="55">
        <v>53</v>
      </c>
      <c r="B93" s="55" t="s">
        <v>394</v>
      </c>
      <c r="C93" s="55" t="s">
        <v>19</v>
      </c>
      <c r="D93" s="22">
        <v>2</v>
      </c>
      <c r="E93" s="22">
        <v>469</v>
      </c>
      <c r="F93" s="22">
        <v>753</v>
      </c>
      <c r="G93" s="22">
        <v>1924</v>
      </c>
      <c r="H93" s="62">
        <v>-99.57</v>
      </c>
      <c r="I93" s="62">
        <v>-60.86</v>
      </c>
      <c r="J93" s="55">
        <v>0.01</v>
      </c>
      <c r="K93" s="55">
        <v>0.43</v>
      </c>
      <c r="L93" s="55">
        <v>1.77</v>
      </c>
      <c r="M93" s="55">
        <v>1.19</v>
      </c>
      <c r="N93" s="55"/>
      <c r="O93" s="55"/>
    </row>
    <row r="94" spans="1:15">
      <c r="A94" s="55">
        <v>54</v>
      </c>
      <c r="B94" s="55" t="s">
        <v>651</v>
      </c>
      <c r="C94" s="55" t="s">
        <v>19</v>
      </c>
      <c r="D94" s="22">
        <v>80</v>
      </c>
      <c r="E94" s="22">
        <v>55</v>
      </c>
      <c r="F94" s="22">
        <v>722</v>
      </c>
      <c r="G94" s="22">
        <v>379</v>
      </c>
      <c r="H94" s="78">
        <v>45.45</v>
      </c>
      <c r="I94" s="78">
        <v>90.5</v>
      </c>
      <c r="J94" s="55">
        <v>0.43</v>
      </c>
      <c r="K94" s="55">
        <v>0.42</v>
      </c>
      <c r="L94" s="55">
        <v>0.21</v>
      </c>
      <c r="M94" s="55">
        <v>0.23</v>
      </c>
      <c r="N94" s="55"/>
      <c r="O94" s="55"/>
    </row>
    <row r="95" spans="1:15" hidden="1">
      <c r="A95" s="55">
        <v>55</v>
      </c>
      <c r="B95" s="55" t="s">
        <v>1089</v>
      </c>
      <c r="C95" s="55" t="s">
        <v>20</v>
      </c>
      <c r="D95" s="22">
        <v>145</v>
      </c>
      <c r="E95" s="22">
        <v>23</v>
      </c>
      <c r="F95" s="22">
        <v>720</v>
      </c>
      <c r="G95" s="22">
        <v>125</v>
      </c>
      <c r="H95" s="55">
        <v>530.42999999999995</v>
      </c>
      <c r="I95" s="55">
        <v>476</v>
      </c>
      <c r="J95" s="55">
        <v>0.78</v>
      </c>
      <c r="K95" s="55">
        <v>0.42</v>
      </c>
      <c r="L95" s="55">
        <v>0.09</v>
      </c>
      <c r="M95" s="55">
        <v>0.08</v>
      </c>
      <c r="N95" s="55"/>
      <c r="O95" s="55"/>
    </row>
    <row r="96" spans="1:15">
      <c r="A96" s="55">
        <v>56</v>
      </c>
      <c r="B96" s="55" t="s">
        <v>404</v>
      </c>
      <c r="C96" s="55" t="s">
        <v>19</v>
      </c>
      <c r="D96" s="22">
        <v>47</v>
      </c>
      <c r="E96" s="22">
        <v>73</v>
      </c>
      <c r="F96" s="22">
        <v>705</v>
      </c>
      <c r="G96" s="22">
        <v>516</v>
      </c>
      <c r="H96" s="55">
        <v>-35.619999999999997</v>
      </c>
      <c r="I96" s="55">
        <v>36.630000000000003</v>
      </c>
      <c r="J96" s="55">
        <v>0.25</v>
      </c>
      <c r="K96" s="55">
        <v>0.41</v>
      </c>
      <c r="L96" s="55">
        <v>0.28000000000000003</v>
      </c>
      <c r="M96" s="55">
        <v>0.32</v>
      </c>
      <c r="N96" s="55"/>
      <c r="O96" s="55"/>
    </row>
    <row r="97" spans="1:15" hidden="1">
      <c r="A97" s="55">
        <v>57</v>
      </c>
      <c r="B97" s="55" t="s">
        <v>1033</v>
      </c>
      <c r="C97" s="55" t="s">
        <v>20</v>
      </c>
      <c r="D97" s="22">
        <v>169</v>
      </c>
      <c r="E97" s="22">
        <v>139</v>
      </c>
      <c r="F97" s="22">
        <v>682</v>
      </c>
      <c r="G97" s="22">
        <v>139</v>
      </c>
      <c r="H97" s="55">
        <v>21.58</v>
      </c>
      <c r="I97" s="55">
        <v>390.65</v>
      </c>
      <c r="J97" s="55">
        <v>0.91</v>
      </c>
      <c r="K97" s="55">
        <v>0.39</v>
      </c>
      <c r="L97" s="55">
        <v>0.53</v>
      </c>
      <c r="M97" s="55">
        <v>0.09</v>
      </c>
      <c r="N97" s="55"/>
      <c r="O97" s="55"/>
    </row>
    <row r="98" spans="1:15" hidden="1">
      <c r="A98" s="55">
        <v>58</v>
      </c>
      <c r="B98" s="55" t="s">
        <v>363</v>
      </c>
      <c r="C98" s="55" t="s">
        <v>20</v>
      </c>
      <c r="D98" s="22">
        <v>73</v>
      </c>
      <c r="E98" s="22">
        <v>142</v>
      </c>
      <c r="F98" s="22">
        <v>673</v>
      </c>
      <c r="G98" s="22">
        <v>823</v>
      </c>
      <c r="H98" s="55">
        <v>-48.59</v>
      </c>
      <c r="I98" s="55">
        <v>-18.23</v>
      </c>
      <c r="J98" s="55">
        <v>0.4</v>
      </c>
      <c r="K98" s="55">
        <v>0.39</v>
      </c>
      <c r="L98" s="55">
        <v>0.54</v>
      </c>
      <c r="M98" s="55">
        <v>0.51</v>
      </c>
      <c r="N98" s="55"/>
      <c r="O98" s="55"/>
    </row>
    <row r="99" spans="1:15">
      <c r="A99" s="55">
        <v>59</v>
      </c>
      <c r="B99" s="55" t="s">
        <v>116</v>
      </c>
      <c r="C99" s="55" t="s">
        <v>19</v>
      </c>
      <c r="D99" s="22">
        <v>42</v>
      </c>
      <c r="E99" s="22">
        <v>138</v>
      </c>
      <c r="F99" s="22">
        <v>670</v>
      </c>
      <c r="G99" s="22">
        <v>1104</v>
      </c>
      <c r="H99" s="55">
        <v>-69.569999999999993</v>
      </c>
      <c r="I99" s="55">
        <v>-39.31</v>
      </c>
      <c r="J99" s="55">
        <v>0.23</v>
      </c>
      <c r="K99" s="55">
        <v>0.39</v>
      </c>
      <c r="L99" s="55">
        <v>0.52</v>
      </c>
      <c r="M99" s="55">
        <v>0.68</v>
      </c>
      <c r="N99" s="55"/>
      <c r="O99" s="55"/>
    </row>
    <row r="100" spans="1:15" hidden="1">
      <c r="A100" s="55">
        <v>60</v>
      </c>
      <c r="B100" s="55" t="s">
        <v>1266</v>
      </c>
      <c r="C100" s="55" t="s">
        <v>20</v>
      </c>
      <c r="D100" s="22">
        <v>313</v>
      </c>
      <c r="E100" s="22">
        <v>0</v>
      </c>
      <c r="F100" s="22">
        <v>651</v>
      </c>
      <c r="G100" s="22">
        <v>0</v>
      </c>
      <c r="H100" s="55">
        <v>0</v>
      </c>
      <c r="I100" s="55">
        <v>0</v>
      </c>
      <c r="J100" s="55">
        <v>1.69</v>
      </c>
      <c r="K100" s="55">
        <v>0.38</v>
      </c>
      <c r="L100" s="55">
        <v>0</v>
      </c>
      <c r="M100" s="55">
        <v>0</v>
      </c>
      <c r="N100" s="55"/>
      <c r="O100" s="55"/>
    </row>
    <row r="101" spans="1:15" hidden="1">
      <c r="A101" s="55">
        <v>61</v>
      </c>
      <c r="B101" s="55" t="s">
        <v>559</v>
      </c>
      <c r="C101" s="55" t="s">
        <v>20</v>
      </c>
      <c r="D101" s="22">
        <v>2</v>
      </c>
      <c r="E101" s="22">
        <v>35</v>
      </c>
      <c r="F101" s="22">
        <v>627</v>
      </c>
      <c r="G101" s="22">
        <v>952</v>
      </c>
      <c r="H101" s="55">
        <v>-94.29</v>
      </c>
      <c r="I101" s="55">
        <v>-34.14</v>
      </c>
      <c r="J101" s="55">
        <v>0.01</v>
      </c>
      <c r="K101" s="55">
        <v>0.36</v>
      </c>
      <c r="L101" s="55">
        <v>0.13</v>
      </c>
      <c r="M101" s="55">
        <v>0.59</v>
      </c>
      <c r="N101" s="55"/>
      <c r="O101" s="55"/>
    </row>
    <row r="102" spans="1:15">
      <c r="A102" s="55">
        <v>62</v>
      </c>
      <c r="B102" s="55" t="s">
        <v>358</v>
      </c>
      <c r="C102" s="55" t="s">
        <v>19</v>
      </c>
      <c r="D102" s="22">
        <v>1</v>
      </c>
      <c r="E102" s="22">
        <v>105</v>
      </c>
      <c r="F102" s="22">
        <v>607</v>
      </c>
      <c r="G102" s="22">
        <v>477</v>
      </c>
      <c r="H102" s="55">
        <v>-99.05</v>
      </c>
      <c r="I102" s="55">
        <v>27.25</v>
      </c>
      <c r="J102" s="55">
        <v>0.01</v>
      </c>
      <c r="K102" s="55">
        <v>0.35</v>
      </c>
      <c r="L102" s="55">
        <v>0.4</v>
      </c>
      <c r="M102" s="55">
        <v>0.3</v>
      </c>
      <c r="N102" s="55"/>
      <c r="O102" s="55"/>
    </row>
    <row r="103" spans="1:15" hidden="1">
      <c r="A103" s="55">
        <v>63</v>
      </c>
      <c r="B103" s="55" t="s">
        <v>1183</v>
      </c>
      <c r="C103" s="55" t="s">
        <v>20</v>
      </c>
      <c r="D103" s="22">
        <v>96</v>
      </c>
      <c r="E103" s="22">
        <v>0</v>
      </c>
      <c r="F103" s="22">
        <v>590</v>
      </c>
      <c r="G103" s="22">
        <v>0</v>
      </c>
      <c r="H103" s="55">
        <v>0</v>
      </c>
      <c r="I103" s="55">
        <v>0</v>
      </c>
      <c r="J103" s="55">
        <v>0.52</v>
      </c>
      <c r="K103" s="55">
        <v>0.34</v>
      </c>
      <c r="L103" s="55">
        <v>0</v>
      </c>
      <c r="M103" s="55">
        <v>0</v>
      </c>
      <c r="N103" s="55"/>
      <c r="O103" s="55"/>
    </row>
    <row r="104" spans="1:15">
      <c r="A104" s="55">
        <v>64</v>
      </c>
      <c r="B104" s="55" t="s">
        <v>373</v>
      </c>
      <c r="C104" s="55" t="s">
        <v>19</v>
      </c>
      <c r="D104" s="22">
        <v>45</v>
      </c>
      <c r="E104" s="22">
        <v>42</v>
      </c>
      <c r="F104" s="22">
        <v>580</v>
      </c>
      <c r="G104" s="22">
        <v>1015</v>
      </c>
      <c r="H104" s="55">
        <v>7.14</v>
      </c>
      <c r="I104" s="55">
        <v>-42.86</v>
      </c>
      <c r="J104" s="55">
        <v>0.24</v>
      </c>
      <c r="K104" s="55">
        <v>0.33</v>
      </c>
      <c r="L104" s="55">
        <v>0.16</v>
      </c>
      <c r="M104" s="55">
        <v>0.63</v>
      </c>
      <c r="N104" s="55"/>
      <c r="O104" s="55"/>
    </row>
    <row r="105" spans="1:15">
      <c r="A105" s="55">
        <v>65</v>
      </c>
      <c r="B105" s="55" t="s">
        <v>75</v>
      </c>
      <c r="C105" s="55" t="s">
        <v>19</v>
      </c>
      <c r="D105" s="22">
        <v>51</v>
      </c>
      <c r="E105" s="22">
        <v>21</v>
      </c>
      <c r="F105" s="22">
        <v>553</v>
      </c>
      <c r="G105" s="22">
        <v>403</v>
      </c>
      <c r="H105" s="55">
        <v>142.86000000000001</v>
      </c>
      <c r="I105" s="55">
        <v>37.22</v>
      </c>
      <c r="J105" s="55">
        <v>0.28000000000000003</v>
      </c>
      <c r="K105" s="55">
        <v>0.32</v>
      </c>
      <c r="L105" s="55">
        <v>0.08</v>
      </c>
      <c r="M105" s="55">
        <v>0.25</v>
      </c>
      <c r="N105" s="55"/>
      <c r="O105" s="55"/>
    </row>
    <row r="106" spans="1:15">
      <c r="A106" s="55">
        <v>66</v>
      </c>
      <c r="B106" s="55" t="s">
        <v>374</v>
      </c>
      <c r="C106" s="55" t="s">
        <v>19</v>
      </c>
      <c r="D106" s="22">
        <v>46</v>
      </c>
      <c r="E106" s="22">
        <v>23</v>
      </c>
      <c r="F106" s="22">
        <v>553</v>
      </c>
      <c r="G106" s="22">
        <v>129</v>
      </c>
      <c r="H106" s="55">
        <v>100</v>
      </c>
      <c r="I106" s="55">
        <v>328.68</v>
      </c>
      <c r="J106" s="55">
        <v>0.25</v>
      </c>
      <c r="K106" s="55">
        <v>0.32</v>
      </c>
      <c r="L106" s="55">
        <v>0.09</v>
      </c>
      <c r="M106" s="55">
        <v>0.08</v>
      </c>
      <c r="N106" s="55"/>
      <c r="O106" s="55"/>
    </row>
    <row r="107" spans="1:15">
      <c r="A107" s="55">
        <v>67</v>
      </c>
      <c r="B107" s="55" t="s">
        <v>389</v>
      </c>
      <c r="C107" s="55" t="s">
        <v>19</v>
      </c>
      <c r="D107" s="22">
        <v>56</v>
      </c>
      <c r="E107" s="22">
        <v>57</v>
      </c>
      <c r="F107" s="22">
        <v>545</v>
      </c>
      <c r="G107" s="22">
        <v>1269</v>
      </c>
      <c r="H107" s="55">
        <v>-1.75</v>
      </c>
      <c r="I107" s="55">
        <v>-57.05</v>
      </c>
      <c r="J107" s="55">
        <v>0.3</v>
      </c>
      <c r="K107" s="55">
        <v>0.31</v>
      </c>
      <c r="L107" s="55">
        <v>0.22</v>
      </c>
      <c r="M107" s="55">
        <v>0.79</v>
      </c>
      <c r="N107" s="55"/>
      <c r="O107" s="55"/>
    </row>
    <row r="108" spans="1:15" hidden="1">
      <c r="A108" s="55">
        <v>68</v>
      </c>
      <c r="B108" s="55" t="s">
        <v>1029</v>
      </c>
      <c r="C108" s="55" t="s">
        <v>20</v>
      </c>
      <c r="D108" s="22">
        <v>31</v>
      </c>
      <c r="E108" s="22">
        <v>211</v>
      </c>
      <c r="F108" s="22">
        <v>542</v>
      </c>
      <c r="G108" s="22">
        <v>211</v>
      </c>
      <c r="H108" s="55">
        <v>-85.31</v>
      </c>
      <c r="I108" s="55">
        <v>156.87</v>
      </c>
      <c r="J108" s="55">
        <v>0.17</v>
      </c>
      <c r="K108" s="55">
        <v>0.31</v>
      </c>
      <c r="L108" s="55">
        <v>0.8</v>
      </c>
      <c r="M108" s="55">
        <v>0.13</v>
      </c>
      <c r="N108" s="55"/>
      <c r="O108" s="55"/>
    </row>
    <row r="109" spans="1:15">
      <c r="A109" s="55">
        <v>69</v>
      </c>
      <c r="B109" s="55" t="s">
        <v>234</v>
      </c>
      <c r="C109" s="55" t="s">
        <v>19</v>
      </c>
      <c r="D109" s="22">
        <v>29</v>
      </c>
      <c r="E109" s="22">
        <v>45</v>
      </c>
      <c r="F109" s="22">
        <v>539</v>
      </c>
      <c r="G109" s="22">
        <v>176</v>
      </c>
      <c r="H109" s="55">
        <v>-35.56</v>
      </c>
      <c r="I109" s="55">
        <v>206.25</v>
      </c>
      <c r="J109" s="55">
        <v>0.16</v>
      </c>
      <c r="K109" s="55">
        <v>0.31</v>
      </c>
      <c r="L109" s="55">
        <v>0.17</v>
      </c>
      <c r="M109" s="55">
        <v>0.11</v>
      </c>
      <c r="N109" s="55"/>
      <c r="O109" s="55"/>
    </row>
    <row r="110" spans="1:15" hidden="1">
      <c r="A110" s="55">
        <v>70</v>
      </c>
      <c r="B110" s="55" t="s">
        <v>99</v>
      </c>
      <c r="C110" s="55" t="s">
        <v>20</v>
      </c>
      <c r="D110" s="22">
        <v>4</v>
      </c>
      <c r="E110" s="22">
        <v>83</v>
      </c>
      <c r="F110" s="22">
        <v>536</v>
      </c>
      <c r="G110" s="22">
        <v>1306</v>
      </c>
      <c r="H110" s="55">
        <v>-95.18</v>
      </c>
      <c r="I110" s="55">
        <v>-58.96</v>
      </c>
      <c r="J110" s="55">
        <v>0.02</v>
      </c>
      <c r="K110" s="55">
        <v>0.31</v>
      </c>
      <c r="L110" s="55">
        <v>0.31</v>
      </c>
      <c r="M110" s="55">
        <v>0.81</v>
      </c>
      <c r="N110" s="55"/>
      <c r="O110" s="55"/>
    </row>
    <row r="111" spans="1:15">
      <c r="A111" s="55">
        <v>71</v>
      </c>
      <c r="B111" s="55" t="s">
        <v>1210</v>
      </c>
      <c r="C111" s="55" t="s">
        <v>19</v>
      </c>
      <c r="D111" s="22">
        <v>71</v>
      </c>
      <c r="E111" s="22">
        <v>0</v>
      </c>
      <c r="F111" s="22">
        <v>532</v>
      </c>
      <c r="G111" s="22">
        <v>0</v>
      </c>
      <c r="H111" s="55">
        <v>0</v>
      </c>
      <c r="I111" s="55">
        <v>0</v>
      </c>
      <c r="J111" s="55">
        <v>0.38</v>
      </c>
      <c r="K111" s="55">
        <v>0.31</v>
      </c>
      <c r="L111" s="55">
        <v>0</v>
      </c>
      <c r="M111" s="55">
        <v>0</v>
      </c>
      <c r="N111" s="55"/>
      <c r="O111" s="55"/>
    </row>
    <row r="112" spans="1:15">
      <c r="A112" s="55">
        <v>72</v>
      </c>
      <c r="B112" s="55" t="s">
        <v>1090</v>
      </c>
      <c r="C112" s="55" t="s">
        <v>19</v>
      </c>
      <c r="D112" s="22">
        <v>134</v>
      </c>
      <c r="E112" s="22">
        <v>0</v>
      </c>
      <c r="F112" s="22">
        <v>478</v>
      </c>
      <c r="G112" s="22">
        <v>0</v>
      </c>
      <c r="H112" s="55">
        <v>0</v>
      </c>
      <c r="I112" s="55">
        <v>0</v>
      </c>
      <c r="J112" s="55">
        <v>0.73</v>
      </c>
      <c r="K112" s="55">
        <v>0.28000000000000003</v>
      </c>
      <c r="L112" s="55">
        <v>0</v>
      </c>
      <c r="M112" s="55">
        <v>0</v>
      </c>
      <c r="N112" s="55"/>
      <c r="O112" s="55"/>
    </row>
    <row r="113" spans="1:15">
      <c r="A113" s="55">
        <v>73</v>
      </c>
      <c r="B113" s="55" t="s">
        <v>401</v>
      </c>
      <c r="C113" s="55" t="s">
        <v>19</v>
      </c>
      <c r="D113" s="22">
        <v>38</v>
      </c>
      <c r="E113" s="22">
        <v>2</v>
      </c>
      <c r="F113" s="22">
        <v>477</v>
      </c>
      <c r="G113" s="22">
        <v>813</v>
      </c>
      <c r="H113" s="55">
        <v>1800</v>
      </c>
      <c r="I113" s="55">
        <v>-41.33</v>
      </c>
      <c r="J113" s="55">
        <v>0.21</v>
      </c>
      <c r="K113" s="55">
        <v>0.28000000000000003</v>
      </c>
      <c r="L113" s="55">
        <v>0.01</v>
      </c>
      <c r="M113" s="55">
        <v>0.5</v>
      </c>
      <c r="N113" s="55"/>
      <c r="O113" s="55"/>
    </row>
    <row r="114" spans="1:15">
      <c r="A114" s="55">
        <v>74</v>
      </c>
      <c r="B114" s="55" t="s">
        <v>1057</v>
      </c>
      <c r="C114" s="55" t="s">
        <v>19</v>
      </c>
      <c r="D114" s="22">
        <v>186</v>
      </c>
      <c r="E114" s="22">
        <v>0</v>
      </c>
      <c r="F114" s="22">
        <v>457</v>
      </c>
      <c r="G114" s="22">
        <v>0</v>
      </c>
      <c r="H114" s="55">
        <v>0</v>
      </c>
      <c r="I114" s="55">
        <v>0</v>
      </c>
      <c r="J114" s="55">
        <v>1.01</v>
      </c>
      <c r="K114" s="55">
        <v>0.26</v>
      </c>
      <c r="L114" s="55">
        <v>0</v>
      </c>
      <c r="M114" s="55">
        <v>0</v>
      </c>
      <c r="N114" s="55"/>
      <c r="O114" s="55"/>
    </row>
    <row r="115" spans="1:15" hidden="1">
      <c r="A115" s="55">
        <v>75</v>
      </c>
      <c r="B115" s="55" t="s">
        <v>638</v>
      </c>
      <c r="C115" s="55" t="s">
        <v>20</v>
      </c>
      <c r="D115" s="22">
        <v>45</v>
      </c>
      <c r="E115" s="22">
        <v>35</v>
      </c>
      <c r="F115" s="22">
        <v>451</v>
      </c>
      <c r="G115" s="22">
        <v>399</v>
      </c>
      <c r="H115" s="55">
        <v>28.57</v>
      </c>
      <c r="I115" s="55">
        <v>13.03</v>
      </c>
      <c r="J115" s="55">
        <v>0.24</v>
      </c>
      <c r="K115" s="55">
        <v>0.26</v>
      </c>
      <c r="L115" s="55">
        <v>0.13</v>
      </c>
      <c r="M115" s="55">
        <v>0.25</v>
      </c>
      <c r="N115" s="55"/>
      <c r="O115" s="55"/>
    </row>
    <row r="116" spans="1:15" hidden="1">
      <c r="A116" s="55">
        <v>76</v>
      </c>
      <c r="B116" s="55" t="s">
        <v>590</v>
      </c>
      <c r="C116" s="55" t="s">
        <v>20</v>
      </c>
      <c r="D116" s="22">
        <v>12</v>
      </c>
      <c r="E116" s="22">
        <v>325</v>
      </c>
      <c r="F116" s="22">
        <v>443</v>
      </c>
      <c r="G116" s="22">
        <v>2239</v>
      </c>
      <c r="H116" s="55">
        <v>-96.31</v>
      </c>
      <c r="I116" s="55">
        <v>-80.209999999999994</v>
      </c>
      <c r="J116" s="55">
        <v>0.06</v>
      </c>
      <c r="K116" s="55">
        <v>0.26</v>
      </c>
      <c r="L116" s="55">
        <v>1.23</v>
      </c>
      <c r="M116" s="55">
        <v>1.39</v>
      </c>
      <c r="N116" s="55"/>
      <c r="O116" s="55"/>
    </row>
    <row r="117" spans="1:15" hidden="1">
      <c r="A117" s="55">
        <v>77</v>
      </c>
      <c r="B117" s="55" t="s">
        <v>405</v>
      </c>
      <c r="C117" s="55" t="s">
        <v>20</v>
      </c>
      <c r="D117" s="22">
        <v>1</v>
      </c>
      <c r="E117" s="22">
        <v>12</v>
      </c>
      <c r="F117" s="22">
        <v>423</v>
      </c>
      <c r="G117" s="22">
        <v>437</v>
      </c>
      <c r="H117" s="55">
        <v>-91.67</v>
      </c>
      <c r="I117" s="55">
        <v>-3.2</v>
      </c>
      <c r="J117" s="55">
        <v>0.01</v>
      </c>
      <c r="K117" s="55">
        <v>0.24</v>
      </c>
      <c r="L117" s="55">
        <v>0.05</v>
      </c>
      <c r="M117" s="55">
        <v>0.27</v>
      </c>
      <c r="N117" s="55"/>
      <c r="O117" s="55"/>
    </row>
    <row r="118" spans="1:15">
      <c r="A118" s="55">
        <v>78</v>
      </c>
      <c r="B118" s="55" t="s">
        <v>481</v>
      </c>
      <c r="C118" s="55" t="s">
        <v>19</v>
      </c>
      <c r="D118" s="22">
        <v>51</v>
      </c>
      <c r="E118" s="22">
        <v>1</v>
      </c>
      <c r="F118" s="22">
        <v>410</v>
      </c>
      <c r="G118" s="22">
        <v>584</v>
      </c>
      <c r="H118" s="55">
        <v>5000</v>
      </c>
      <c r="I118" s="55">
        <v>-29.79</v>
      </c>
      <c r="J118" s="55">
        <v>0.28000000000000003</v>
      </c>
      <c r="K118" s="55">
        <v>0.24</v>
      </c>
      <c r="L118" s="55">
        <v>0</v>
      </c>
      <c r="M118" s="55">
        <v>0.36</v>
      </c>
      <c r="N118" s="55"/>
      <c r="O118" s="55"/>
    </row>
    <row r="119" spans="1:15" hidden="1">
      <c r="A119" s="55">
        <v>79</v>
      </c>
      <c r="B119" s="55" t="s">
        <v>395</v>
      </c>
      <c r="C119" s="55" t="s">
        <v>20</v>
      </c>
      <c r="D119" s="22">
        <v>58</v>
      </c>
      <c r="E119" s="22">
        <v>52</v>
      </c>
      <c r="F119" s="22">
        <v>399</v>
      </c>
      <c r="G119" s="22">
        <v>837</v>
      </c>
      <c r="H119" s="55">
        <v>11.54</v>
      </c>
      <c r="I119" s="55">
        <v>-52.33</v>
      </c>
      <c r="J119" s="55">
        <v>0.31</v>
      </c>
      <c r="K119" s="55">
        <v>0.23</v>
      </c>
      <c r="L119" s="55">
        <v>0.2</v>
      </c>
      <c r="M119" s="55">
        <v>0.52</v>
      </c>
      <c r="N119" s="55"/>
      <c r="O119" s="55"/>
    </row>
    <row r="120" spans="1:15">
      <c r="A120" s="55">
        <v>80</v>
      </c>
      <c r="B120" s="55" t="s">
        <v>352</v>
      </c>
      <c r="C120" s="55" t="s">
        <v>19</v>
      </c>
      <c r="D120" s="22">
        <v>2</v>
      </c>
      <c r="E120" s="22">
        <v>15</v>
      </c>
      <c r="F120" s="22">
        <v>399</v>
      </c>
      <c r="G120" s="22">
        <v>559</v>
      </c>
      <c r="H120" s="55">
        <v>-86.67</v>
      </c>
      <c r="I120" s="55">
        <v>-28.62</v>
      </c>
      <c r="J120" s="55">
        <v>0.01</v>
      </c>
      <c r="K120" s="55">
        <v>0.23</v>
      </c>
      <c r="L120" s="55">
        <v>0.06</v>
      </c>
      <c r="M120" s="55">
        <v>0.35</v>
      </c>
      <c r="N120" s="55"/>
      <c r="O120" s="55"/>
    </row>
    <row r="121" spans="1:15" hidden="1">
      <c r="A121" s="55">
        <v>81</v>
      </c>
      <c r="B121" s="55" t="s">
        <v>1001</v>
      </c>
      <c r="C121" s="55" t="s">
        <v>20</v>
      </c>
      <c r="D121" s="22">
        <v>56</v>
      </c>
      <c r="E121" s="22">
        <v>96</v>
      </c>
      <c r="F121" s="22">
        <v>396</v>
      </c>
      <c r="G121" s="22">
        <v>210</v>
      </c>
      <c r="H121" s="55">
        <v>-41.67</v>
      </c>
      <c r="I121" s="55">
        <v>88.57</v>
      </c>
      <c r="J121" s="55">
        <v>0.3</v>
      </c>
      <c r="K121" s="55">
        <v>0.23</v>
      </c>
      <c r="L121" s="55">
        <v>0.36</v>
      </c>
      <c r="M121" s="55">
        <v>0.13</v>
      </c>
      <c r="N121" s="55"/>
      <c r="O121" s="55"/>
    </row>
    <row r="122" spans="1:15" hidden="1">
      <c r="A122" s="55">
        <v>82</v>
      </c>
      <c r="B122" s="55" t="s">
        <v>441</v>
      </c>
      <c r="C122" s="55" t="s">
        <v>20</v>
      </c>
      <c r="D122" s="22">
        <v>34</v>
      </c>
      <c r="E122" s="22">
        <v>2</v>
      </c>
      <c r="F122" s="22">
        <v>381</v>
      </c>
      <c r="G122" s="22">
        <v>174</v>
      </c>
      <c r="H122" s="55">
        <v>1600</v>
      </c>
      <c r="I122" s="55">
        <v>118.97</v>
      </c>
      <c r="J122" s="55">
        <v>0.18</v>
      </c>
      <c r="K122" s="55">
        <v>0.22</v>
      </c>
      <c r="L122" s="55">
        <v>0.01</v>
      </c>
      <c r="M122" s="55">
        <v>0.11</v>
      </c>
      <c r="N122" s="55"/>
      <c r="O122" s="55"/>
    </row>
    <row r="123" spans="1:15" hidden="1">
      <c r="A123" s="55">
        <v>83</v>
      </c>
      <c r="B123" s="55" t="s">
        <v>137</v>
      </c>
      <c r="C123" s="55" t="s">
        <v>20</v>
      </c>
      <c r="D123" s="22">
        <v>30</v>
      </c>
      <c r="E123" s="22">
        <v>187</v>
      </c>
      <c r="F123" s="22">
        <v>366</v>
      </c>
      <c r="G123" s="22">
        <v>187</v>
      </c>
      <c r="H123" s="55">
        <v>-83.96</v>
      </c>
      <c r="I123" s="55">
        <v>95.72</v>
      </c>
      <c r="J123" s="55">
        <v>0.16</v>
      </c>
      <c r="K123" s="55">
        <v>0.21</v>
      </c>
      <c r="L123" s="55">
        <v>0.71</v>
      </c>
      <c r="M123" s="55">
        <v>0.12</v>
      </c>
      <c r="N123" s="55"/>
      <c r="O123" s="55"/>
    </row>
    <row r="124" spans="1:15">
      <c r="A124" s="55">
        <v>84</v>
      </c>
      <c r="B124" s="55" t="s">
        <v>375</v>
      </c>
      <c r="C124" s="55" t="s">
        <v>19</v>
      </c>
      <c r="D124" s="22">
        <v>11</v>
      </c>
      <c r="E124" s="22">
        <v>216</v>
      </c>
      <c r="F124" s="22">
        <v>357</v>
      </c>
      <c r="G124" s="22">
        <v>756</v>
      </c>
      <c r="H124" s="55">
        <v>-94.91</v>
      </c>
      <c r="I124" s="55">
        <v>-52.78</v>
      </c>
      <c r="J124" s="55">
        <v>0.06</v>
      </c>
      <c r="K124" s="55">
        <v>0.21</v>
      </c>
      <c r="L124" s="55">
        <v>0.82</v>
      </c>
      <c r="M124" s="55">
        <v>0.47</v>
      </c>
      <c r="N124" s="55"/>
      <c r="O124" s="55"/>
    </row>
    <row r="125" spans="1:15">
      <c r="A125" s="55">
        <v>85</v>
      </c>
      <c r="B125" s="55" t="s">
        <v>431</v>
      </c>
      <c r="C125" s="55" t="s">
        <v>19</v>
      </c>
      <c r="D125" s="22">
        <v>62</v>
      </c>
      <c r="E125" s="22">
        <v>14</v>
      </c>
      <c r="F125" s="22">
        <v>354</v>
      </c>
      <c r="G125" s="22">
        <v>284</v>
      </c>
      <c r="H125" s="55">
        <v>342.86</v>
      </c>
      <c r="I125" s="55">
        <v>24.65</v>
      </c>
      <c r="J125" s="55">
        <v>0.34</v>
      </c>
      <c r="K125" s="55">
        <v>0.2</v>
      </c>
      <c r="L125" s="55">
        <v>0.05</v>
      </c>
      <c r="M125" s="55">
        <v>0.18</v>
      </c>
      <c r="N125" s="55"/>
      <c r="O125" s="55"/>
    </row>
    <row r="126" spans="1:15">
      <c r="A126" s="55">
        <v>86</v>
      </c>
      <c r="B126" s="55" t="s">
        <v>430</v>
      </c>
      <c r="C126" s="55" t="s">
        <v>19</v>
      </c>
      <c r="D126" s="22">
        <v>27</v>
      </c>
      <c r="E126" s="22">
        <v>28</v>
      </c>
      <c r="F126" s="22">
        <v>340</v>
      </c>
      <c r="G126" s="22">
        <v>690</v>
      </c>
      <c r="H126" s="55">
        <v>-3.57</v>
      </c>
      <c r="I126" s="55">
        <v>-50.72</v>
      </c>
      <c r="J126" s="55">
        <v>0.15</v>
      </c>
      <c r="K126" s="55">
        <v>0.2</v>
      </c>
      <c r="L126" s="55">
        <v>0.11</v>
      </c>
      <c r="M126" s="55">
        <v>0.43</v>
      </c>
      <c r="N126" s="55"/>
      <c r="O126" s="55"/>
    </row>
    <row r="127" spans="1:15">
      <c r="A127" s="55">
        <v>87</v>
      </c>
      <c r="B127" s="55" t="s">
        <v>172</v>
      </c>
      <c r="C127" s="55" t="s">
        <v>19</v>
      </c>
      <c r="D127" s="22">
        <v>11</v>
      </c>
      <c r="E127" s="22">
        <v>28</v>
      </c>
      <c r="F127" s="22">
        <v>310</v>
      </c>
      <c r="G127" s="22">
        <v>421</v>
      </c>
      <c r="H127" s="55">
        <v>-60.71</v>
      </c>
      <c r="I127" s="55">
        <v>-26.37</v>
      </c>
      <c r="J127" s="55">
        <v>0.06</v>
      </c>
      <c r="K127" s="55">
        <v>0.18</v>
      </c>
      <c r="L127" s="55">
        <v>0.11</v>
      </c>
      <c r="M127" s="55">
        <v>0.26</v>
      </c>
      <c r="N127" s="55"/>
      <c r="O127" s="55"/>
    </row>
    <row r="128" spans="1:15">
      <c r="A128" s="55">
        <v>88</v>
      </c>
      <c r="B128" s="55" t="s">
        <v>496</v>
      </c>
      <c r="C128" s="55" t="s">
        <v>19</v>
      </c>
      <c r="D128" s="22">
        <v>38</v>
      </c>
      <c r="E128" s="22">
        <v>23</v>
      </c>
      <c r="F128" s="22">
        <v>308</v>
      </c>
      <c r="G128" s="22">
        <v>222</v>
      </c>
      <c r="H128" s="55">
        <v>65.22</v>
      </c>
      <c r="I128" s="55">
        <v>38.74</v>
      </c>
      <c r="J128" s="55">
        <v>0.21</v>
      </c>
      <c r="K128" s="55">
        <v>0.18</v>
      </c>
      <c r="L128" s="55">
        <v>0.09</v>
      </c>
      <c r="M128" s="55">
        <v>0.14000000000000001</v>
      </c>
      <c r="N128" s="55"/>
      <c r="O128" s="55"/>
    </row>
    <row r="129" spans="1:15">
      <c r="A129" s="55">
        <v>89</v>
      </c>
      <c r="B129" s="55" t="s">
        <v>628</v>
      </c>
      <c r="C129" s="55" t="s">
        <v>19</v>
      </c>
      <c r="D129" s="22">
        <v>9</v>
      </c>
      <c r="E129" s="22">
        <v>28</v>
      </c>
      <c r="F129" s="22">
        <v>299</v>
      </c>
      <c r="G129" s="22">
        <v>297</v>
      </c>
      <c r="H129" s="55">
        <v>-67.86</v>
      </c>
      <c r="I129" s="55">
        <v>0.67</v>
      </c>
      <c r="J129" s="55">
        <v>0.05</v>
      </c>
      <c r="K129" s="55">
        <v>0.17</v>
      </c>
      <c r="L129" s="55">
        <v>0.11</v>
      </c>
      <c r="M129" s="55">
        <v>0.18</v>
      </c>
      <c r="N129" s="55"/>
      <c r="O129" s="55"/>
    </row>
    <row r="130" spans="1:15" hidden="1">
      <c r="A130" s="55">
        <v>90</v>
      </c>
      <c r="B130" s="55" t="s">
        <v>410</v>
      </c>
      <c r="C130" s="55" t="s">
        <v>20</v>
      </c>
      <c r="D130" s="22">
        <v>2</v>
      </c>
      <c r="E130" s="22">
        <v>369</v>
      </c>
      <c r="F130" s="22">
        <v>284</v>
      </c>
      <c r="G130" s="22">
        <v>1506</v>
      </c>
      <c r="H130" s="55">
        <v>-99.46</v>
      </c>
      <c r="I130" s="55">
        <v>-81.14</v>
      </c>
      <c r="J130" s="55">
        <v>0.01</v>
      </c>
      <c r="K130" s="55">
        <v>0.16</v>
      </c>
      <c r="L130" s="55">
        <v>1.39</v>
      </c>
      <c r="M130" s="55">
        <v>0.93</v>
      </c>
      <c r="N130" s="55"/>
      <c r="O130" s="55"/>
    </row>
    <row r="131" spans="1:15">
      <c r="A131" s="55">
        <v>91</v>
      </c>
      <c r="B131" s="55" t="s">
        <v>382</v>
      </c>
      <c r="C131" s="55" t="s">
        <v>19</v>
      </c>
      <c r="D131" s="22">
        <v>22</v>
      </c>
      <c r="E131" s="22">
        <v>43</v>
      </c>
      <c r="F131" s="22">
        <v>284</v>
      </c>
      <c r="G131" s="22">
        <v>250</v>
      </c>
      <c r="H131" s="55">
        <v>-48.84</v>
      </c>
      <c r="I131" s="55">
        <v>13.6</v>
      </c>
      <c r="J131" s="55">
        <v>0.12</v>
      </c>
      <c r="K131" s="55">
        <v>0.16</v>
      </c>
      <c r="L131" s="55">
        <v>0.16</v>
      </c>
      <c r="M131" s="55">
        <v>0.15</v>
      </c>
      <c r="N131" s="55"/>
      <c r="O131" s="55"/>
    </row>
    <row r="132" spans="1:15">
      <c r="A132" s="55">
        <v>92</v>
      </c>
      <c r="B132" s="55" t="s">
        <v>584</v>
      </c>
      <c r="C132" s="55" t="s">
        <v>19</v>
      </c>
      <c r="D132" s="22">
        <v>4</v>
      </c>
      <c r="E132" s="22">
        <v>7</v>
      </c>
      <c r="F132" s="22">
        <v>259</v>
      </c>
      <c r="G132" s="22">
        <v>1361</v>
      </c>
      <c r="H132" s="55">
        <v>-42.86</v>
      </c>
      <c r="I132" s="55">
        <v>-80.97</v>
      </c>
      <c r="J132" s="55">
        <v>0.02</v>
      </c>
      <c r="K132" s="55">
        <v>0.15</v>
      </c>
      <c r="L132" s="55">
        <v>0.03</v>
      </c>
      <c r="M132" s="55">
        <v>0.84</v>
      </c>
      <c r="N132" s="55"/>
      <c r="O132" s="55"/>
    </row>
    <row r="133" spans="1:15">
      <c r="A133" s="55">
        <v>93</v>
      </c>
      <c r="B133" s="55" t="s">
        <v>360</v>
      </c>
      <c r="C133" s="55" t="s">
        <v>19</v>
      </c>
      <c r="D133" s="22">
        <v>0</v>
      </c>
      <c r="E133" s="22">
        <v>26</v>
      </c>
      <c r="F133" s="22">
        <v>255</v>
      </c>
      <c r="G133" s="22">
        <v>1215</v>
      </c>
      <c r="H133" s="55">
        <v>-100</v>
      </c>
      <c r="I133" s="55">
        <v>-79.010000000000005</v>
      </c>
      <c r="J133" s="55">
        <v>0</v>
      </c>
      <c r="K133" s="55">
        <v>0.15</v>
      </c>
      <c r="L133" s="55">
        <v>0.1</v>
      </c>
      <c r="M133" s="55">
        <v>0.75</v>
      </c>
      <c r="N133" s="55"/>
      <c r="O133" s="55"/>
    </row>
    <row r="134" spans="1:15">
      <c r="A134" s="55">
        <v>94</v>
      </c>
      <c r="B134" s="55" t="s">
        <v>125</v>
      </c>
      <c r="C134" s="55" t="s">
        <v>19</v>
      </c>
      <c r="D134" s="22">
        <v>48</v>
      </c>
      <c r="E134" s="22">
        <v>3</v>
      </c>
      <c r="F134" s="22">
        <v>255</v>
      </c>
      <c r="G134" s="22">
        <v>61</v>
      </c>
      <c r="H134" s="55">
        <v>1500</v>
      </c>
      <c r="I134" s="55">
        <v>318.02999999999997</v>
      </c>
      <c r="J134" s="55">
        <v>0.26</v>
      </c>
      <c r="K134" s="55">
        <v>0.15</v>
      </c>
      <c r="L134" s="55">
        <v>0.01</v>
      </c>
      <c r="M134" s="55">
        <v>0.04</v>
      </c>
      <c r="N134" s="55"/>
      <c r="O134" s="55"/>
    </row>
    <row r="135" spans="1:15" hidden="1">
      <c r="A135" s="55">
        <v>95</v>
      </c>
      <c r="B135" s="55" t="s">
        <v>570</v>
      </c>
      <c r="C135" s="55" t="s">
        <v>20</v>
      </c>
      <c r="D135" s="22">
        <v>2</v>
      </c>
      <c r="E135" s="22">
        <v>39</v>
      </c>
      <c r="F135" s="22">
        <v>248</v>
      </c>
      <c r="G135" s="22">
        <v>603</v>
      </c>
      <c r="H135" s="55">
        <v>-94.87</v>
      </c>
      <c r="I135" s="55">
        <v>-58.87</v>
      </c>
      <c r="J135" s="55">
        <v>0.01</v>
      </c>
      <c r="K135" s="55">
        <v>0.14000000000000001</v>
      </c>
      <c r="L135" s="55">
        <v>0.15</v>
      </c>
      <c r="M135" s="55">
        <v>0.37</v>
      </c>
      <c r="N135" s="55"/>
      <c r="O135" s="55"/>
    </row>
    <row r="136" spans="1:15">
      <c r="A136" s="55">
        <v>96</v>
      </c>
      <c r="B136" s="55" t="s">
        <v>413</v>
      </c>
      <c r="C136" s="55" t="s">
        <v>19</v>
      </c>
      <c r="D136" s="22">
        <v>19</v>
      </c>
      <c r="E136" s="22">
        <v>34</v>
      </c>
      <c r="F136" s="22">
        <v>243</v>
      </c>
      <c r="G136" s="22">
        <v>473</v>
      </c>
      <c r="H136" s="55">
        <v>-44.12</v>
      </c>
      <c r="I136" s="55">
        <v>-48.63</v>
      </c>
      <c r="J136" s="55">
        <v>0.1</v>
      </c>
      <c r="K136" s="55">
        <v>0.14000000000000001</v>
      </c>
      <c r="L136" s="55">
        <v>0.13</v>
      </c>
      <c r="M136" s="55">
        <v>0.28999999999999998</v>
      </c>
      <c r="N136" s="55"/>
      <c r="O136" s="55"/>
    </row>
    <row r="137" spans="1:15">
      <c r="A137" s="55">
        <v>97</v>
      </c>
      <c r="B137" s="55" t="s">
        <v>396</v>
      </c>
      <c r="C137" s="55" t="s">
        <v>19</v>
      </c>
      <c r="D137" s="22">
        <v>0</v>
      </c>
      <c r="E137" s="22">
        <v>24</v>
      </c>
      <c r="F137" s="22">
        <v>238</v>
      </c>
      <c r="G137" s="22">
        <v>622</v>
      </c>
      <c r="H137" s="55">
        <v>-100</v>
      </c>
      <c r="I137" s="55">
        <v>-61.74</v>
      </c>
      <c r="J137" s="55">
        <v>0</v>
      </c>
      <c r="K137" s="55">
        <v>0.14000000000000001</v>
      </c>
      <c r="L137" s="55">
        <v>0.09</v>
      </c>
      <c r="M137" s="55">
        <v>0.38</v>
      </c>
      <c r="N137" s="55"/>
      <c r="O137" s="55"/>
    </row>
    <row r="138" spans="1:15" hidden="1">
      <c r="A138" s="55">
        <v>241</v>
      </c>
      <c r="B138" s="55" t="s">
        <v>436</v>
      </c>
      <c r="C138" s="55" t="s">
        <v>20</v>
      </c>
      <c r="D138" s="22">
        <v>44</v>
      </c>
      <c r="E138" s="22">
        <v>90</v>
      </c>
      <c r="F138" s="22">
        <v>234</v>
      </c>
      <c r="G138" s="22">
        <v>286</v>
      </c>
      <c r="H138" s="55">
        <v>-51.11</v>
      </c>
      <c r="I138" s="55">
        <v>-18.18</v>
      </c>
      <c r="J138" s="55">
        <v>0.24</v>
      </c>
      <c r="K138" s="55">
        <v>0.14000000000000001</v>
      </c>
      <c r="L138" s="55">
        <v>0.34</v>
      </c>
      <c r="M138" s="55">
        <v>0.18</v>
      </c>
      <c r="N138" s="55"/>
      <c r="O138" s="55"/>
    </row>
    <row r="139" spans="1:15">
      <c r="A139" s="55">
        <v>98</v>
      </c>
      <c r="B139" s="55" t="s">
        <v>491</v>
      </c>
      <c r="C139" s="55" t="s">
        <v>19</v>
      </c>
      <c r="D139" s="22">
        <v>48</v>
      </c>
      <c r="E139" s="22">
        <v>15</v>
      </c>
      <c r="F139" s="22">
        <v>229</v>
      </c>
      <c r="G139" s="22">
        <v>148</v>
      </c>
      <c r="H139" s="55">
        <v>220</v>
      </c>
      <c r="I139" s="55">
        <v>54.73</v>
      </c>
      <c r="J139" s="55">
        <v>0.26</v>
      </c>
      <c r="K139" s="55">
        <v>0.13</v>
      </c>
      <c r="L139" s="55">
        <v>0.06</v>
      </c>
      <c r="M139" s="55">
        <v>0.09</v>
      </c>
      <c r="N139" s="55"/>
      <c r="O139" s="55"/>
    </row>
    <row r="140" spans="1:15">
      <c r="A140" s="55">
        <v>99</v>
      </c>
      <c r="B140" s="55" t="s">
        <v>1035</v>
      </c>
      <c r="C140" s="55" t="s">
        <v>19</v>
      </c>
      <c r="D140" s="22">
        <v>13</v>
      </c>
      <c r="E140" s="22">
        <v>6</v>
      </c>
      <c r="F140" s="22">
        <v>227</v>
      </c>
      <c r="G140" s="22">
        <v>6</v>
      </c>
      <c r="H140" s="55">
        <v>116.67</v>
      </c>
      <c r="I140" s="55">
        <v>3683.33</v>
      </c>
      <c r="J140" s="55">
        <v>7.0000000000000007E-2</v>
      </c>
      <c r="K140" s="55">
        <v>0.13</v>
      </c>
      <c r="L140" s="55">
        <v>0.02</v>
      </c>
      <c r="M140" s="55">
        <v>0</v>
      </c>
      <c r="N140" s="55"/>
      <c r="O140" s="55"/>
    </row>
    <row r="141" spans="1:15" hidden="1">
      <c r="A141" s="55">
        <v>100</v>
      </c>
      <c r="B141" s="55" t="s">
        <v>610</v>
      </c>
      <c r="C141" s="55" t="s">
        <v>20</v>
      </c>
      <c r="D141" s="22">
        <v>50</v>
      </c>
      <c r="E141" s="22">
        <v>142</v>
      </c>
      <c r="F141" s="22">
        <v>222</v>
      </c>
      <c r="G141" s="22">
        <v>764</v>
      </c>
      <c r="H141" s="55">
        <v>-64.790000000000006</v>
      </c>
      <c r="I141" s="55">
        <v>-70.94</v>
      </c>
      <c r="J141" s="55">
        <v>0.27</v>
      </c>
      <c r="K141" s="55">
        <v>0.13</v>
      </c>
      <c r="L141" s="55">
        <v>0.54</v>
      </c>
      <c r="M141" s="55">
        <v>0.47</v>
      </c>
      <c r="N141" s="55"/>
      <c r="O141" s="55"/>
    </row>
    <row r="142" spans="1:15" hidden="1">
      <c r="A142" s="55">
        <v>101</v>
      </c>
      <c r="B142" s="55" t="s">
        <v>397</v>
      </c>
      <c r="C142" s="55" t="s">
        <v>20</v>
      </c>
      <c r="D142" s="22">
        <v>10</v>
      </c>
      <c r="E142" s="22">
        <v>90</v>
      </c>
      <c r="F142" s="22">
        <v>198</v>
      </c>
      <c r="G142" s="22">
        <v>505</v>
      </c>
      <c r="H142" s="55">
        <v>-88.89</v>
      </c>
      <c r="I142" s="55">
        <v>-60.79</v>
      </c>
      <c r="J142" s="55">
        <v>0.05</v>
      </c>
      <c r="K142" s="55">
        <v>0.11</v>
      </c>
      <c r="L142" s="55">
        <v>0.34</v>
      </c>
      <c r="M142" s="55">
        <v>0.31</v>
      </c>
      <c r="N142" s="55"/>
      <c r="O142" s="55"/>
    </row>
    <row r="143" spans="1:15" hidden="1">
      <c r="A143" s="55">
        <v>102</v>
      </c>
      <c r="B143" s="55" t="s">
        <v>432</v>
      </c>
      <c r="C143" s="55" t="s">
        <v>20</v>
      </c>
      <c r="D143" s="22">
        <v>16</v>
      </c>
      <c r="E143" s="22">
        <v>20</v>
      </c>
      <c r="F143" s="22">
        <v>195</v>
      </c>
      <c r="G143" s="22">
        <v>603</v>
      </c>
      <c r="H143" s="55">
        <v>-20</v>
      </c>
      <c r="I143" s="55">
        <v>-67.66</v>
      </c>
      <c r="J143" s="55">
        <v>0.09</v>
      </c>
      <c r="K143" s="55">
        <v>0.11</v>
      </c>
      <c r="L143" s="55">
        <v>0.08</v>
      </c>
      <c r="M143" s="55">
        <v>0.37</v>
      </c>
      <c r="N143" s="55"/>
      <c r="O143" s="55"/>
    </row>
    <row r="144" spans="1:15">
      <c r="A144" s="55">
        <v>103</v>
      </c>
      <c r="B144" s="55" t="s">
        <v>153</v>
      </c>
      <c r="C144" s="55" t="s">
        <v>19</v>
      </c>
      <c r="D144" s="22">
        <v>29</v>
      </c>
      <c r="E144" s="22">
        <v>25</v>
      </c>
      <c r="F144" s="22">
        <v>191</v>
      </c>
      <c r="G144" s="22">
        <v>431</v>
      </c>
      <c r="H144" s="55">
        <v>16</v>
      </c>
      <c r="I144" s="55">
        <v>-55.68</v>
      </c>
      <c r="J144" s="55">
        <v>0.16</v>
      </c>
      <c r="K144" s="55">
        <v>0.11</v>
      </c>
      <c r="L144" s="55">
        <v>0.09</v>
      </c>
      <c r="M144" s="55">
        <v>0.27</v>
      </c>
      <c r="N144" s="55"/>
      <c r="O144" s="55"/>
    </row>
    <row r="145" spans="1:15" hidden="1">
      <c r="A145" s="55">
        <v>104</v>
      </c>
      <c r="B145" s="55" t="s">
        <v>1244</v>
      </c>
      <c r="C145" s="55" t="s">
        <v>20</v>
      </c>
      <c r="D145" s="22">
        <v>69</v>
      </c>
      <c r="E145" s="22">
        <v>0</v>
      </c>
      <c r="F145" s="22">
        <v>190</v>
      </c>
      <c r="G145" s="22">
        <v>0</v>
      </c>
      <c r="H145" s="55">
        <v>0</v>
      </c>
      <c r="I145" s="55">
        <v>0</v>
      </c>
      <c r="J145" s="55">
        <v>0.37</v>
      </c>
      <c r="K145" s="55">
        <v>0.11</v>
      </c>
      <c r="L145" s="55">
        <v>0</v>
      </c>
      <c r="M145" s="55">
        <v>0</v>
      </c>
      <c r="N145" s="55"/>
      <c r="O145" s="55"/>
    </row>
    <row r="146" spans="1:15">
      <c r="A146" s="55">
        <v>105</v>
      </c>
      <c r="B146" s="55" t="s">
        <v>1253</v>
      </c>
      <c r="C146" s="55" t="s">
        <v>19</v>
      </c>
      <c r="D146" s="22">
        <v>153</v>
      </c>
      <c r="E146" s="22">
        <v>0</v>
      </c>
      <c r="F146" s="22">
        <v>188</v>
      </c>
      <c r="G146" s="22">
        <v>0</v>
      </c>
      <c r="H146" s="55">
        <v>0</v>
      </c>
      <c r="I146" s="55">
        <v>0</v>
      </c>
      <c r="J146" s="55">
        <v>0.83</v>
      </c>
      <c r="K146" s="55">
        <v>0.11</v>
      </c>
      <c r="L146" s="55">
        <v>0</v>
      </c>
      <c r="M146" s="55">
        <v>0</v>
      </c>
      <c r="N146" s="55"/>
      <c r="O146" s="55"/>
    </row>
    <row r="147" spans="1:15">
      <c r="A147" s="55">
        <v>106</v>
      </c>
      <c r="B147" s="55" t="s">
        <v>235</v>
      </c>
      <c r="C147" s="55" t="s">
        <v>19</v>
      </c>
      <c r="D147" s="22">
        <v>18</v>
      </c>
      <c r="E147" s="22">
        <v>13</v>
      </c>
      <c r="F147" s="22">
        <v>170</v>
      </c>
      <c r="G147" s="22">
        <v>144</v>
      </c>
      <c r="H147" s="55">
        <v>38.46</v>
      </c>
      <c r="I147" s="55">
        <v>18.059999999999999</v>
      </c>
      <c r="J147" s="55">
        <v>0.1</v>
      </c>
      <c r="K147" s="55">
        <v>0.1</v>
      </c>
      <c r="L147" s="55">
        <v>0.05</v>
      </c>
      <c r="M147" s="55">
        <v>0.09</v>
      </c>
      <c r="N147" s="55"/>
      <c r="O147" s="55"/>
    </row>
    <row r="148" spans="1:15">
      <c r="A148" s="55">
        <v>107</v>
      </c>
      <c r="B148" s="55" t="s">
        <v>490</v>
      </c>
      <c r="C148" s="55" t="s">
        <v>19</v>
      </c>
      <c r="D148" s="22">
        <v>24</v>
      </c>
      <c r="E148" s="22">
        <v>16</v>
      </c>
      <c r="F148" s="22">
        <v>164</v>
      </c>
      <c r="G148" s="22">
        <v>67</v>
      </c>
      <c r="H148" s="55">
        <v>50</v>
      </c>
      <c r="I148" s="55">
        <v>144.78</v>
      </c>
      <c r="J148" s="55">
        <v>0.13</v>
      </c>
      <c r="K148" s="55">
        <v>0.09</v>
      </c>
      <c r="L148" s="55">
        <v>0.06</v>
      </c>
      <c r="M148" s="55">
        <v>0.04</v>
      </c>
      <c r="N148" s="55"/>
      <c r="O148" s="55"/>
    </row>
    <row r="149" spans="1:15">
      <c r="A149" s="55">
        <v>108</v>
      </c>
      <c r="B149" s="55" t="s">
        <v>1087</v>
      </c>
      <c r="C149" s="55" t="s">
        <v>19</v>
      </c>
      <c r="D149" s="22">
        <v>11</v>
      </c>
      <c r="E149" s="22">
        <v>0</v>
      </c>
      <c r="F149" s="22">
        <v>151</v>
      </c>
      <c r="G149" s="22">
        <v>0</v>
      </c>
      <c r="H149" s="55">
        <v>0</v>
      </c>
      <c r="I149" s="55">
        <v>0</v>
      </c>
      <c r="J149" s="55">
        <v>0.06</v>
      </c>
      <c r="K149" s="55">
        <v>0.09</v>
      </c>
      <c r="L149" s="55">
        <v>0</v>
      </c>
      <c r="M149" s="55">
        <v>0</v>
      </c>
      <c r="N149" s="55"/>
      <c r="O149" s="55"/>
    </row>
    <row r="150" spans="1:15" hidden="1">
      <c r="A150" s="55">
        <v>109</v>
      </c>
      <c r="B150" s="55" t="s">
        <v>79</v>
      </c>
      <c r="C150" s="55" t="s">
        <v>20</v>
      </c>
      <c r="D150" s="22">
        <v>4</v>
      </c>
      <c r="E150" s="22">
        <v>80</v>
      </c>
      <c r="F150" s="22">
        <v>150</v>
      </c>
      <c r="G150" s="22">
        <v>636</v>
      </c>
      <c r="H150" s="55">
        <v>-95</v>
      </c>
      <c r="I150" s="55">
        <v>-76.42</v>
      </c>
      <c r="J150" s="55">
        <v>0.02</v>
      </c>
      <c r="K150" s="55">
        <v>0.09</v>
      </c>
      <c r="L150" s="55">
        <v>0.3</v>
      </c>
      <c r="M150" s="55">
        <v>0.39</v>
      </c>
      <c r="N150" s="55"/>
      <c r="O150" s="55"/>
    </row>
    <row r="151" spans="1:15" hidden="1">
      <c r="A151" s="55">
        <v>110</v>
      </c>
      <c r="B151" s="55" t="s">
        <v>706</v>
      </c>
      <c r="C151" s="55" t="s">
        <v>20</v>
      </c>
      <c r="D151" s="22">
        <v>3</v>
      </c>
      <c r="E151" s="22">
        <v>14</v>
      </c>
      <c r="F151" s="22">
        <v>150</v>
      </c>
      <c r="G151" s="22">
        <v>98</v>
      </c>
      <c r="H151" s="55">
        <v>-78.569999999999993</v>
      </c>
      <c r="I151" s="55">
        <v>53.06</v>
      </c>
      <c r="J151" s="55">
        <v>0.02</v>
      </c>
      <c r="K151" s="55">
        <v>0.09</v>
      </c>
      <c r="L151" s="55">
        <v>0.05</v>
      </c>
      <c r="M151" s="55">
        <v>0.06</v>
      </c>
      <c r="N151" s="55"/>
      <c r="O151" s="55"/>
    </row>
    <row r="152" spans="1:15">
      <c r="A152" s="55">
        <v>111</v>
      </c>
      <c r="B152" s="55" t="s">
        <v>987</v>
      </c>
      <c r="C152" s="55" t="s">
        <v>19</v>
      </c>
      <c r="D152" s="22">
        <v>3</v>
      </c>
      <c r="E152" s="22">
        <v>11</v>
      </c>
      <c r="F152" s="22">
        <v>150</v>
      </c>
      <c r="G152" s="22">
        <v>51</v>
      </c>
      <c r="H152" s="55">
        <v>-72.73</v>
      </c>
      <c r="I152" s="55">
        <v>194.12</v>
      </c>
      <c r="J152" s="55">
        <v>0.02</v>
      </c>
      <c r="K152" s="55">
        <v>0.09</v>
      </c>
      <c r="L152" s="55">
        <v>0.04</v>
      </c>
      <c r="M152" s="55">
        <v>0.03</v>
      </c>
      <c r="N152" s="55"/>
      <c r="O152" s="55"/>
    </row>
    <row r="153" spans="1:15" hidden="1">
      <c r="A153" s="55">
        <v>112</v>
      </c>
      <c r="B153" s="55" t="s">
        <v>1130</v>
      </c>
      <c r="C153" s="55" t="s">
        <v>20</v>
      </c>
      <c r="D153" s="22">
        <v>12</v>
      </c>
      <c r="E153" s="22">
        <v>0</v>
      </c>
      <c r="F153" s="22">
        <v>146</v>
      </c>
      <c r="G153" s="22">
        <v>0</v>
      </c>
      <c r="H153" s="62">
        <v>0</v>
      </c>
      <c r="I153" s="62">
        <v>0</v>
      </c>
      <c r="J153" s="55">
        <v>0.06</v>
      </c>
      <c r="K153" s="55">
        <v>0.08</v>
      </c>
      <c r="L153" s="55">
        <v>0</v>
      </c>
      <c r="M153" s="55">
        <v>0</v>
      </c>
      <c r="N153" s="55"/>
      <c r="O153" s="55"/>
    </row>
    <row r="154" spans="1:15">
      <c r="A154" s="55">
        <v>113</v>
      </c>
      <c r="B154" s="55" t="s">
        <v>1277</v>
      </c>
      <c r="C154" s="55" t="s">
        <v>19</v>
      </c>
      <c r="D154" s="22">
        <v>0</v>
      </c>
      <c r="E154" s="22">
        <v>0</v>
      </c>
      <c r="F154" s="22">
        <v>140</v>
      </c>
      <c r="G154" s="22">
        <v>0</v>
      </c>
      <c r="H154" s="55">
        <v>0</v>
      </c>
      <c r="I154" s="55">
        <v>0</v>
      </c>
      <c r="J154" s="55">
        <v>0</v>
      </c>
      <c r="K154" s="55">
        <v>0.08</v>
      </c>
      <c r="L154" s="55">
        <v>0</v>
      </c>
      <c r="M154" s="55">
        <v>0</v>
      </c>
      <c r="N154" s="55"/>
      <c r="O154" s="55"/>
    </row>
    <row r="155" spans="1:15">
      <c r="A155" s="55">
        <v>114</v>
      </c>
      <c r="B155" s="55" t="s">
        <v>1052</v>
      </c>
      <c r="C155" s="55" t="s">
        <v>19</v>
      </c>
      <c r="D155" s="22">
        <v>20</v>
      </c>
      <c r="E155" s="22">
        <v>0</v>
      </c>
      <c r="F155" s="22">
        <v>137</v>
      </c>
      <c r="G155" s="22">
        <v>0</v>
      </c>
      <c r="H155" s="55">
        <v>0</v>
      </c>
      <c r="I155" s="55">
        <v>0</v>
      </c>
      <c r="J155" s="55">
        <v>0.11</v>
      </c>
      <c r="K155" s="55">
        <v>0.08</v>
      </c>
      <c r="L155" s="55">
        <v>0</v>
      </c>
      <c r="M155" s="55">
        <v>0</v>
      </c>
      <c r="N155" s="55"/>
      <c r="O155" s="55"/>
    </row>
    <row r="156" spans="1:15">
      <c r="A156" s="55">
        <v>115</v>
      </c>
      <c r="B156" s="55" t="s">
        <v>147</v>
      </c>
      <c r="C156" s="55" t="s">
        <v>19</v>
      </c>
      <c r="D156" s="22">
        <v>0</v>
      </c>
      <c r="E156" s="22">
        <v>11</v>
      </c>
      <c r="F156" s="22">
        <v>136</v>
      </c>
      <c r="G156" s="22">
        <v>253</v>
      </c>
      <c r="H156" s="55">
        <v>-100</v>
      </c>
      <c r="I156" s="55">
        <v>-46.25</v>
      </c>
      <c r="J156" s="55">
        <v>0</v>
      </c>
      <c r="K156" s="55">
        <v>0.08</v>
      </c>
      <c r="L156" s="55">
        <v>0.04</v>
      </c>
      <c r="M156" s="55">
        <v>0.16</v>
      </c>
      <c r="N156" s="55"/>
      <c r="O156" s="55"/>
    </row>
    <row r="157" spans="1:15">
      <c r="A157" s="55">
        <v>116</v>
      </c>
      <c r="B157" s="55" t="s">
        <v>70</v>
      </c>
      <c r="C157" s="55" t="s">
        <v>19</v>
      </c>
      <c r="D157" s="22">
        <v>4</v>
      </c>
      <c r="E157" s="22">
        <v>32</v>
      </c>
      <c r="F157" s="22">
        <v>130</v>
      </c>
      <c r="G157" s="22">
        <v>983</v>
      </c>
      <c r="H157" s="55">
        <v>-87.5</v>
      </c>
      <c r="I157" s="55">
        <v>-86.78</v>
      </c>
      <c r="J157" s="55">
        <v>0.02</v>
      </c>
      <c r="K157" s="55">
        <v>0.08</v>
      </c>
      <c r="L157" s="55">
        <v>0.12</v>
      </c>
      <c r="M157" s="55">
        <v>0.61</v>
      </c>
      <c r="N157" s="55"/>
      <c r="O157" s="55"/>
    </row>
    <row r="158" spans="1:15">
      <c r="A158" s="55">
        <v>117</v>
      </c>
      <c r="B158" s="55" t="s">
        <v>593</v>
      </c>
      <c r="C158" s="55" t="s">
        <v>19</v>
      </c>
      <c r="D158" s="22">
        <v>16</v>
      </c>
      <c r="E158" s="22">
        <v>1</v>
      </c>
      <c r="F158" s="22">
        <v>130</v>
      </c>
      <c r="G158" s="22">
        <v>167</v>
      </c>
      <c r="H158" s="55">
        <v>1500</v>
      </c>
      <c r="I158" s="55">
        <v>-22.16</v>
      </c>
      <c r="J158" s="55">
        <v>0.09</v>
      </c>
      <c r="K158" s="55">
        <v>0.08</v>
      </c>
      <c r="L158" s="55">
        <v>0</v>
      </c>
      <c r="M158" s="55">
        <v>0.1</v>
      </c>
      <c r="N158" s="55"/>
      <c r="O158" s="55"/>
    </row>
    <row r="159" spans="1:15">
      <c r="A159" s="55">
        <v>118</v>
      </c>
      <c r="B159" s="55" t="s">
        <v>238</v>
      </c>
      <c r="C159" s="55" t="s">
        <v>19</v>
      </c>
      <c r="D159" s="22">
        <v>18</v>
      </c>
      <c r="E159" s="22">
        <v>5</v>
      </c>
      <c r="F159" s="22">
        <v>129</v>
      </c>
      <c r="G159" s="22">
        <v>41</v>
      </c>
      <c r="H159" s="55">
        <v>260</v>
      </c>
      <c r="I159" s="55">
        <v>214.63</v>
      </c>
      <c r="J159" s="55">
        <v>0.1</v>
      </c>
      <c r="K159" s="55">
        <v>7.0000000000000007E-2</v>
      </c>
      <c r="L159" s="55">
        <v>0.02</v>
      </c>
      <c r="M159" s="55">
        <v>0.03</v>
      </c>
      <c r="N159" s="55"/>
      <c r="O159" s="55"/>
    </row>
    <row r="160" spans="1:15">
      <c r="A160" s="55">
        <v>119</v>
      </c>
      <c r="B160" s="55" t="s">
        <v>1032</v>
      </c>
      <c r="C160" s="55" t="s">
        <v>19</v>
      </c>
      <c r="D160" s="22">
        <v>4</v>
      </c>
      <c r="E160" s="22">
        <v>1</v>
      </c>
      <c r="F160" s="22">
        <v>128</v>
      </c>
      <c r="G160" s="22">
        <v>1</v>
      </c>
      <c r="H160" s="55">
        <v>300</v>
      </c>
      <c r="I160" s="55">
        <v>12700</v>
      </c>
      <c r="J160" s="55">
        <v>0.02</v>
      </c>
      <c r="K160" s="55">
        <v>7.0000000000000007E-2</v>
      </c>
      <c r="L160" s="55">
        <v>0</v>
      </c>
      <c r="M160" s="55">
        <v>0</v>
      </c>
      <c r="N160" s="55"/>
      <c r="O160" s="55"/>
    </row>
    <row r="161" spans="1:15" hidden="1">
      <c r="A161" s="55">
        <v>120</v>
      </c>
      <c r="B161" s="55" t="s">
        <v>1278</v>
      </c>
      <c r="C161" s="55" t="s">
        <v>20</v>
      </c>
      <c r="D161" s="22">
        <v>36</v>
      </c>
      <c r="E161" s="22">
        <v>0</v>
      </c>
      <c r="F161" s="22">
        <v>128</v>
      </c>
      <c r="G161" s="22">
        <v>0</v>
      </c>
      <c r="H161" s="55">
        <v>0</v>
      </c>
      <c r="I161" s="55">
        <v>0</v>
      </c>
      <c r="J161" s="55">
        <v>0.19</v>
      </c>
      <c r="K161" s="55">
        <v>7.0000000000000007E-2</v>
      </c>
      <c r="L161" s="55">
        <v>0</v>
      </c>
      <c r="M161" s="55">
        <v>0</v>
      </c>
      <c r="N161" s="55"/>
      <c r="O161" s="55"/>
    </row>
    <row r="162" spans="1:15">
      <c r="A162" s="55">
        <v>121</v>
      </c>
      <c r="B162" s="55" t="s">
        <v>409</v>
      </c>
      <c r="C162" s="55" t="s">
        <v>19</v>
      </c>
      <c r="D162" s="22">
        <v>7</v>
      </c>
      <c r="E162" s="22">
        <v>27</v>
      </c>
      <c r="F162" s="22">
        <v>126</v>
      </c>
      <c r="G162" s="22">
        <v>536</v>
      </c>
      <c r="H162" s="55">
        <v>-74.069999999999993</v>
      </c>
      <c r="I162" s="55">
        <v>-76.489999999999995</v>
      </c>
      <c r="J162" s="55">
        <v>0.04</v>
      </c>
      <c r="K162" s="55">
        <v>7.0000000000000007E-2</v>
      </c>
      <c r="L162" s="55">
        <v>0.1</v>
      </c>
      <c r="M162" s="55">
        <v>0.33</v>
      </c>
      <c r="N162" s="55"/>
      <c r="O162" s="55"/>
    </row>
    <row r="163" spans="1:15" hidden="1">
      <c r="A163" s="55">
        <v>122</v>
      </c>
      <c r="B163" s="55" t="s">
        <v>981</v>
      </c>
      <c r="C163" s="55" t="s">
        <v>20</v>
      </c>
      <c r="D163" s="22">
        <v>8</v>
      </c>
      <c r="E163" s="22">
        <v>13</v>
      </c>
      <c r="F163" s="22">
        <v>119</v>
      </c>
      <c r="G163" s="22">
        <v>44</v>
      </c>
      <c r="H163" s="55">
        <v>-38.46</v>
      </c>
      <c r="I163" s="55">
        <v>170.45</v>
      </c>
      <c r="J163" s="55">
        <v>0.04</v>
      </c>
      <c r="K163" s="55">
        <v>7.0000000000000007E-2</v>
      </c>
      <c r="L163" s="55">
        <v>0.05</v>
      </c>
      <c r="M163" s="55">
        <v>0.03</v>
      </c>
      <c r="N163" s="55"/>
      <c r="O163" s="55"/>
    </row>
    <row r="164" spans="1:15">
      <c r="A164" s="55">
        <v>123</v>
      </c>
      <c r="B164" s="55" t="s">
        <v>412</v>
      </c>
      <c r="C164" s="55" t="s">
        <v>19</v>
      </c>
      <c r="D164" s="22">
        <v>4</v>
      </c>
      <c r="E164" s="22">
        <v>8</v>
      </c>
      <c r="F164" s="22">
        <v>118</v>
      </c>
      <c r="G164" s="22">
        <v>238</v>
      </c>
      <c r="H164" s="55">
        <v>-50</v>
      </c>
      <c r="I164" s="55">
        <v>-50.42</v>
      </c>
      <c r="J164" s="55">
        <v>0.02</v>
      </c>
      <c r="K164" s="55">
        <v>7.0000000000000007E-2</v>
      </c>
      <c r="L164" s="55">
        <v>0.03</v>
      </c>
      <c r="M164" s="55">
        <v>0.15</v>
      </c>
      <c r="N164" s="55"/>
      <c r="O164" s="55"/>
    </row>
    <row r="165" spans="1:15" hidden="1">
      <c r="A165" s="55">
        <v>124</v>
      </c>
      <c r="B165" s="55" t="s">
        <v>1300</v>
      </c>
      <c r="C165" s="55" t="s">
        <v>20</v>
      </c>
      <c r="D165" s="22">
        <v>44</v>
      </c>
      <c r="E165" s="22">
        <v>0</v>
      </c>
      <c r="F165" s="22">
        <v>116</v>
      </c>
      <c r="G165" s="22">
        <v>0</v>
      </c>
      <c r="H165" s="55">
        <v>0</v>
      </c>
      <c r="I165" s="55">
        <v>0</v>
      </c>
      <c r="J165" s="55">
        <v>0.24</v>
      </c>
      <c r="K165" s="55">
        <v>7.0000000000000007E-2</v>
      </c>
      <c r="L165" s="55">
        <v>0</v>
      </c>
      <c r="M165" s="55">
        <v>0</v>
      </c>
      <c r="N165" s="55"/>
      <c r="O165" s="55"/>
    </row>
    <row r="166" spans="1:15" hidden="1">
      <c r="A166" s="55">
        <v>125</v>
      </c>
      <c r="B166" s="55" t="s">
        <v>1053</v>
      </c>
      <c r="C166" s="55" t="s">
        <v>20</v>
      </c>
      <c r="D166" s="22">
        <v>2</v>
      </c>
      <c r="E166" s="22">
        <v>0</v>
      </c>
      <c r="F166" s="22">
        <v>112</v>
      </c>
      <c r="G166" s="22">
        <v>0</v>
      </c>
      <c r="H166" s="55">
        <v>0</v>
      </c>
      <c r="I166" s="55">
        <v>0</v>
      </c>
      <c r="J166" s="55">
        <v>0.01</v>
      </c>
      <c r="K166" s="55">
        <v>0.06</v>
      </c>
      <c r="L166" s="55">
        <v>0</v>
      </c>
      <c r="M166" s="55">
        <v>0</v>
      </c>
      <c r="N166" s="55"/>
      <c r="O166" s="55"/>
    </row>
    <row r="167" spans="1:15">
      <c r="A167" s="55">
        <v>126</v>
      </c>
      <c r="B167" s="55" t="s">
        <v>1145</v>
      </c>
      <c r="C167" s="55" t="s">
        <v>19</v>
      </c>
      <c r="D167" s="22">
        <v>5</v>
      </c>
      <c r="E167" s="22">
        <v>0</v>
      </c>
      <c r="F167" s="22">
        <v>111</v>
      </c>
      <c r="G167" s="22">
        <v>0</v>
      </c>
      <c r="H167" s="55">
        <v>0</v>
      </c>
      <c r="I167" s="55">
        <v>0</v>
      </c>
      <c r="J167" s="55">
        <v>0.03</v>
      </c>
      <c r="K167" s="55">
        <v>0.06</v>
      </c>
      <c r="L167" s="55">
        <v>0</v>
      </c>
      <c r="M167" s="55">
        <v>0</v>
      </c>
      <c r="N167" s="55"/>
      <c r="O167" s="55"/>
    </row>
    <row r="168" spans="1:15" hidden="1">
      <c r="A168" s="55">
        <v>127</v>
      </c>
      <c r="B168" s="55" t="s">
        <v>659</v>
      </c>
      <c r="C168" s="55" t="s">
        <v>20</v>
      </c>
      <c r="D168" s="22">
        <v>9</v>
      </c>
      <c r="E168" s="22">
        <v>7</v>
      </c>
      <c r="F168" s="22">
        <v>101</v>
      </c>
      <c r="G168" s="22">
        <v>263</v>
      </c>
      <c r="H168" s="55">
        <v>28.57</v>
      </c>
      <c r="I168" s="55">
        <v>-61.6</v>
      </c>
      <c r="J168" s="55">
        <v>0.05</v>
      </c>
      <c r="K168" s="55">
        <v>0.06</v>
      </c>
      <c r="L168" s="55">
        <v>0.03</v>
      </c>
      <c r="M168" s="55">
        <v>0.16</v>
      </c>
      <c r="N168" s="55"/>
      <c r="O168" s="55"/>
    </row>
    <row r="169" spans="1:15">
      <c r="A169" s="55">
        <v>128</v>
      </c>
      <c r="B169" s="55" t="s">
        <v>595</v>
      </c>
      <c r="C169" s="55" t="s">
        <v>19</v>
      </c>
      <c r="D169" s="22">
        <v>5</v>
      </c>
      <c r="E169" s="22">
        <v>8</v>
      </c>
      <c r="F169" s="22">
        <v>99</v>
      </c>
      <c r="G169" s="22">
        <v>80</v>
      </c>
      <c r="H169" s="55">
        <v>-37.5</v>
      </c>
      <c r="I169" s="55">
        <v>23.75</v>
      </c>
      <c r="J169" s="55">
        <v>0.03</v>
      </c>
      <c r="K169" s="55">
        <v>0.06</v>
      </c>
      <c r="L169" s="55">
        <v>0.03</v>
      </c>
      <c r="M169" s="55">
        <v>0.05</v>
      </c>
      <c r="N169" s="55"/>
      <c r="O169" s="55"/>
    </row>
    <row r="170" spans="1:15">
      <c r="A170" s="55">
        <v>129</v>
      </c>
      <c r="B170" s="55" t="s">
        <v>417</v>
      </c>
      <c r="C170" s="55" t="s">
        <v>19</v>
      </c>
      <c r="D170" s="22">
        <v>21</v>
      </c>
      <c r="E170" s="22">
        <v>6</v>
      </c>
      <c r="F170" s="22">
        <v>98</v>
      </c>
      <c r="G170" s="22">
        <v>65</v>
      </c>
      <c r="H170" s="55">
        <v>250</v>
      </c>
      <c r="I170" s="55">
        <v>50.77</v>
      </c>
      <c r="J170" s="55">
        <v>0.11</v>
      </c>
      <c r="K170" s="55">
        <v>0.06</v>
      </c>
      <c r="L170" s="55">
        <v>0.02</v>
      </c>
      <c r="M170" s="55">
        <v>0.04</v>
      </c>
      <c r="N170" s="55"/>
      <c r="O170" s="55"/>
    </row>
    <row r="171" spans="1:15" hidden="1">
      <c r="A171" s="55">
        <v>130</v>
      </c>
      <c r="B171" s="55" t="s">
        <v>1056</v>
      </c>
      <c r="C171" s="55" t="s">
        <v>20</v>
      </c>
      <c r="D171" s="22">
        <v>2</v>
      </c>
      <c r="E171" s="22">
        <v>0</v>
      </c>
      <c r="F171" s="22">
        <v>98</v>
      </c>
      <c r="G171" s="22">
        <v>0</v>
      </c>
      <c r="H171" s="55">
        <v>0</v>
      </c>
      <c r="I171" s="55">
        <v>0</v>
      </c>
      <c r="J171" s="55">
        <v>0.01</v>
      </c>
      <c r="K171" s="55">
        <v>0.06</v>
      </c>
      <c r="L171" s="55">
        <v>0</v>
      </c>
      <c r="M171" s="55">
        <v>0</v>
      </c>
      <c r="N171" s="55"/>
      <c r="O171" s="55"/>
    </row>
    <row r="172" spans="1:15" hidden="1">
      <c r="A172" s="55">
        <v>131</v>
      </c>
      <c r="B172" s="55" t="s">
        <v>1088</v>
      </c>
      <c r="C172" s="55" t="s">
        <v>20</v>
      </c>
      <c r="D172" s="22">
        <v>10</v>
      </c>
      <c r="E172" s="22">
        <v>3</v>
      </c>
      <c r="F172" s="22">
        <v>92</v>
      </c>
      <c r="G172" s="22">
        <v>50</v>
      </c>
      <c r="H172" s="55">
        <v>233.33</v>
      </c>
      <c r="I172" s="55">
        <v>84</v>
      </c>
      <c r="J172" s="55">
        <v>0.05</v>
      </c>
      <c r="K172" s="55">
        <v>0.05</v>
      </c>
      <c r="L172" s="55">
        <v>0.01</v>
      </c>
      <c r="M172" s="55">
        <v>0.03</v>
      </c>
      <c r="N172" s="55"/>
      <c r="O172" s="55"/>
    </row>
    <row r="173" spans="1:15">
      <c r="A173" s="55">
        <v>132</v>
      </c>
      <c r="B173" s="55" t="s">
        <v>353</v>
      </c>
      <c r="C173" s="55" t="s">
        <v>19</v>
      </c>
      <c r="D173" s="22">
        <v>29</v>
      </c>
      <c r="E173" s="22">
        <v>0</v>
      </c>
      <c r="F173" s="22">
        <v>90</v>
      </c>
      <c r="G173" s="22">
        <v>18</v>
      </c>
      <c r="H173" s="55">
        <v>0</v>
      </c>
      <c r="I173" s="55">
        <v>400</v>
      </c>
      <c r="J173" s="55">
        <v>0.16</v>
      </c>
      <c r="K173" s="55">
        <v>0.05</v>
      </c>
      <c r="L173" s="55">
        <v>0</v>
      </c>
      <c r="M173" s="55">
        <v>0.01</v>
      </c>
      <c r="N173" s="55"/>
      <c r="O173" s="55"/>
    </row>
    <row r="174" spans="1:15">
      <c r="A174" s="55">
        <v>133</v>
      </c>
      <c r="B174" s="55" t="s">
        <v>418</v>
      </c>
      <c r="C174" s="55" t="s">
        <v>19</v>
      </c>
      <c r="D174" s="22">
        <v>2</v>
      </c>
      <c r="E174" s="22">
        <v>1</v>
      </c>
      <c r="F174" s="22">
        <v>88</v>
      </c>
      <c r="G174" s="22">
        <v>220</v>
      </c>
      <c r="H174" s="55">
        <v>100</v>
      </c>
      <c r="I174" s="55">
        <v>-60</v>
      </c>
      <c r="J174" s="55">
        <v>0.01</v>
      </c>
      <c r="K174" s="55">
        <v>0.05</v>
      </c>
      <c r="L174" s="55">
        <v>0</v>
      </c>
      <c r="M174" s="55">
        <v>0.14000000000000001</v>
      </c>
      <c r="N174" s="55"/>
      <c r="O174" s="55"/>
    </row>
    <row r="175" spans="1:15" hidden="1">
      <c r="A175" s="55">
        <v>134</v>
      </c>
      <c r="B175" s="55" t="s">
        <v>652</v>
      </c>
      <c r="C175" s="55" t="s">
        <v>20</v>
      </c>
      <c r="D175" s="22">
        <v>6</v>
      </c>
      <c r="E175" s="22">
        <v>56</v>
      </c>
      <c r="F175" s="22">
        <v>88</v>
      </c>
      <c r="G175" s="22">
        <v>175</v>
      </c>
      <c r="H175" s="55">
        <v>-89.29</v>
      </c>
      <c r="I175" s="55">
        <v>-49.71</v>
      </c>
      <c r="J175" s="55">
        <v>0.03</v>
      </c>
      <c r="K175" s="55">
        <v>0.05</v>
      </c>
      <c r="L175" s="55">
        <v>0.21</v>
      </c>
      <c r="M175" s="55">
        <v>0.11</v>
      </c>
      <c r="N175" s="55"/>
      <c r="O175" s="55"/>
    </row>
    <row r="176" spans="1:15">
      <c r="A176" s="55">
        <v>135</v>
      </c>
      <c r="B176" s="55" t="s">
        <v>428</v>
      </c>
      <c r="C176" s="55" t="s">
        <v>19</v>
      </c>
      <c r="D176" s="22">
        <v>14</v>
      </c>
      <c r="E176" s="22">
        <v>10</v>
      </c>
      <c r="F176" s="22">
        <v>88</v>
      </c>
      <c r="G176" s="22">
        <v>103</v>
      </c>
      <c r="H176" s="62">
        <v>40</v>
      </c>
      <c r="I176" s="62">
        <v>-14.56</v>
      </c>
      <c r="J176" s="55">
        <v>0.08</v>
      </c>
      <c r="K176" s="55">
        <v>0.05</v>
      </c>
      <c r="L176" s="55">
        <v>0.04</v>
      </c>
      <c r="M176" s="55">
        <v>0.06</v>
      </c>
      <c r="N176" s="55"/>
      <c r="O176" s="55"/>
    </row>
    <row r="177" spans="1:15">
      <c r="A177" s="55">
        <v>136</v>
      </c>
      <c r="B177" s="55" t="s">
        <v>489</v>
      </c>
      <c r="C177" s="55" t="s">
        <v>19</v>
      </c>
      <c r="D177" s="22">
        <v>24</v>
      </c>
      <c r="E177" s="22">
        <v>3</v>
      </c>
      <c r="F177" s="22">
        <v>88</v>
      </c>
      <c r="G177" s="22">
        <v>34</v>
      </c>
      <c r="H177" s="55">
        <v>700</v>
      </c>
      <c r="I177" s="55">
        <v>158.82</v>
      </c>
      <c r="J177" s="55">
        <v>0.13</v>
      </c>
      <c r="K177" s="55">
        <v>0.05</v>
      </c>
      <c r="L177" s="55">
        <v>0.01</v>
      </c>
      <c r="M177" s="55">
        <v>0.02</v>
      </c>
      <c r="N177" s="55"/>
      <c r="O177" s="55"/>
    </row>
    <row r="178" spans="1:15" hidden="1">
      <c r="A178" s="55">
        <v>137</v>
      </c>
      <c r="B178" s="55" t="s">
        <v>637</v>
      </c>
      <c r="C178" s="55" t="s">
        <v>20</v>
      </c>
      <c r="D178" s="22">
        <v>0</v>
      </c>
      <c r="E178" s="22">
        <v>707</v>
      </c>
      <c r="F178" s="22">
        <v>87</v>
      </c>
      <c r="G178" s="22">
        <v>2330</v>
      </c>
      <c r="H178" s="55">
        <v>-100</v>
      </c>
      <c r="I178" s="55">
        <v>-96.27</v>
      </c>
      <c r="J178" s="55">
        <v>0</v>
      </c>
      <c r="K178" s="55">
        <v>0.05</v>
      </c>
      <c r="L178" s="55">
        <v>2.67</v>
      </c>
      <c r="M178" s="55">
        <v>1.44</v>
      </c>
      <c r="N178" s="55"/>
      <c r="O178" s="55"/>
    </row>
    <row r="179" spans="1:15">
      <c r="A179" s="55">
        <v>138</v>
      </c>
      <c r="B179" s="55" t="s">
        <v>645</v>
      </c>
      <c r="C179" s="55" t="s">
        <v>19</v>
      </c>
      <c r="D179" s="22">
        <v>2</v>
      </c>
      <c r="E179" s="22">
        <v>26</v>
      </c>
      <c r="F179" s="22">
        <v>87</v>
      </c>
      <c r="G179" s="22">
        <v>142</v>
      </c>
      <c r="H179" s="62">
        <v>-92.31</v>
      </c>
      <c r="I179" s="62">
        <v>-38.729999999999997</v>
      </c>
      <c r="J179" s="55">
        <v>0.01</v>
      </c>
      <c r="K179" s="55">
        <v>0.05</v>
      </c>
      <c r="L179" s="55">
        <v>0.1</v>
      </c>
      <c r="M179" s="55">
        <v>0.09</v>
      </c>
      <c r="N179" s="55"/>
      <c r="O179" s="55"/>
    </row>
    <row r="180" spans="1:15" hidden="1">
      <c r="A180" s="55">
        <v>139</v>
      </c>
      <c r="B180" s="55" t="s">
        <v>1075</v>
      </c>
      <c r="C180" s="55" t="s">
        <v>20</v>
      </c>
      <c r="D180" s="22">
        <v>11</v>
      </c>
      <c r="E180" s="22">
        <v>0</v>
      </c>
      <c r="F180" s="22">
        <v>86</v>
      </c>
      <c r="G180" s="22">
        <v>0</v>
      </c>
      <c r="H180" s="55">
        <v>0</v>
      </c>
      <c r="I180" s="55">
        <v>0</v>
      </c>
      <c r="J180" s="55">
        <v>0.06</v>
      </c>
      <c r="K180" s="55">
        <v>0.05</v>
      </c>
      <c r="L180" s="55">
        <v>0</v>
      </c>
      <c r="M180" s="55">
        <v>0</v>
      </c>
      <c r="N180" s="55"/>
      <c r="O180" s="55"/>
    </row>
    <row r="181" spans="1:15" hidden="1">
      <c r="A181" s="55">
        <v>140</v>
      </c>
      <c r="B181" s="55" t="s">
        <v>437</v>
      </c>
      <c r="C181" s="55" t="s">
        <v>20</v>
      </c>
      <c r="D181" s="22">
        <v>17</v>
      </c>
      <c r="E181" s="22">
        <v>10</v>
      </c>
      <c r="F181" s="22">
        <v>84</v>
      </c>
      <c r="G181" s="22">
        <v>33</v>
      </c>
      <c r="H181" s="55">
        <v>70</v>
      </c>
      <c r="I181" s="55">
        <v>154.55000000000001</v>
      </c>
      <c r="J181" s="55">
        <v>0.09</v>
      </c>
      <c r="K181" s="55">
        <v>0.05</v>
      </c>
      <c r="L181" s="55">
        <v>0.04</v>
      </c>
      <c r="M181" s="55">
        <v>0.02</v>
      </c>
      <c r="N181" s="55"/>
      <c r="O181" s="55"/>
    </row>
    <row r="182" spans="1:15">
      <c r="A182" s="55">
        <v>141</v>
      </c>
      <c r="B182" s="55" t="s">
        <v>435</v>
      </c>
      <c r="C182" s="55" t="s">
        <v>19</v>
      </c>
      <c r="D182" s="22">
        <v>4</v>
      </c>
      <c r="E182" s="22">
        <v>0</v>
      </c>
      <c r="F182" s="22">
        <v>82</v>
      </c>
      <c r="G182" s="22">
        <v>23</v>
      </c>
      <c r="H182" s="55">
        <v>0</v>
      </c>
      <c r="I182" s="55">
        <v>256.52</v>
      </c>
      <c r="J182" s="55">
        <v>0.02</v>
      </c>
      <c r="K182" s="55">
        <v>0.05</v>
      </c>
      <c r="L182" s="55">
        <v>0</v>
      </c>
      <c r="M182" s="55">
        <v>0.01</v>
      </c>
      <c r="N182" s="55"/>
      <c r="O182" s="55"/>
    </row>
    <row r="183" spans="1:15" hidden="1">
      <c r="A183" s="55">
        <v>142</v>
      </c>
      <c r="B183" s="55" t="s">
        <v>1316</v>
      </c>
      <c r="C183" s="55" t="s">
        <v>20</v>
      </c>
      <c r="D183" s="22">
        <v>81</v>
      </c>
      <c r="E183" s="22">
        <v>0</v>
      </c>
      <c r="F183" s="22">
        <v>81</v>
      </c>
      <c r="G183" s="22">
        <v>0</v>
      </c>
      <c r="H183" s="55">
        <v>0</v>
      </c>
      <c r="I183" s="55">
        <v>0</v>
      </c>
      <c r="J183" s="55">
        <v>0.44</v>
      </c>
      <c r="K183" s="55">
        <v>0.05</v>
      </c>
      <c r="L183" s="55">
        <v>0</v>
      </c>
      <c r="M183" s="55">
        <v>0</v>
      </c>
      <c r="N183" s="55"/>
      <c r="O183" s="55"/>
    </row>
    <row r="184" spans="1:15">
      <c r="A184" s="55">
        <v>143</v>
      </c>
      <c r="B184" s="55" t="s">
        <v>1074</v>
      </c>
      <c r="C184" s="55" t="s">
        <v>19</v>
      </c>
      <c r="D184" s="22">
        <v>3</v>
      </c>
      <c r="E184" s="22">
        <v>0</v>
      </c>
      <c r="F184" s="22">
        <v>80</v>
      </c>
      <c r="G184" s="22">
        <v>0</v>
      </c>
      <c r="H184" s="55">
        <v>0</v>
      </c>
      <c r="I184" s="55">
        <v>0</v>
      </c>
      <c r="J184" s="55">
        <v>0.02</v>
      </c>
      <c r="K184" s="55">
        <v>0.05</v>
      </c>
      <c r="L184" s="55">
        <v>0</v>
      </c>
      <c r="M184" s="55">
        <v>0</v>
      </c>
      <c r="N184" s="55"/>
      <c r="O184" s="55"/>
    </row>
    <row r="185" spans="1:15" hidden="1">
      <c r="A185" s="55">
        <v>144</v>
      </c>
      <c r="B185" s="55" t="s">
        <v>1036</v>
      </c>
      <c r="C185" s="55" t="s">
        <v>20</v>
      </c>
      <c r="D185" s="22">
        <v>1</v>
      </c>
      <c r="E185" s="22">
        <v>5</v>
      </c>
      <c r="F185" s="22">
        <v>79</v>
      </c>
      <c r="G185" s="22">
        <v>5</v>
      </c>
      <c r="H185" s="55">
        <v>-80</v>
      </c>
      <c r="I185" s="55">
        <v>1480</v>
      </c>
      <c r="J185" s="55">
        <v>0.01</v>
      </c>
      <c r="K185" s="55">
        <v>0.05</v>
      </c>
      <c r="L185" s="55">
        <v>0.02</v>
      </c>
      <c r="M185" s="55">
        <v>0</v>
      </c>
      <c r="N185" s="55"/>
      <c r="O185" s="55"/>
    </row>
    <row r="186" spans="1:15" hidden="1">
      <c r="A186" s="55">
        <v>145</v>
      </c>
      <c r="B186" s="55" t="s">
        <v>572</v>
      </c>
      <c r="C186" s="55" t="s">
        <v>20</v>
      </c>
      <c r="D186" s="22">
        <v>9</v>
      </c>
      <c r="E186" s="22">
        <v>3</v>
      </c>
      <c r="F186" s="22">
        <v>76</v>
      </c>
      <c r="G186" s="22">
        <v>31</v>
      </c>
      <c r="H186" s="55">
        <v>200</v>
      </c>
      <c r="I186" s="55">
        <v>145.16</v>
      </c>
      <c r="J186" s="55">
        <v>0.05</v>
      </c>
      <c r="K186" s="55">
        <v>0.04</v>
      </c>
      <c r="L186" s="55">
        <v>0.01</v>
      </c>
      <c r="M186" s="55">
        <v>0.02</v>
      </c>
      <c r="N186" s="55"/>
      <c r="O186" s="55"/>
    </row>
    <row r="187" spans="1:15" hidden="1">
      <c r="A187" s="55">
        <v>146</v>
      </c>
      <c r="B187" s="55" t="s">
        <v>1152</v>
      </c>
      <c r="C187" s="55" t="s">
        <v>20</v>
      </c>
      <c r="D187" s="22">
        <v>4</v>
      </c>
      <c r="E187" s="22">
        <v>0</v>
      </c>
      <c r="F187" s="22">
        <v>76</v>
      </c>
      <c r="G187" s="22">
        <v>0</v>
      </c>
      <c r="H187" s="55">
        <v>0</v>
      </c>
      <c r="I187" s="55">
        <v>0</v>
      </c>
      <c r="J187" s="55">
        <v>0.02</v>
      </c>
      <c r="K187" s="55">
        <v>0.04</v>
      </c>
      <c r="L187" s="55">
        <v>0</v>
      </c>
      <c r="M187" s="55">
        <v>0</v>
      </c>
      <c r="N187" s="55"/>
      <c r="O187" s="55"/>
    </row>
    <row r="188" spans="1:15" hidden="1">
      <c r="A188" s="55">
        <v>147</v>
      </c>
      <c r="B188" s="55" t="s">
        <v>555</v>
      </c>
      <c r="C188" s="55" t="s">
        <v>20</v>
      </c>
      <c r="D188" s="22">
        <v>13</v>
      </c>
      <c r="E188" s="22">
        <v>26</v>
      </c>
      <c r="F188" s="22">
        <v>69</v>
      </c>
      <c r="G188" s="22">
        <v>156</v>
      </c>
      <c r="H188" s="55">
        <v>-50</v>
      </c>
      <c r="I188" s="55">
        <v>-55.77</v>
      </c>
      <c r="J188" s="55">
        <v>7.0000000000000007E-2</v>
      </c>
      <c r="K188" s="55">
        <v>0.04</v>
      </c>
      <c r="L188" s="55">
        <v>0.1</v>
      </c>
      <c r="M188" s="55">
        <v>0.1</v>
      </c>
      <c r="N188" s="55"/>
      <c r="O188" s="55"/>
    </row>
    <row r="189" spans="1:15" hidden="1">
      <c r="A189" s="55">
        <v>148</v>
      </c>
      <c r="B189" s="55" t="s">
        <v>1009</v>
      </c>
      <c r="C189" s="55" t="s">
        <v>20</v>
      </c>
      <c r="D189" s="22">
        <v>2</v>
      </c>
      <c r="E189" s="22">
        <v>3</v>
      </c>
      <c r="F189" s="22">
        <v>69</v>
      </c>
      <c r="G189" s="22">
        <v>25</v>
      </c>
      <c r="H189" s="55">
        <v>-33.33</v>
      </c>
      <c r="I189" s="55">
        <v>176</v>
      </c>
      <c r="J189" s="55">
        <v>0.01</v>
      </c>
      <c r="K189" s="55">
        <v>0.04</v>
      </c>
      <c r="L189" s="55">
        <v>0.01</v>
      </c>
      <c r="M189" s="55">
        <v>0.02</v>
      </c>
      <c r="N189" s="55"/>
      <c r="O189" s="55"/>
    </row>
    <row r="190" spans="1:15">
      <c r="A190" s="55">
        <v>149</v>
      </c>
      <c r="B190" s="55" t="s">
        <v>427</v>
      </c>
      <c r="C190" s="55" t="s">
        <v>19</v>
      </c>
      <c r="D190" s="22">
        <v>2</v>
      </c>
      <c r="E190" s="22">
        <v>9</v>
      </c>
      <c r="F190" s="22">
        <v>67</v>
      </c>
      <c r="G190" s="22">
        <v>93</v>
      </c>
      <c r="H190" s="55">
        <v>-77.78</v>
      </c>
      <c r="I190" s="55">
        <v>-27.96</v>
      </c>
      <c r="J190" s="55">
        <v>0.01</v>
      </c>
      <c r="K190" s="55">
        <v>0.04</v>
      </c>
      <c r="L190" s="55">
        <v>0.03</v>
      </c>
      <c r="M190" s="55">
        <v>0.06</v>
      </c>
      <c r="N190" s="55"/>
      <c r="O190" s="55"/>
    </row>
    <row r="191" spans="1:15" hidden="1">
      <c r="A191" s="55">
        <v>150</v>
      </c>
      <c r="B191" s="55" t="s">
        <v>1022</v>
      </c>
      <c r="C191" s="55" t="s">
        <v>20</v>
      </c>
      <c r="D191" s="22">
        <v>4</v>
      </c>
      <c r="E191" s="22">
        <v>8</v>
      </c>
      <c r="F191" s="22">
        <v>65</v>
      </c>
      <c r="G191" s="22">
        <v>11</v>
      </c>
      <c r="H191" s="55">
        <v>-50</v>
      </c>
      <c r="I191" s="55">
        <v>490.91</v>
      </c>
      <c r="J191" s="55">
        <v>0.02</v>
      </c>
      <c r="K191" s="55">
        <v>0.04</v>
      </c>
      <c r="L191" s="55">
        <v>0.03</v>
      </c>
      <c r="M191" s="55">
        <v>0.01</v>
      </c>
      <c r="N191" s="55"/>
      <c r="O191" s="55"/>
    </row>
    <row r="192" spans="1:15">
      <c r="A192" s="55">
        <v>151</v>
      </c>
      <c r="B192" s="55" t="s">
        <v>1126</v>
      </c>
      <c r="C192" s="55" t="s">
        <v>19</v>
      </c>
      <c r="D192" s="22">
        <v>2</v>
      </c>
      <c r="E192" s="22">
        <v>0</v>
      </c>
      <c r="F192" s="22">
        <v>64</v>
      </c>
      <c r="G192" s="22">
        <v>0</v>
      </c>
      <c r="H192" s="55">
        <v>0</v>
      </c>
      <c r="I192" s="55">
        <v>0</v>
      </c>
      <c r="J192" s="55">
        <v>0.01</v>
      </c>
      <c r="K192" s="55">
        <v>0.04</v>
      </c>
      <c r="L192" s="55">
        <v>0</v>
      </c>
      <c r="M192" s="55">
        <v>0</v>
      </c>
      <c r="N192" s="55"/>
      <c r="O192" s="55"/>
    </row>
    <row r="193" spans="1:15" hidden="1">
      <c r="A193" s="55">
        <v>152</v>
      </c>
      <c r="B193" s="55" t="s">
        <v>1252</v>
      </c>
      <c r="C193" s="55" t="s">
        <v>20</v>
      </c>
      <c r="D193" s="22">
        <v>7</v>
      </c>
      <c r="E193" s="22">
        <v>0</v>
      </c>
      <c r="F193" s="22">
        <v>63</v>
      </c>
      <c r="G193" s="22">
        <v>0</v>
      </c>
      <c r="H193" s="55">
        <v>0</v>
      </c>
      <c r="I193" s="55">
        <v>0</v>
      </c>
      <c r="J193" s="55">
        <v>0.04</v>
      </c>
      <c r="K193" s="55">
        <v>0.04</v>
      </c>
      <c r="L193" s="55">
        <v>0</v>
      </c>
      <c r="M193" s="55">
        <v>0</v>
      </c>
      <c r="N193" s="55"/>
      <c r="O193" s="55"/>
    </row>
    <row r="194" spans="1:15">
      <c r="A194" s="55">
        <v>153</v>
      </c>
      <c r="B194" s="55" t="s">
        <v>608</v>
      </c>
      <c r="C194" s="55" t="s">
        <v>19</v>
      </c>
      <c r="D194" s="22">
        <v>6</v>
      </c>
      <c r="E194" s="22">
        <v>4</v>
      </c>
      <c r="F194" s="22">
        <v>60</v>
      </c>
      <c r="G194" s="22">
        <v>71</v>
      </c>
      <c r="H194" s="55">
        <v>50</v>
      </c>
      <c r="I194" s="55">
        <v>-15.49</v>
      </c>
      <c r="J194" s="55">
        <v>0.03</v>
      </c>
      <c r="K194" s="55">
        <v>0.03</v>
      </c>
      <c r="L194" s="55">
        <v>0.02</v>
      </c>
      <c r="M194" s="55">
        <v>0.04</v>
      </c>
      <c r="N194" s="55"/>
      <c r="O194" s="55"/>
    </row>
    <row r="195" spans="1:15" hidden="1">
      <c r="A195" s="55">
        <v>154</v>
      </c>
      <c r="B195" s="55" t="s">
        <v>1231</v>
      </c>
      <c r="C195" s="55" t="s">
        <v>20</v>
      </c>
      <c r="D195" s="22">
        <v>6</v>
      </c>
      <c r="E195" s="22">
        <v>0</v>
      </c>
      <c r="F195" s="22">
        <v>58</v>
      </c>
      <c r="G195" s="22">
        <v>0</v>
      </c>
      <c r="H195" s="62">
        <v>0</v>
      </c>
      <c r="I195" s="62">
        <v>0</v>
      </c>
      <c r="J195" s="62">
        <v>0.03</v>
      </c>
      <c r="K195" s="62">
        <v>0.03</v>
      </c>
      <c r="L195" s="62">
        <v>0</v>
      </c>
      <c r="M195" s="62">
        <v>0</v>
      </c>
      <c r="N195" s="55"/>
      <c r="O195" s="55"/>
    </row>
    <row r="196" spans="1:15">
      <c r="A196" s="55">
        <v>155</v>
      </c>
      <c r="B196" s="55" t="s">
        <v>237</v>
      </c>
      <c r="C196" s="55" t="s">
        <v>19</v>
      </c>
      <c r="D196" s="22">
        <v>10</v>
      </c>
      <c r="E196" s="22">
        <v>0</v>
      </c>
      <c r="F196" s="22">
        <v>55</v>
      </c>
      <c r="G196" s="22">
        <v>23</v>
      </c>
      <c r="H196" s="55">
        <v>0</v>
      </c>
      <c r="I196" s="55">
        <v>139.13</v>
      </c>
      <c r="J196" s="55">
        <v>0.05</v>
      </c>
      <c r="K196" s="55">
        <v>0.03</v>
      </c>
      <c r="L196" s="55">
        <v>0</v>
      </c>
      <c r="M196" s="55">
        <v>0.01</v>
      </c>
      <c r="N196" s="55"/>
      <c r="O196" s="55"/>
    </row>
    <row r="197" spans="1:15">
      <c r="A197" s="55">
        <v>156</v>
      </c>
      <c r="B197" s="55" t="s">
        <v>1218</v>
      </c>
      <c r="C197" s="55" t="s">
        <v>19</v>
      </c>
      <c r="D197" s="22">
        <v>2</v>
      </c>
      <c r="E197" s="22">
        <v>0</v>
      </c>
      <c r="F197" s="22">
        <v>55</v>
      </c>
      <c r="G197" s="22">
        <v>0</v>
      </c>
      <c r="H197" s="55">
        <v>0</v>
      </c>
      <c r="I197" s="55">
        <v>0</v>
      </c>
      <c r="J197" s="55">
        <v>0.01</v>
      </c>
      <c r="K197" s="55">
        <v>0.03</v>
      </c>
      <c r="L197" s="55">
        <v>0</v>
      </c>
      <c r="M197" s="55">
        <v>0</v>
      </c>
      <c r="N197" s="55"/>
      <c r="O197" s="55"/>
    </row>
    <row r="198" spans="1:15">
      <c r="A198" s="55">
        <v>157</v>
      </c>
      <c r="B198" s="55" t="s">
        <v>550</v>
      </c>
      <c r="C198" s="55" t="s">
        <v>19</v>
      </c>
      <c r="D198" s="22">
        <v>1</v>
      </c>
      <c r="E198" s="22">
        <v>2</v>
      </c>
      <c r="F198" s="22">
        <v>54</v>
      </c>
      <c r="G198" s="22">
        <v>145</v>
      </c>
      <c r="H198" s="55">
        <v>-50</v>
      </c>
      <c r="I198" s="55">
        <v>-62.76</v>
      </c>
      <c r="J198" s="55">
        <v>0.01</v>
      </c>
      <c r="K198" s="55">
        <v>0.03</v>
      </c>
      <c r="L198" s="55">
        <v>0.01</v>
      </c>
      <c r="M198" s="55">
        <v>0.09</v>
      </c>
      <c r="N198" s="55"/>
      <c r="O198" s="55"/>
    </row>
    <row r="199" spans="1:15" hidden="1">
      <c r="A199" s="55">
        <v>158</v>
      </c>
      <c r="B199" s="55" t="s">
        <v>1124</v>
      </c>
      <c r="C199" s="55" t="s">
        <v>20</v>
      </c>
      <c r="D199" s="22">
        <v>5</v>
      </c>
      <c r="E199" s="22">
        <v>0</v>
      </c>
      <c r="F199" s="22">
        <v>53</v>
      </c>
      <c r="G199" s="22">
        <v>0</v>
      </c>
      <c r="H199" s="55">
        <v>0</v>
      </c>
      <c r="I199" s="55">
        <v>0</v>
      </c>
      <c r="J199" s="55">
        <v>0.03</v>
      </c>
      <c r="K199" s="55">
        <v>0.03</v>
      </c>
      <c r="L199" s="55">
        <v>0</v>
      </c>
      <c r="M199" s="55">
        <v>0</v>
      </c>
      <c r="N199" s="55"/>
      <c r="O199" s="55"/>
    </row>
    <row r="200" spans="1:15">
      <c r="A200" s="55">
        <v>159</v>
      </c>
      <c r="B200" s="55" t="s">
        <v>190</v>
      </c>
      <c r="C200" s="55" t="s">
        <v>19</v>
      </c>
      <c r="D200" s="22">
        <v>0</v>
      </c>
      <c r="E200" s="22">
        <v>0</v>
      </c>
      <c r="F200" s="22">
        <v>52</v>
      </c>
      <c r="G200" s="22">
        <v>0</v>
      </c>
      <c r="H200" s="55">
        <v>0</v>
      </c>
      <c r="I200" s="55">
        <v>0</v>
      </c>
      <c r="J200" s="55">
        <v>0</v>
      </c>
      <c r="K200" s="55">
        <v>0.03</v>
      </c>
      <c r="L200" s="55">
        <v>0</v>
      </c>
      <c r="M200" s="55">
        <v>0</v>
      </c>
      <c r="N200" s="55"/>
      <c r="O200" s="55"/>
    </row>
    <row r="201" spans="1:15" hidden="1">
      <c r="A201" s="55">
        <v>160</v>
      </c>
      <c r="B201" s="55" t="s">
        <v>643</v>
      </c>
      <c r="C201" s="55" t="s">
        <v>20</v>
      </c>
      <c r="D201" s="22">
        <v>4</v>
      </c>
      <c r="E201" s="22">
        <v>13</v>
      </c>
      <c r="F201" s="22">
        <v>51</v>
      </c>
      <c r="G201" s="22">
        <v>111</v>
      </c>
      <c r="H201" s="55">
        <v>-69.23</v>
      </c>
      <c r="I201" s="55">
        <v>-54.05</v>
      </c>
      <c r="J201" s="55">
        <v>0.02</v>
      </c>
      <c r="K201" s="55">
        <v>0.03</v>
      </c>
      <c r="L201" s="55">
        <v>0.05</v>
      </c>
      <c r="M201" s="55">
        <v>7.0000000000000007E-2</v>
      </c>
      <c r="N201" s="55"/>
      <c r="O201" s="55"/>
    </row>
    <row r="202" spans="1:15" hidden="1">
      <c r="A202" s="55">
        <v>161</v>
      </c>
      <c r="B202" s="55" t="s">
        <v>495</v>
      </c>
      <c r="C202" s="55" t="s">
        <v>20</v>
      </c>
      <c r="D202" s="22">
        <v>7</v>
      </c>
      <c r="E202" s="22">
        <v>2</v>
      </c>
      <c r="F202" s="22">
        <v>51</v>
      </c>
      <c r="G202" s="22">
        <v>86</v>
      </c>
      <c r="H202" s="55">
        <v>250</v>
      </c>
      <c r="I202" s="55">
        <v>-40.700000000000003</v>
      </c>
      <c r="J202" s="55">
        <v>0.04</v>
      </c>
      <c r="K202" s="55">
        <v>0.03</v>
      </c>
      <c r="L202" s="55">
        <v>0.01</v>
      </c>
      <c r="M202" s="55">
        <v>0.05</v>
      </c>
      <c r="N202" s="55"/>
      <c r="O202" s="55"/>
    </row>
    <row r="203" spans="1:15" hidden="1">
      <c r="A203" s="55">
        <v>162</v>
      </c>
      <c r="B203" s="55" t="s">
        <v>646</v>
      </c>
      <c r="C203" s="55" t="s">
        <v>20</v>
      </c>
      <c r="D203" s="22">
        <v>0</v>
      </c>
      <c r="E203" s="22">
        <v>5</v>
      </c>
      <c r="F203" s="22">
        <v>49</v>
      </c>
      <c r="G203" s="22">
        <v>54</v>
      </c>
      <c r="H203" s="55">
        <v>-100</v>
      </c>
      <c r="I203" s="55">
        <v>-9.26</v>
      </c>
      <c r="J203" s="55">
        <v>0</v>
      </c>
      <c r="K203" s="55">
        <v>0.03</v>
      </c>
      <c r="L203" s="55">
        <v>0.02</v>
      </c>
      <c r="M203" s="55">
        <v>0.03</v>
      </c>
      <c r="N203" s="55"/>
      <c r="O203" s="55"/>
    </row>
    <row r="204" spans="1:15">
      <c r="A204" s="55">
        <v>163</v>
      </c>
      <c r="B204" s="55" t="s">
        <v>434</v>
      </c>
      <c r="C204" s="55" t="s">
        <v>19</v>
      </c>
      <c r="D204" s="22">
        <v>18</v>
      </c>
      <c r="E204" s="22">
        <v>14</v>
      </c>
      <c r="F204" s="22">
        <v>46</v>
      </c>
      <c r="G204" s="22">
        <v>112</v>
      </c>
      <c r="H204" s="55">
        <v>28.57</v>
      </c>
      <c r="I204" s="55">
        <v>-58.93</v>
      </c>
      <c r="J204" s="55">
        <v>0.1</v>
      </c>
      <c r="K204" s="55">
        <v>0.03</v>
      </c>
      <c r="L204" s="55">
        <v>0.05</v>
      </c>
      <c r="M204" s="55">
        <v>7.0000000000000007E-2</v>
      </c>
      <c r="N204" s="55"/>
      <c r="O204" s="55"/>
    </row>
    <row r="205" spans="1:15">
      <c r="A205" s="135">
        <v>164</v>
      </c>
      <c r="B205" s="135" t="s">
        <v>1153</v>
      </c>
      <c r="C205" s="135" t="s">
        <v>19</v>
      </c>
      <c r="D205" s="142">
        <v>27</v>
      </c>
      <c r="E205" s="142">
        <v>0</v>
      </c>
      <c r="F205" s="142">
        <v>46</v>
      </c>
      <c r="G205" s="142">
        <v>0</v>
      </c>
      <c r="H205" s="135">
        <v>0</v>
      </c>
      <c r="I205" s="135">
        <v>0</v>
      </c>
      <c r="J205" s="135">
        <v>0.15</v>
      </c>
      <c r="K205" s="135">
        <v>0.03</v>
      </c>
      <c r="L205" s="135">
        <v>0</v>
      </c>
      <c r="M205" s="135">
        <v>0</v>
      </c>
      <c r="N205" s="55"/>
      <c r="O205" s="55"/>
    </row>
    <row r="206" spans="1:15" hidden="1">
      <c r="A206" s="135">
        <v>165</v>
      </c>
      <c r="B206" s="135" t="s">
        <v>1149</v>
      </c>
      <c r="C206" s="135" t="s">
        <v>20</v>
      </c>
      <c r="D206" s="142">
        <v>4</v>
      </c>
      <c r="E206" s="142">
        <v>0</v>
      </c>
      <c r="F206" s="142">
        <v>45</v>
      </c>
      <c r="G206" s="142">
        <v>3</v>
      </c>
      <c r="H206" s="135">
        <v>0</v>
      </c>
      <c r="I206" s="135">
        <v>1400</v>
      </c>
      <c r="J206" s="135">
        <v>0.02</v>
      </c>
      <c r="K206" s="135">
        <v>0.03</v>
      </c>
      <c r="L206" s="135">
        <v>0</v>
      </c>
      <c r="M206" s="135">
        <v>0</v>
      </c>
      <c r="N206" s="55"/>
      <c r="O206" s="55"/>
    </row>
    <row r="207" spans="1:15" hidden="1">
      <c r="A207" s="135">
        <v>166</v>
      </c>
      <c r="B207" s="135" t="s">
        <v>1072</v>
      </c>
      <c r="C207" s="135" t="s">
        <v>20</v>
      </c>
      <c r="D207" s="142">
        <v>0</v>
      </c>
      <c r="E207" s="142">
        <v>0</v>
      </c>
      <c r="F207" s="142">
        <v>44</v>
      </c>
      <c r="G207" s="142">
        <v>0</v>
      </c>
      <c r="H207" s="135">
        <v>0</v>
      </c>
      <c r="I207" s="135">
        <v>0</v>
      </c>
      <c r="J207" s="135">
        <v>0</v>
      </c>
      <c r="K207" s="135">
        <v>0.03</v>
      </c>
      <c r="L207" s="135">
        <v>0</v>
      </c>
      <c r="M207" s="135">
        <v>0</v>
      </c>
      <c r="N207" s="55"/>
      <c r="O207" s="55"/>
    </row>
    <row r="208" spans="1:15">
      <c r="A208" s="135">
        <v>167</v>
      </c>
      <c r="B208" s="135" t="s">
        <v>492</v>
      </c>
      <c r="C208" s="135" t="s">
        <v>19</v>
      </c>
      <c r="D208" s="142">
        <v>5</v>
      </c>
      <c r="E208" s="142">
        <v>3</v>
      </c>
      <c r="F208" s="142">
        <v>43</v>
      </c>
      <c r="G208" s="142">
        <v>12</v>
      </c>
      <c r="H208" s="135">
        <v>66.67</v>
      </c>
      <c r="I208" s="135">
        <v>258.33</v>
      </c>
      <c r="J208" s="135">
        <v>0.03</v>
      </c>
      <c r="K208" s="135">
        <v>0.02</v>
      </c>
      <c r="L208" s="135">
        <v>0.01</v>
      </c>
      <c r="M208" s="135">
        <v>0.01</v>
      </c>
      <c r="N208" s="55"/>
      <c r="O208" s="55"/>
    </row>
    <row r="209" spans="1:15" hidden="1">
      <c r="A209" s="135">
        <v>168</v>
      </c>
      <c r="B209" s="135" t="s">
        <v>609</v>
      </c>
      <c r="C209" s="135" t="s">
        <v>20</v>
      </c>
      <c r="D209" s="142">
        <v>4</v>
      </c>
      <c r="E209" s="142">
        <v>3</v>
      </c>
      <c r="F209" s="142">
        <v>39</v>
      </c>
      <c r="G209" s="142">
        <v>24</v>
      </c>
      <c r="H209" s="135">
        <v>33.33</v>
      </c>
      <c r="I209" s="135">
        <v>62.5</v>
      </c>
      <c r="J209" s="135">
        <v>0.02</v>
      </c>
      <c r="K209" s="135">
        <v>0.02</v>
      </c>
      <c r="L209" s="135">
        <v>0.01</v>
      </c>
      <c r="M209" s="135">
        <v>0.01</v>
      </c>
      <c r="N209" s="55"/>
      <c r="O209" s="55"/>
    </row>
    <row r="210" spans="1:15" hidden="1">
      <c r="A210" s="135">
        <v>169</v>
      </c>
      <c r="B210" s="135" t="s">
        <v>703</v>
      </c>
      <c r="C210" s="135" t="s">
        <v>20</v>
      </c>
      <c r="D210" s="142">
        <v>0</v>
      </c>
      <c r="E210" s="142">
        <v>13</v>
      </c>
      <c r="F210" s="142">
        <v>36</v>
      </c>
      <c r="G210" s="142">
        <v>38</v>
      </c>
      <c r="H210" s="135">
        <v>-100</v>
      </c>
      <c r="I210" s="135">
        <v>-5.26</v>
      </c>
      <c r="J210" s="135">
        <v>0</v>
      </c>
      <c r="K210" s="135">
        <v>0.02</v>
      </c>
      <c r="L210" s="135">
        <v>0.05</v>
      </c>
      <c r="M210" s="135">
        <v>0.02</v>
      </c>
      <c r="N210" s="55"/>
      <c r="O210" s="55"/>
    </row>
    <row r="211" spans="1:15">
      <c r="A211" s="135">
        <v>170</v>
      </c>
      <c r="B211" s="135" t="s">
        <v>426</v>
      </c>
      <c r="C211" s="135" t="s">
        <v>19</v>
      </c>
      <c r="D211" s="142">
        <v>0</v>
      </c>
      <c r="E211" s="142">
        <v>10</v>
      </c>
      <c r="F211" s="142">
        <v>35</v>
      </c>
      <c r="G211" s="142">
        <v>132</v>
      </c>
      <c r="H211" s="135">
        <v>-100</v>
      </c>
      <c r="I211" s="135">
        <v>-73.48</v>
      </c>
      <c r="J211" s="135">
        <v>0</v>
      </c>
      <c r="K211" s="135">
        <v>0.02</v>
      </c>
      <c r="L211" s="135">
        <v>0.04</v>
      </c>
      <c r="M211" s="135">
        <v>0.08</v>
      </c>
      <c r="N211" s="55"/>
      <c r="O211" s="55"/>
    </row>
    <row r="212" spans="1:15" hidden="1">
      <c r="A212" s="135">
        <v>171</v>
      </c>
      <c r="B212" s="135" t="s">
        <v>498</v>
      </c>
      <c r="C212" s="135" t="s">
        <v>20</v>
      </c>
      <c r="D212" s="142">
        <v>0</v>
      </c>
      <c r="E212" s="142">
        <v>14</v>
      </c>
      <c r="F212" s="142">
        <v>34</v>
      </c>
      <c r="G212" s="142">
        <v>113</v>
      </c>
      <c r="H212" s="135">
        <v>-100</v>
      </c>
      <c r="I212" s="135">
        <v>-69.91</v>
      </c>
      <c r="J212" s="135">
        <v>0</v>
      </c>
      <c r="K212" s="135">
        <v>0.02</v>
      </c>
      <c r="L212" s="135">
        <v>0.05</v>
      </c>
      <c r="M212" s="135">
        <v>7.0000000000000007E-2</v>
      </c>
      <c r="N212" s="55"/>
      <c r="O212" s="55"/>
    </row>
    <row r="213" spans="1:15">
      <c r="A213" s="135">
        <v>172</v>
      </c>
      <c r="B213" s="135" t="s">
        <v>129</v>
      </c>
      <c r="C213" s="135" t="s">
        <v>19</v>
      </c>
      <c r="D213" s="142">
        <v>4</v>
      </c>
      <c r="E213" s="142">
        <v>4</v>
      </c>
      <c r="F213" s="142">
        <v>34</v>
      </c>
      <c r="G213" s="142">
        <v>100</v>
      </c>
      <c r="H213" s="135">
        <v>0</v>
      </c>
      <c r="I213" s="135">
        <v>-66</v>
      </c>
      <c r="J213" s="135">
        <v>0.02</v>
      </c>
      <c r="K213" s="135">
        <v>0.02</v>
      </c>
      <c r="L213" s="135">
        <v>0.02</v>
      </c>
      <c r="M213" s="135">
        <v>0.06</v>
      </c>
      <c r="N213" s="55"/>
      <c r="O213" s="55"/>
    </row>
    <row r="214" spans="1:15" hidden="1">
      <c r="A214" s="135">
        <v>173</v>
      </c>
      <c r="B214" s="135" t="s">
        <v>1270</v>
      </c>
      <c r="C214" s="135" t="s">
        <v>20</v>
      </c>
      <c r="D214" s="142">
        <v>7</v>
      </c>
      <c r="E214" s="142">
        <v>0</v>
      </c>
      <c r="F214" s="142">
        <v>34</v>
      </c>
      <c r="G214" s="142">
        <v>0</v>
      </c>
      <c r="H214" s="137">
        <v>0</v>
      </c>
      <c r="I214" s="137">
        <v>0</v>
      </c>
      <c r="J214" s="137">
        <v>0.04</v>
      </c>
      <c r="K214" s="137">
        <v>0.02</v>
      </c>
      <c r="L214" s="137">
        <v>0</v>
      </c>
      <c r="M214" s="137">
        <v>0</v>
      </c>
      <c r="N214" s="55"/>
      <c r="O214" s="55"/>
    </row>
    <row r="215" spans="1:15">
      <c r="A215" s="135">
        <v>174</v>
      </c>
      <c r="B215" s="135" t="s">
        <v>689</v>
      </c>
      <c r="C215" s="135" t="s">
        <v>19</v>
      </c>
      <c r="D215" s="142">
        <v>0</v>
      </c>
      <c r="E215" s="142">
        <v>1</v>
      </c>
      <c r="F215" s="142">
        <v>33</v>
      </c>
      <c r="G215" s="142">
        <v>15</v>
      </c>
      <c r="H215" s="135">
        <v>-100</v>
      </c>
      <c r="I215" s="135">
        <v>120</v>
      </c>
      <c r="J215" s="135">
        <v>0</v>
      </c>
      <c r="K215" s="135">
        <v>0.02</v>
      </c>
      <c r="L215" s="135">
        <v>0</v>
      </c>
      <c r="M215" s="135">
        <v>0.01</v>
      </c>
      <c r="N215" s="55"/>
      <c r="O215" s="55"/>
    </row>
    <row r="216" spans="1:15">
      <c r="A216" s="135">
        <v>175</v>
      </c>
      <c r="B216" s="135" t="s">
        <v>701</v>
      </c>
      <c r="C216" s="135" t="s">
        <v>19</v>
      </c>
      <c r="D216" s="142">
        <v>0</v>
      </c>
      <c r="E216" s="142">
        <v>8</v>
      </c>
      <c r="F216" s="142">
        <v>32</v>
      </c>
      <c r="G216" s="142">
        <v>113</v>
      </c>
      <c r="H216" s="135">
        <v>-100</v>
      </c>
      <c r="I216" s="135">
        <v>-71.680000000000007</v>
      </c>
      <c r="J216" s="135">
        <v>0</v>
      </c>
      <c r="K216" s="135">
        <v>0.02</v>
      </c>
      <c r="L216" s="135">
        <v>0.03</v>
      </c>
      <c r="M216" s="135">
        <v>7.0000000000000007E-2</v>
      </c>
      <c r="N216" s="55"/>
      <c r="O216" s="55"/>
    </row>
    <row r="217" spans="1:15">
      <c r="A217" s="135">
        <v>176</v>
      </c>
      <c r="B217" s="135" t="s">
        <v>594</v>
      </c>
      <c r="C217" s="135" t="s">
        <v>19</v>
      </c>
      <c r="D217" s="142">
        <v>3</v>
      </c>
      <c r="E217" s="142">
        <v>8</v>
      </c>
      <c r="F217" s="142">
        <v>31</v>
      </c>
      <c r="G217" s="142">
        <v>55</v>
      </c>
      <c r="H217" s="135">
        <v>-62.5</v>
      </c>
      <c r="I217" s="135">
        <v>-43.64</v>
      </c>
      <c r="J217" s="135">
        <v>0.02</v>
      </c>
      <c r="K217" s="135">
        <v>0.02</v>
      </c>
      <c r="L217" s="135">
        <v>0.03</v>
      </c>
      <c r="M217" s="135">
        <v>0.03</v>
      </c>
      <c r="N217" s="55"/>
      <c r="O217" s="55"/>
    </row>
    <row r="218" spans="1:15">
      <c r="A218" s="135">
        <v>177</v>
      </c>
      <c r="B218" s="135" t="s">
        <v>139</v>
      </c>
      <c r="C218" s="135" t="s">
        <v>19</v>
      </c>
      <c r="D218" s="142">
        <v>0</v>
      </c>
      <c r="E218" s="142">
        <v>9</v>
      </c>
      <c r="F218" s="142">
        <v>30</v>
      </c>
      <c r="G218" s="142">
        <v>164</v>
      </c>
      <c r="H218" s="135">
        <v>-100</v>
      </c>
      <c r="I218" s="135">
        <v>-81.709999999999994</v>
      </c>
      <c r="J218" s="135">
        <v>0</v>
      </c>
      <c r="K218" s="135">
        <v>0.02</v>
      </c>
      <c r="L218" s="135">
        <v>0.03</v>
      </c>
      <c r="M218" s="135">
        <v>0.1</v>
      </c>
      <c r="N218" s="55"/>
      <c r="O218" s="55"/>
    </row>
    <row r="219" spans="1:15">
      <c r="A219" s="135">
        <v>178</v>
      </c>
      <c r="B219" s="135" t="s">
        <v>986</v>
      </c>
      <c r="C219" s="135" t="s">
        <v>19</v>
      </c>
      <c r="D219" s="142">
        <v>0</v>
      </c>
      <c r="E219" s="142">
        <v>7</v>
      </c>
      <c r="F219" s="142">
        <v>30</v>
      </c>
      <c r="G219" s="142">
        <v>80</v>
      </c>
      <c r="H219" s="135">
        <v>-100</v>
      </c>
      <c r="I219" s="135">
        <v>-62.5</v>
      </c>
      <c r="J219" s="135">
        <v>0</v>
      </c>
      <c r="K219" s="135">
        <v>0.02</v>
      </c>
      <c r="L219" s="135">
        <v>0.03</v>
      </c>
      <c r="M219" s="135">
        <v>0.05</v>
      </c>
      <c r="N219" s="55"/>
      <c r="O219" s="55"/>
    </row>
    <row r="220" spans="1:15">
      <c r="A220" s="135">
        <v>179</v>
      </c>
      <c r="B220" s="135" t="s">
        <v>419</v>
      </c>
      <c r="C220" s="135" t="s">
        <v>19</v>
      </c>
      <c r="D220" s="142">
        <v>2</v>
      </c>
      <c r="E220" s="142">
        <v>1</v>
      </c>
      <c r="F220" s="142">
        <v>30</v>
      </c>
      <c r="G220" s="142">
        <v>53</v>
      </c>
      <c r="H220" s="135">
        <v>100</v>
      </c>
      <c r="I220" s="135">
        <v>-43.4</v>
      </c>
      <c r="J220" s="135">
        <v>0.01</v>
      </c>
      <c r="K220" s="135">
        <v>0.02</v>
      </c>
      <c r="L220" s="135">
        <v>0</v>
      </c>
      <c r="M220" s="135">
        <v>0.03</v>
      </c>
      <c r="N220" s="55"/>
      <c r="O220" s="55"/>
    </row>
    <row r="221" spans="1:15" hidden="1">
      <c r="A221" s="135">
        <v>180</v>
      </c>
      <c r="B221" s="135" t="s">
        <v>429</v>
      </c>
      <c r="C221" s="135" t="s">
        <v>20</v>
      </c>
      <c r="D221" s="142">
        <v>0</v>
      </c>
      <c r="E221" s="142">
        <v>11</v>
      </c>
      <c r="F221" s="142">
        <v>28</v>
      </c>
      <c r="G221" s="142">
        <v>43</v>
      </c>
      <c r="H221" s="135">
        <v>-100</v>
      </c>
      <c r="I221" s="135">
        <v>-34.880000000000003</v>
      </c>
      <c r="J221" s="135">
        <v>0</v>
      </c>
      <c r="K221" s="135">
        <v>0.02</v>
      </c>
      <c r="L221" s="135">
        <v>0.04</v>
      </c>
      <c r="M221" s="135">
        <v>0.03</v>
      </c>
      <c r="N221" s="55"/>
      <c r="O221" s="55"/>
    </row>
    <row r="222" spans="1:15">
      <c r="A222" s="135">
        <v>181</v>
      </c>
      <c r="B222" s="135" t="s">
        <v>497</v>
      </c>
      <c r="C222" s="135" t="s">
        <v>19</v>
      </c>
      <c r="D222" s="142">
        <v>2</v>
      </c>
      <c r="E222" s="142">
        <v>3</v>
      </c>
      <c r="F222" s="142">
        <v>27</v>
      </c>
      <c r="G222" s="142">
        <v>25</v>
      </c>
      <c r="H222" s="135">
        <v>-33.33</v>
      </c>
      <c r="I222" s="135">
        <v>8</v>
      </c>
      <c r="J222" s="135">
        <v>0.01</v>
      </c>
      <c r="K222" s="135">
        <v>0.02</v>
      </c>
      <c r="L222" s="135">
        <v>0.01</v>
      </c>
      <c r="M222" s="135">
        <v>0.02</v>
      </c>
      <c r="N222" s="55"/>
      <c r="O222" s="55"/>
    </row>
    <row r="223" spans="1:15">
      <c r="A223" s="135">
        <v>182</v>
      </c>
      <c r="B223" s="135" t="s">
        <v>1302</v>
      </c>
      <c r="C223" s="135" t="s">
        <v>19</v>
      </c>
      <c r="D223" s="142">
        <v>14</v>
      </c>
      <c r="E223" s="142">
        <v>0</v>
      </c>
      <c r="F223" s="142">
        <v>26</v>
      </c>
      <c r="G223" s="142">
        <v>0</v>
      </c>
      <c r="H223" s="135">
        <v>0</v>
      </c>
      <c r="I223" s="135">
        <v>0</v>
      </c>
      <c r="J223" s="135">
        <v>0.08</v>
      </c>
      <c r="K223" s="135">
        <v>0.02</v>
      </c>
      <c r="L223" s="135">
        <v>0</v>
      </c>
      <c r="M223" s="135">
        <v>0</v>
      </c>
      <c r="N223" s="55"/>
      <c r="O223" s="55"/>
    </row>
    <row r="224" spans="1:15">
      <c r="A224" s="135">
        <v>183</v>
      </c>
      <c r="B224" s="135" t="s">
        <v>697</v>
      </c>
      <c r="C224" s="135" t="s">
        <v>19</v>
      </c>
      <c r="D224" s="142">
        <v>0</v>
      </c>
      <c r="E224" s="142">
        <v>8</v>
      </c>
      <c r="F224" s="142">
        <v>25</v>
      </c>
      <c r="G224" s="142">
        <v>17</v>
      </c>
      <c r="H224" s="135">
        <v>-100</v>
      </c>
      <c r="I224" s="135">
        <v>47.06</v>
      </c>
      <c r="J224" s="135">
        <v>0</v>
      </c>
      <c r="K224" s="135">
        <v>0.01</v>
      </c>
      <c r="L224" s="135">
        <v>0.03</v>
      </c>
      <c r="M224" s="135">
        <v>0.01</v>
      </c>
      <c r="N224" s="55"/>
      <c r="O224" s="55"/>
    </row>
    <row r="225" spans="1:15" hidden="1">
      <c r="A225" s="135">
        <v>184</v>
      </c>
      <c r="B225" s="135" t="s">
        <v>398</v>
      </c>
      <c r="C225" s="135" t="s">
        <v>20</v>
      </c>
      <c r="D225" s="142">
        <v>0</v>
      </c>
      <c r="E225" s="142">
        <v>26</v>
      </c>
      <c r="F225" s="142">
        <v>23</v>
      </c>
      <c r="G225" s="142">
        <v>264</v>
      </c>
      <c r="H225" s="135">
        <v>-100</v>
      </c>
      <c r="I225" s="135">
        <v>-91.29</v>
      </c>
      <c r="J225" s="135">
        <v>0</v>
      </c>
      <c r="K225" s="135">
        <v>0.01</v>
      </c>
      <c r="L225" s="135">
        <v>0.1</v>
      </c>
      <c r="M225" s="135">
        <v>0.16</v>
      </c>
      <c r="N225" s="55"/>
      <c r="O225" s="55"/>
    </row>
    <row r="226" spans="1:15">
      <c r="A226" s="135">
        <v>185</v>
      </c>
      <c r="B226" s="135" t="s">
        <v>1303</v>
      </c>
      <c r="C226" s="135" t="s">
        <v>19</v>
      </c>
      <c r="D226" s="142">
        <v>20</v>
      </c>
      <c r="E226" s="142">
        <v>0</v>
      </c>
      <c r="F226" s="142">
        <v>23</v>
      </c>
      <c r="G226" s="142">
        <v>0</v>
      </c>
      <c r="H226" s="135">
        <v>0</v>
      </c>
      <c r="I226" s="135">
        <v>0</v>
      </c>
      <c r="J226" s="135">
        <v>0.11</v>
      </c>
      <c r="K226" s="135">
        <v>0.01</v>
      </c>
      <c r="L226" s="135">
        <v>0</v>
      </c>
      <c r="M226" s="135">
        <v>0</v>
      </c>
      <c r="N226" s="55"/>
      <c r="O226" s="55"/>
    </row>
    <row r="227" spans="1:15">
      <c r="A227" s="135">
        <v>186</v>
      </c>
      <c r="B227" s="135" t="s">
        <v>171</v>
      </c>
      <c r="C227" s="135" t="s">
        <v>19</v>
      </c>
      <c r="D227" s="142">
        <v>0</v>
      </c>
      <c r="E227" s="142">
        <v>2</v>
      </c>
      <c r="F227" s="142">
        <v>22</v>
      </c>
      <c r="G227" s="142">
        <v>37</v>
      </c>
      <c r="H227" s="135">
        <v>-100</v>
      </c>
      <c r="I227" s="135">
        <v>-40.54</v>
      </c>
      <c r="J227" s="135">
        <v>0</v>
      </c>
      <c r="K227" s="135">
        <v>0.01</v>
      </c>
      <c r="L227" s="135">
        <v>0.01</v>
      </c>
      <c r="M227" s="135">
        <v>0.02</v>
      </c>
      <c r="N227" s="55"/>
      <c r="O227" s="55"/>
    </row>
    <row r="228" spans="1:15" hidden="1">
      <c r="A228" s="135">
        <v>187</v>
      </c>
      <c r="B228" s="135" t="s">
        <v>1314</v>
      </c>
      <c r="C228" s="135" t="s">
        <v>20</v>
      </c>
      <c r="D228" s="142">
        <v>12</v>
      </c>
      <c r="E228" s="142">
        <v>0</v>
      </c>
      <c r="F228" s="142">
        <v>22</v>
      </c>
      <c r="G228" s="142">
        <v>0</v>
      </c>
      <c r="H228" s="135">
        <v>0</v>
      </c>
      <c r="I228" s="135">
        <v>0</v>
      </c>
      <c r="J228" s="135">
        <v>0.06</v>
      </c>
      <c r="K228" s="135">
        <v>0.01</v>
      </c>
      <c r="L228" s="135">
        <v>0</v>
      </c>
      <c r="M228" s="135">
        <v>0</v>
      </c>
      <c r="N228" s="55"/>
      <c r="O228" s="55"/>
    </row>
    <row r="229" spans="1:15" hidden="1">
      <c r="A229" s="135">
        <v>188</v>
      </c>
      <c r="B229" s="135" t="s">
        <v>1250</v>
      </c>
      <c r="C229" s="135" t="s">
        <v>20</v>
      </c>
      <c r="D229" s="142">
        <v>1</v>
      </c>
      <c r="E229" s="142">
        <v>0</v>
      </c>
      <c r="F229" s="142">
        <v>21</v>
      </c>
      <c r="G229" s="142">
        <v>0</v>
      </c>
      <c r="H229" s="135">
        <v>0</v>
      </c>
      <c r="I229" s="135">
        <v>0</v>
      </c>
      <c r="J229" s="135">
        <v>0.01</v>
      </c>
      <c r="K229" s="135">
        <v>0.01</v>
      </c>
      <c r="L229" s="135">
        <v>0</v>
      </c>
      <c r="M229" s="135">
        <v>0</v>
      </c>
    </row>
    <row r="230" spans="1:15" hidden="1">
      <c r="A230" s="135">
        <v>189</v>
      </c>
      <c r="B230" s="135" t="s">
        <v>1219</v>
      </c>
      <c r="C230" s="135" t="s">
        <v>20</v>
      </c>
      <c r="D230" s="142">
        <v>0</v>
      </c>
      <c r="E230" s="142">
        <v>0</v>
      </c>
      <c r="F230" s="142">
        <v>21</v>
      </c>
      <c r="G230" s="142">
        <v>0</v>
      </c>
      <c r="H230" s="135">
        <v>0</v>
      </c>
      <c r="I230" s="135">
        <v>0</v>
      </c>
      <c r="J230" s="135">
        <v>0</v>
      </c>
      <c r="K230" s="135">
        <v>0.01</v>
      </c>
      <c r="L230" s="135">
        <v>0</v>
      </c>
      <c r="M230" s="135">
        <v>0</v>
      </c>
    </row>
    <row r="231" spans="1:15" hidden="1">
      <c r="A231" s="135">
        <v>190</v>
      </c>
      <c r="B231" s="135" t="s">
        <v>386</v>
      </c>
      <c r="C231" s="135" t="s">
        <v>20</v>
      </c>
      <c r="D231" s="142">
        <v>2</v>
      </c>
      <c r="E231" s="142">
        <v>22</v>
      </c>
      <c r="F231" s="142">
        <v>20</v>
      </c>
      <c r="G231" s="142">
        <v>118</v>
      </c>
      <c r="H231" s="135">
        <v>-90.91</v>
      </c>
      <c r="I231" s="135">
        <v>-83.05</v>
      </c>
      <c r="J231" s="135">
        <v>0.01</v>
      </c>
      <c r="K231" s="135">
        <v>0.01</v>
      </c>
      <c r="L231" s="135">
        <v>0.08</v>
      </c>
      <c r="M231" s="135">
        <v>7.0000000000000007E-2</v>
      </c>
    </row>
    <row r="232" spans="1:15" hidden="1">
      <c r="A232" s="135">
        <v>191</v>
      </c>
      <c r="B232" s="135" t="s">
        <v>1225</v>
      </c>
      <c r="C232" s="135" t="s">
        <v>20</v>
      </c>
      <c r="D232" s="142">
        <v>0</v>
      </c>
      <c r="E232" s="142">
        <v>0</v>
      </c>
      <c r="F232" s="142">
        <v>20</v>
      </c>
      <c r="G232" s="142">
        <v>0</v>
      </c>
      <c r="H232" s="135">
        <v>0</v>
      </c>
      <c r="I232" s="135">
        <v>0</v>
      </c>
      <c r="J232" s="135">
        <v>0</v>
      </c>
      <c r="K232" s="135">
        <v>0.01</v>
      </c>
      <c r="L232" s="135">
        <v>0</v>
      </c>
      <c r="M232" s="135">
        <v>0</v>
      </c>
    </row>
    <row r="233" spans="1:15" hidden="1">
      <c r="A233" s="135">
        <v>192</v>
      </c>
      <c r="B233" s="135" t="s">
        <v>1034</v>
      </c>
      <c r="C233" s="135" t="s">
        <v>20</v>
      </c>
      <c r="D233" s="142">
        <v>1</v>
      </c>
      <c r="E233" s="142">
        <v>7</v>
      </c>
      <c r="F233" s="142">
        <v>19</v>
      </c>
      <c r="G233" s="142">
        <v>7</v>
      </c>
      <c r="H233" s="135">
        <v>-85.71</v>
      </c>
      <c r="I233" s="135">
        <v>171.43</v>
      </c>
      <c r="J233" s="135">
        <v>0.01</v>
      </c>
      <c r="K233" s="135">
        <v>0.01</v>
      </c>
      <c r="L233" s="135">
        <v>0.03</v>
      </c>
      <c r="M233" s="135">
        <v>0</v>
      </c>
    </row>
    <row r="234" spans="1:15" hidden="1">
      <c r="A234" s="135">
        <v>193</v>
      </c>
      <c r="B234" s="135" t="s">
        <v>1080</v>
      </c>
      <c r="C234" s="135" t="s">
        <v>20</v>
      </c>
      <c r="D234" s="142">
        <v>0</v>
      </c>
      <c r="E234" s="142">
        <v>0</v>
      </c>
      <c r="F234" s="142">
        <v>19</v>
      </c>
      <c r="G234" s="142">
        <v>0</v>
      </c>
      <c r="H234" s="135">
        <v>0</v>
      </c>
      <c r="I234" s="135">
        <v>0</v>
      </c>
      <c r="J234" s="135">
        <v>0</v>
      </c>
      <c r="K234" s="135">
        <v>0.01</v>
      </c>
      <c r="L234" s="135">
        <v>0</v>
      </c>
      <c r="M234" s="135">
        <v>0</v>
      </c>
    </row>
    <row r="235" spans="1:15" hidden="1">
      <c r="A235" s="135">
        <v>194</v>
      </c>
      <c r="B235" s="135" t="s">
        <v>1267</v>
      </c>
      <c r="C235" s="135" t="s">
        <v>20</v>
      </c>
      <c r="D235" s="142">
        <v>1</v>
      </c>
      <c r="E235" s="142">
        <v>0</v>
      </c>
      <c r="F235" s="142">
        <v>18</v>
      </c>
      <c r="G235" s="142">
        <v>0</v>
      </c>
      <c r="H235" s="135">
        <v>0</v>
      </c>
      <c r="I235" s="135">
        <v>0</v>
      </c>
      <c r="J235" s="135">
        <v>0.01</v>
      </c>
      <c r="K235" s="135">
        <v>0.01</v>
      </c>
      <c r="L235" s="135">
        <v>0</v>
      </c>
      <c r="M235" s="135">
        <v>0</v>
      </c>
    </row>
    <row r="236" spans="1:15" hidden="1">
      <c r="A236" s="135">
        <v>195</v>
      </c>
      <c r="B236" s="135" t="s">
        <v>1095</v>
      </c>
      <c r="C236" s="135" t="s">
        <v>20</v>
      </c>
      <c r="D236" s="142">
        <v>1</v>
      </c>
      <c r="E236" s="142">
        <v>2</v>
      </c>
      <c r="F236" s="142">
        <v>17</v>
      </c>
      <c r="G236" s="142">
        <v>15</v>
      </c>
      <c r="H236" s="135">
        <v>-50</v>
      </c>
      <c r="I236" s="135">
        <v>13.33</v>
      </c>
      <c r="J236" s="135">
        <v>0.01</v>
      </c>
      <c r="K236" s="135">
        <v>0.01</v>
      </c>
      <c r="L236" s="135">
        <v>0.01</v>
      </c>
      <c r="M236" s="135">
        <v>0.01</v>
      </c>
    </row>
    <row r="237" spans="1:15">
      <c r="A237" s="135">
        <v>196</v>
      </c>
      <c r="B237" s="135" t="s">
        <v>1211</v>
      </c>
      <c r="C237" s="135" t="s">
        <v>19</v>
      </c>
      <c r="D237" s="142">
        <v>1</v>
      </c>
      <c r="E237" s="142">
        <v>0</v>
      </c>
      <c r="F237" s="142">
        <v>17</v>
      </c>
      <c r="G237" s="142">
        <v>0</v>
      </c>
      <c r="H237" s="135">
        <v>0</v>
      </c>
      <c r="I237" s="135">
        <v>0</v>
      </c>
      <c r="J237" s="135">
        <v>0.01</v>
      </c>
      <c r="K237" s="135">
        <v>0.01</v>
      </c>
      <c r="L237" s="135">
        <v>0</v>
      </c>
      <c r="M237" s="135">
        <v>0</v>
      </c>
    </row>
    <row r="238" spans="1:15">
      <c r="A238" s="135">
        <v>197</v>
      </c>
      <c r="B238" s="135" t="s">
        <v>232</v>
      </c>
      <c r="C238" s="135" t="s">
        <v>19</v>
      </c>
      <c r="D238" s="142">
        <v>1</v>
      </c>
      <c r="E238" s="142">
        <v>0</v>
      </c>
      <c r="F238" s="142">
        <v>15</v>
      </c>
      <c r="G238" s="142">
        <v>33</v>
      </c>
      <c r="H238" s="135">
        <v>0</v>
      </c>
      <c r="I238" s="135">
        <v>-54.55</v>
      </c>
      <c r="J238" s="135">
        <v>0.01</v>
      </c>
      <c r="K238" s="135">
        <v>0.01</v>
      </c>
      <c r="L238" s="135">
        <v>0</v>
      </c>
      <c r="M238" s="135">
        <v>0.02</v>
      </c>
    </row>
    <row r="239" spans="1:15" hidden="1">
      <c r="A239" s="135">
        <v>198</v>
      </c>
      <c r="B239" s="135" t="s">
        <v>1077</v>
      </c>
      <c r="C239" s="135" t="s">
        <v>20</v>
      </c>
      <c r="D239" s="142">
        <v>0</v>
      </c>
      <c r="E239" s="142">
        <v>1</v>
      </c>
      <c r="F239" s="142">
        <v>15</v>
      </c>
      <c r="G239" s="142">
        <v>19</v>
      </c>
      <c r="H239" s="135">
        <v>-100</v>
      </c>
      <c r="I239" s="135">
        <v>-21.05</v>
      </c>
      <c r="J239" s="135">
        <v>0</v>
      </c>
      <c r="K239" s="135">
        <v>0.01</v>
      </c>
      <c r="L239" s="135">
        <v>0</v>
      </c>
      <c r="M239" s="135">
        <v>0.01</v>
      </c>
    </row>
    <row r="240" spans="1:15">
      <c r="A240" s="135">
        <v>199</v>
      </c>
      <c r="B240" s="135" t="s">
        <v>1155</v>
      </c>
      <c r="C240" s="135" t="s">
        <v>19</v>
      </c>
      <c r="D240" s="142">
        <v>3</v>
      </c>
      <c r="E240" s="142">
        <v>0</v>
      </c>
      <c r="F240" s="142">
        <v>15</v>
      </c>
      <c r="G240" s="142">
        <v>0</v>
      </c>
      <c r="H240" s="135">
        <v>0</v>
      </c>
      <c r="I240" s="135">
        <v>0</v>
      </c>
      <c r="J240" s="135">
        <v>0.02</v>
      </c>
      <c r="K240" s="135">
        <v>0.01</v>
      </c>
      <c r="L240" s="135">
        <v>0</v>
      </c>
      <c r="M240" s="135">
        <v>0</v>
      </c>
    </row>
    <row r="241" spans="1:13">
      <c r="A241" s="135">
        <v>200</v>
      </c>
      <c r="B241" s="135" t="s">
        <v>421</v>
      </c>
      <c r="C241" s="135" t="s">
        <v>19</v>
      </c>
      <c r="D241" s="142">
        <v>2</v>
      </c>
      <c r="E241" s="142">
        <v>2</v>
      </c>
      <c r="F241" s="142">
        <v>14</v>
      </c>
      <c r="G241" s="142">
        <v>34</v>
      </c>
      <c r="H241" s="135">
        <v>0</v>
      </c>
      <c r="I241" s="135">
        <v>-58.82</v>
      </c>
      <c r="J241" s="135">
        <v>0.01</v>
      </c>
      <c r="K241" s="135">
        <v>0.01</v>
      </c>
      <c r="L241" s="135">
        <v>0.01</v>
      </c>
      <c r="M241" s="135">
        <v>0.02</v>
      </c>
    </row>
    <row r="242" spans="1:13">
      <c r="A242" s="135">
        <v>201</v>
      </c>
      <c r="B242" s="135" t="s">
        <v>494</v>
      </c>
      <c r="C242" s="135" t="s">
        <v>19</v>
      </c>
      <c r="D242" s="142">
        <v>3</v>
      </c>
      <c r="E242" s="142">
        <v>1</v>
      </c>
      <c r="F242" s="142">
        <v>13</v>
      </c>
      <c r="G242" s="142">
        <v>42</v>
      </c>
      <c r="H242" s="135">
        <v>200</v>
      </c>
      <c r="I242" s="135">
        <v>-69.05</v>
      </c>
      <c r="J242" s="135">
        <v>0.02</v>
      </c>
      <c r="K242" s="135">
        <v>0.01</v>
      </c>
      <c r="L242" s="135">
        <v>0</v>
      </c>
      <c r="M242" s="135">
        <v>0.03</v>
      </c>
    </row>
    <row r="243" spans="1:13">
      <c r="A243" s="135">
        <v>202</v>
      </c>
      <c r="B243" s="135" t="s">
        <v>389</v>
      </c>
      <c r="C243" s="135" t="s">
        <v>19</v>
      </c>
      <c r="D243" s="142">
        <v>1</v>
      </c>
      <c r="E243" s="142">
        <v>0</v>
      </c>
      <c r="F243" s="142">
        <v>12</v>
      </c>
      <c r="G243" s="142">
        <v>8</v>
      </c>
      <c r="H243" s="135">
        <v>0</v>
      </c>
      <c r="I243" s="135">
        <v>50</v>
      </c>
      <c r="J243" s="135">
        <v>0.01</v>
      </c>
      <c r="K243" s="135">
        <v>0.01</v>
      </c>
      <c r="L243" s="135">
        <v>0</v>
      </c>
      <c r="M243" s="135">
        <v>0</v>
      </c>
    </row>
    <row r="244" spans="1:13">
      <c r="A244" s="135">
        <v>203</v>
      </c>
      <c r="B244" s="135" t="s">
        <v>381</v>
      </c>
      <c r="C244" s="135" t="s">
        <v>19</v>
      </c>
      <c r="D244" s="142">
        <v>10</v>
      </c>
      <c r="E244" s="142">
        <v>0</v>
      </c>
      <c r="F244" s="142">
        <v>10</v>
      </c>
      <c r="G244" s="142">
        <v>10</v>
      </c>
      <c r="H244" s="135">
        <v>0</v>
      </c>
      <c r="I244" s="135">
        <v>0</v>
      </c>
      <c r="J244" s="135">
        <v>0.05</v>
      </c>
      <c r="K244" s="135">
        <v>0.01</v>
      </c>
      <c r="L244" s="135">
        <v>0</v>
      </c>
      <c r="M244" s="135">
        <v>0.01</v>
      </c>
    </row>
    <row r="245" spans="1:13">
      <c r="A245" s="135">
        <v>204</v>
      </c>
      <c r="B245" s="135" t="s">
        <v>359</v>
      </c>
      <c r="C245" s="135" t="s">
        <v>19</v>
      </c>
      <c r="D245" s="142">
        <v>0</v>
      </c>
      <c r="E245" s="142">
        <v>2</v>
      </c>
      <c r="F245" s="142">
        <v>9</v>
      </c>
      <c r="G245" s="142">
        <v>16</v>
      </c>
      <c r="H245" s="135">
        <v>-100</v>
      </c>
      <c r="I245" s="135">
        <v>-43.75</v>
      </c>
      <c r="J245" s="135">
        <v>0</v>
      </c>
      <c r="K245" s="135">
        <v>0.01</v>
      </c>
      <c r="L245" s="135">
        <v>0.01</v>
      </c>
      <c r="M245" s="135">
        <v>0.01</v>
      </c>
    </row>
    <row r="246" spans="1:13">
      <c r="A246" s="135">
        <v>205</v>
      </c>
      <c r="B246" s="135" t="s">
        <v>377</v>
      </c>
      <c r="C246" s="135" t="s">
        <v>19</v>
      </c>
      <c r="D246" s="142">
        <v>0</v>
      </c>
      <c r="E246" s="142">
        <v>8</v>
      </c>
      <c r="F246" s="142">
        <v>6</v>
      </c>
      <c r="G246" s="142">
        <v>93</v>
      </c>
      <c r="H246" s="135">
        <v>-100</v>
      </c>
      <c r="I246" s="135">
        <v>-93.55</v>
      </c>
      <c r="J246" s="135">
        <v>0</v>
      </c>
      <c r="K246" s="135">
        <v>0</v>
      </c>
      <c r="L246" s="135">
        <v>0.03</v>
      </c>
      <c r="M246" s="135">
        <v>0.06</v>
      </c>
    </row>
    <row r="247" spans="1:13">
      <c r="A247" s="135">
        <v>206</v>
      </c>
      <c r="B247" s="135" t="s">
        <v>1091</v>
      </c>
      <c r="C247" s="135" t="s">
        <v>19</v>
      </c>
      <c r="D247" s="142">
        <v>1</v>
      </c>
      <c r="E247" s="142">
        <v>1</v>
      </c>
      <c r="F247" s="142">
        <v>6</v>
      </c>
      <c r="G247" s="142">
        <v>4</v>
      </c>
      <c r="H247" s="135">
        <v>0</v>
      </c>
      <c r="I247" s="135">
        <v>50</v>
      </c>
      <c r="J247" s="135">
        <v>0.01</v>
      </c>
      <c r="K247" s="135">
        <v>0</v>
      </c>
      <c r="L247" s="135">
        <v>0</v>
      </c>
      <c r="M247" s="135">
        <v>0</v>
      </c>
    </row>
    <row r="248" spans="1:13" hidden="1">
      <c r="A248" s="135">
        <v>207</v>
      </c>
      <c r="B248" s="135" t="s">
        <v>1269</v>
      </c>
      <c r="C248" s="135" t="s">
        <v>20</v>
      </c>
      <c r="D248" s="142">
        <v>1</v>
      </c>
      <c r="E248" s="142">
        <v>0</v>
      </c>
      <c r="F248" s="142">
        <v>6</v>
      </c>
      <c r="G248" s="142">
        <v>0</v>
      </c>
      <c r="H248" s="135">
        <v>0</v>
      </c>
      <c r="I248" s="135">
        <v>0</v>
      </c>
      <c r="J248" s="135">
        <v>0.01</v>
      </c>
      <c r="K248" s="135">
        <v>0</v>
      </c>
      <c r="L248" s="135">
        <v>0</v>
      </c>
      <c r="M248" s="135">
        <v>0</v>
      </c>
    </row>
    <row r="249" spans="1:13">
      <c r="A249" s="135">
        <v>208</v>
      </c>
      <c r="B249" s="135" t="s">
        <v>1212</v>
      </c>
      <c r="C249" s="135" t="s">
        <v>19</v>
      </c>
      <c r="D249" s="142">
        <v>4</v>
      </c>
      <c r="E249" s="142">
        <v>0</v>
      </c>
      <c r="F249" s="142">
        <v>5</v>
      </c>
      <c r="G249" s="142">
        <v>0</v>
      </c>
      <c r="H249" s="135">
        <v>0</v>
      </c>
      <c r="I249" s="135">
        <v>0</v>
      </c>
      <c r="J249" s="135">
        <v>0.02</v>
      </c>
      <c r="K249" s="135">
        <v>0</v>
      </c>
      <c r="L249" s="135">
        <v>0</v>
      </c>
      <c r="M249" s="135">
        <v>0</v>
      </c>
    </row>
    <row r="250" spans="1:13" hidden="1">
      <c r="A250" s="135">
        <v>209</v>
      </c>
      <c r="B250" s="135" t="s">
        <v>1248</v>
      </c>
      <c r="C250" s="135" t="s">
        <v>20</v>
      </c>
      <c r="D250" s="142">
        <v>0</v>
      </c>
      <c r="E250" s="142">
        <v>0</v>
      </c>
      <c r="F250" s="142">
        <v>5</v>
      </c>
      <c r="G250" s="142">
        <v>0</v>
      </c>
      <c r="H250" s="135">
        <v>0</v>
      </c>
      <c r="I250" s="135">
        <v>0</v>
      </c>
      <c r="J250" s="135">
        <v>0</v>
      </c>
      <c r="K250" s="135">
        <v>0</v>
      </c>
      <c r="L250" s="135">
        <v>0</v>
      </c>
      <c r="M250" s="135">
        <v>0</v>
      </c>
    </row>
    <row r="251" spans="1:13">
      <c r="A251" s="135">
        <v>210</v>
      </c>
      <c r="B251" s="135" t="s">
        <v>1058</v>
      </c>
      <c r="C251" s="135" t="s">
        <v>19</v>
      </c>
      <c r="D251" s="142">
        <v>1</v>
      </c>
      <c r="E251" s="142">
        <v>0</v>
      </c>
      <c r="F251" s="142">
        <v>5</v>
      </c>
      <c r="G251" s="142">
        <v>0</v>
      </c>
      <c r="H251" s="135">
        <v>0</v>
      </c>
      <c r="I251" s="135">
        <v>0</v>
      </c>
      <c r="J251" s="135">
        <v>0.01</v>
      </c>
      <c r="K251" s="135">
        <v>0</v>
      </c>
      <c r="L251" s="135">
        <v>0</v>
      </c>
      <c r="M251" s="135">
        <v>0</v>
      </c>
    </row>
    <row r="252" spans="1:13">
      <c r="A252" s="135">
        <v>211</v>
      </c>
      <c r="B252" s="135" t="s">
        <v>1092</v>
      </c>
      <c r="C252" s="135" t="s">
        <v>19</v>
      </c>
      <c r="D252" s="142">
        <v>0</v>
      </c>
      <c r="E252" s="142">
        <v>0</v>
      </c>
      <c r="F252" s="142">
        <v>5</v>
      </c>
      <c r="G252" s="142">
        <v>0</v>
      </c>
      <c r="H252" s="135">
        <v>0</v>
      </c>
      <c r="I252" s="135">
        <v>0</v>
      </c>
      <c r="J252" s="135">
        <v>0</v>
      </c>
      <c r="K252" s="135">
        <v>0</v>
      </c>
      <c r="L252" s="135">
        <v>0</v>
      </c>
      <c r="M252" s="135">
        <v>0</v>
      </c>
    </row>
    <row r="253" spans="1:13">
      <c r="A253" s="135">
        <v>212</v>
      </c>
      <c r="B253" s="135" t="s">
        <v>433</v>
      </c>
      <c r="C253" s="135" t="s">
        <v>19</v>
      </c>
      <c r="D253" s="142">
        <v>0</v>
      </c>
      <c r="E253" s="142">
        <v>0</v>
      </c>
      <c r="F253" s="142">
        <v>4</v>
      </c>
      <c r="G253" s="142">
        <v>8</v>
      </c>
      <c r="H253" s="135">
        <v>0</v>
      </c>
      <c r="I253" s="135">
        <v>-50</v>
      </c>
      <c r="J253" s="135">
        <v>0</v>
      </c>
      <c r="K253" s="135">
        <v>0</v>
      </c>
      <c r="L253" s="135">
        <v>0</v>
      </c>
      <c r="M253" s="135">
        <v>0</v>
      </c>
    </row>
    <row r="254" spans="1:13">
      <c r="A254" s="135">
        <v>213</v>
      </c>
      <c r="B254" s="135" t="s">
        <v>1094</v>
      </c>
      <c r="C254" s="135" t="s">
        <v>19</v>
      </c>
      <c r="D254" s="142">
        <v>1</v>
      </c>
      <c r="E254" s="142">
        <v>0</v>
      </c>
      <c r="F254" s="142">
        <v>4</v>
      </c>
      <c r="G254" s="142">
        <v>5</v>
      </c>
      <c r="H254" s="135">
        <v>0</v>
      </c>
      <c r="I254" s="135">
        <v>-20</v>
      </c>
      <c r="J254" s="135">
        <v>0.01</v>
      </c>
      <c r="K254" s="135">
        <v>0</v>
      </c>
      <c r="L254" s="135">
        <v>0</v>
      </c>
      <c r="M254" s="135">
        <v>0</v>
      </c>
    </row>
    <row r="255" spans="1:13" hidden="1">
      <c r="A255" s="135">
        <v>214</v>
      </c>
      <c r="B255" s="135" t="s">
        <v>1251</v>
      </c>
      <c r="C255" s="135" t="s">
        <v>20</v>
      </c>
      <c r="D255" s="142">
        <v>1</v>
      </c>
      <c r="E255" s="142">
        <v>0</v>
      </c>
      <c r="F255" s="142">
        <v>4</v>
      </c>
      <c r="G255" s="142">
        <v>0</v>
      </c>
      <c r="H255" s="135">
        <v>0</v>
      </c>
      <c r="I255" s="135">
        <v>0</v>
      </c>
      <c r="J255" s="135">
        <v>0.01</v>
      </c>
      <c r="K255" s="135">
        <v>0</v>
      </c>
      <c r="L255" s="135">
        <v>0</v>
      </c>
      <c r="M255" s="135">
        <v>0</v>
      </c>
    </row>
    <row r="256" spans="1:13" hidden="1">
      <c r="A256" s="135">
        <v>215</v>
      </c>
      <c r="B256" s="135" t="s">
        <v>1146</v>
      </c>
      <c r="C256" s="135" t="s">
        <v>20</v>
      </c>
      <c r="D256" s="142">
        <v>1</v>
      </c>
      <c r="E256" s="142">
        <v>0</v>
      </c>
      <c r="F256" s="142">
        <v>4</v>
      </c>
      <c r="G256" s="142">
        <v>0</v>
      </c>
      <c r="H256" s="135">
        <v>0</v>
      </c>
      <c r="I256" s="135">
        <v>0</v>
      </c>
      <c r="J256" s="135">
        <v>0.01</v>
      </c>
      <c r="K256" s="135">
        <v>0</v>
      </c>
      <c r="L256" s="135">
        <v>0</v>
      </c>
      <c r="M256" s="135">
        <v>0</v>
      </c>
    </row>
    <row r="257" spans="1:13">
      <c r="A257" s="135">
        <v>216</v>
      </c>
      <c r="B257" s="135" t="s">
        <v>140</v>
      </c>
      <c r="C257" s="135" t="s">
        <v>19</v>
      </c>
      <c r="D257" s="142">
        <v>0</v>
      </c>
      <c r="E257" s="142">
        <v>2</v>
      </c>
      <c r="F257" s="142">
        <v>3</v>
      </c>
      <c r="G257" s="142">
        <v>107</v>
      </c>
      <c r="H257" s="135">
        <v>-100</v>
      </c>
      <c r="I257" s="135">
        <v>-97.2</v>
      </c>
      <c r="J257" s="135">
        <v>0</v>
      </c>
      <c r="K257" s="135">
        <v>0</v>
      </c>
      <c r="L257" s="135">
        <v>0.01</v>
      </c>
      <c r="M257" s="135">
        <v>7.0000000000000007E-2</v>
      </c>
    </row>
    <row r="258" spans="1:13">
      <c r="A258" s="135">
        <v>217</v>
      </c>
      <c r="B258" s="135" t="s">
        <v>551</v>
      </c>
      <c r="C258" s="135" t="s">
        <v>19</v>
      </c>
      <c r="D258" s="142">
        <v>0</v>
      </c>
      <c r="E258" s="142">
        <v>2</v>
      </c>
      <c r="F258" s="142">
        <v>3</v>
      </c>
      <c r="G258" s="142">
        <v>7</v>
      </c>
      <c r="H258" s="135">
        <v>-100</v>
      </c>
      <c r="I258" s="135">
        <v>-57.14</v>
      </c>
      <c r="J258" s="135">
        <v>0</v>
      </c>
      <c r="K258" s="135">
        <v>0</v>
      </c>
      <c r="L258" s="135">
        <v>0.01</v>
      </c>
      <c r="M258" s="135">
        <v>0</v>
      </c>
    </row>
    <row r="259" spans="1:13" hidden="1">
      <c r="A259" s="135">
        <v>218</v>
      </c>
      <c r="B259" s="135" t="s">
        <v>1154</v>
      </c>
      <c r="C259" s="135" t="s">
        <v>20</v>
      </c>
      <c r="D259" s="142">
        <v>0</v>
      </c>
      <c r="E259" s="142">
        <v>2</v>
      </c>
      <c r="F259" s="142">
        <v>3</v>
      </c>
      <c r="G259" s="142">
        <v>3</v>
      </c>
      <c r="H259" s="135">
        <v>-100</v>
      </c>
      <c r="I259" s="135">
        <v>0</v>
      </c>
      <c r="J259" s="135">
        <v>0</v>
      </c>
      <c r="K259" s="135">
        <v>0</v>
      </c>
      <c r="L259" s="135">
        <v>0.01</v>
      </c>
      <c r="M259" s="135">
        <v>0</v>
      </c>
    </row>
    <row r="260" spans="1:13">
      <c r="A260" s="135">
        <v>219</v>
      </c>
      <c r="B260" s="135" t="s">
        <v>1098</v>
      </c>
      <c r="C260" s="135" t="s">
        <v>19</v>
      </c>
      <c r="D260" s="142">
        <v>0</v>
      </c>
      <c r="E260" s="142">
        <v>0</v>
      </c>
      <c r="F260" s="142">
        <v>3</v>
      </c>
      <c r="G260" s="142">
        <v>2</v>
      </c>
      <c r="H260" s="135">
        <v>0</v>
      </c>
      <c r="I260" s="135">
        <v>50</v>
      </c>
      <c r="J260" s="135">
        <v>0</v>
      </c>
      <c r="K260" s="135">
        <v>0</v>
      </c>
      <c r="L260" s="135">
        <v>0</v>
      </c>
      <c r="M260" s="135">
        <v>0</v>
      </c>
    </row>
    <row r="261" spans="1:13">
      <c r="A261" s="135">
        <v>220</v>
      </c>
      <c r="B261" s="135" t="s">
        <v>1184</v>
      </c>
      <c r="C261" s="135" t="s">
        <v>19</v>
      </c>
      <c r="D261" s="142">
        <v>0</v>
      </c>
      <c r="E261" s="142">
        <v>0</v>
      </c>
      <c r="F261" s="142">
        <v>3</v>
      </c>
      <c r="G261" s="142">
        <v>0</v>
      </c>
      <c r="H261" s="135">
        <v>0</v>
      </c>
      <c r="I261" s="135">
        <v>0</v>
      </c>
      <c r="J261" s="135">
        <v>0</v>
      </c>
      <c r="K261" s="135">
        <v>0</v>
      </c>
      <c r="L261" s="135">
        <v>0</v>
      </c>
      <c r="M261" s="135">
        <v>0</v>
      </c>
    </row>
    <row r="262" spans="1:13" hidden="1">
      <c r="A262" s="135">
        <v>221</v>
      </c>
      <c r="B262" s="135" t="s">
        <v>230</v>
      </c>
      <c r="C262" s="135" t="s">
        <v>20</v>
      </c>
      <c r="D262" s="142">
        <v>0</v>
      </c>
      <c r="E262" s="142">
        <v>5</v>
      </c>
      <c r="F262" s="142">
        <v>2</v>
      </c>
      <c r="G262" s="142">
        <v>1872</v>
      </c>
      <c r="H262" s="135">
        <v>-100</v>
      </c>
      <c r="I262" s="135">
        <v>-99.89</v>
      </c>
      <c r="J262" s="135">
        <v>0</v>
      </c>
      <c r="K262" s="135">
        <v>0</v>
      </c>
      <c r="L262" s="135">
        <v>0.02</v>
      </c>
      <c r="M262" s="135">
        <v>1.1599999999999999</v>
      </c>
    </row>
    <row r="263" spans="1:13">
      <c r="A263" s="135">
        <v>222</v>
      </c>
      <c r="B263" s="135" t="s">
        <v>1096</v>
      </c>
      <c r="C263" s="135" t="s">
        <v>19</v>
      </c>
      <c r="D263" s="142">
        <v>0</v>
      </c>
      <c r="E263" s="142">
        <v>0</v>
      </c>
      <c r="F263" s="142">
        <v>2</v>
      </c>
      <c r="G263" s="142">
        <v>66</v>
      </c>
      <c r="H263" s="135">
        <v>0</v>
      </c>
      <c r="I263" s="135">
        <v>-96.97</v>
      </c>
      <c r="J263" s="135">
        <v>0</v>
      </c>
      <c r="K263" s="135">
        <v>0</v>
      </c>
      <c r="L263" s="135">
        <v>0</v>
      </c>
      <c r="M263" s="135">
        <v>0.04</v>
      </c>
    </row>
    <row r="264" spans="1:13">
      <c r="A264" s="135">
        <v>223</v>
      </c>
      <c r="B264" s="135" t="s">
        <v>669</v>
      </c>
      <c r="C264" s="135" t="s">
        <v>19</v>
      </c>
      <c r="D264" s="142">
        <v>0</v>
      </c>
      <c r="E264" s="142">
        <v>1</v>
      </c>
      <c r="F264" s="142">
        <v>2</v>
      </c>
      <c r="G264" s="142">
        <v>17</v>
      </c>
      <c r="H264" s="135">
        <v>-100</v>
      </c>
      <c r="I264" s="135">
        <v>-88.24</v>
      </c>
      <c r="J264" s="135">
        <v>0</v>
      </c>
      <c r="K264" s="135">
        <v>0</v>
      </c>
      <c r="L264" s="135">
        <v>0</v>
      </c>
      <c r="M264" s="135">
        <v>0.01</v>
      </c>
    </row>
    <row r="265" spans="1:13" hidden="1">
      <c r="A265" s="135">
        <v>224</v>
      </c>
      <c r="B265" s="135" t="s">
        <v>486</v>
      </c>
      <c r="C265" s="135" t="s">
        <v>239</v>
      </c>
      <c r="D265" s="142">
        <v>0</v>
      </c>
      <c r="E265" s="142">
        <v>0</v>
      </c>
      <c r="F265" s="142">
        <v>2</v>
      </c>
      <c r="G265" s="142">
        <v>2</v>
      </c>
      <c r="H265" s="135">
        <v>0</v>
      </c>
      <c r="I265" s="135">
        <v>0</v>
      </c>
      <c r="J265" s="135">
        <v>0</v>
      </c>
      <c r="K265" s="135">
        <v>0</v>
      </c>
      <c r="L265" s="135">
        <v>0</v>
      </c>
      <c r="M265" s="135">
        <v>0</v>
      </c>
    </row>
    <row r="266" spans="1:13">
      <c r="A266" s="135">
        <v>225</v>
      </c>
      <c r="B266" s="135" t="s">
        <v>170</v>
      </c>
      <c r="C266" s="135" t="s">
        <v>19</v>
      </c>
      <c r="D266" s="142">
        <v>1</v>
      </c>
      <c r="E266" s="142">
        <v>0</v>
      </c>
      <c r="F266" s="142">
        <v>2</v>
      </c>
      <c r="G266" s="142">
        <v>2</v>
      </c>
      <c r="H266" s="135">
        <v>0</v>
      </c>
      <c r="I266" s="135">
        <v>0</v>
      </c>
      <c r="J266" s="135">
        <v>0.01</v>
      </c>
      <c r="K266" s="135">
        <v>0</v>
      </c>
      <c r="L266" s="135">
        <v>0</v>
      </c>
      <c r="M266" s="135">
        <v>0</v>
      </c>
    </row>
    <row r="267" spans="1:13">
      <c r="A267" s="135">
        <v>226</v>
      </c>
      <c r="B267" s="135" t="s">
        <v>1131</v>
      </c>
      <c r="C267" s="135" t="s">
        <v>19</v>
      </c>
      <c r="D267" s="142">
        <v>0</v>
      </c>
      <c r="E267" s="142">
        <v>0</v>
      </c>
      <c r="F267" s="142">
        <v>2</v>
      </c>
      <c r="G267" s="142">
        <v>0</v>
      </c>
      <c r="H267" s="135">
        <v>0</v>
      </c>
      <c r="I267" s="135">
        <v>0</v>
      </c>
      <c r="J267" s="135">
        <v>0</v>
      </c>
      <c r="K267" s="135">
        <v>0</v>
      </c>
      <c r="L267" s="135">
        <v>0</v>
      </c>
      <c r="M267" s="135">
        <v>0</v>
      </c>
    </row>
    <row r="268" spans="1:13">
      <c r="A268" s="135">
        <v>227</v>
      </c>
      <c r="B268" s="135" t="s">
        <v>420</v>
      </c>
      <c r="C268" s="135" t="s">
        <v>19</v>
      </c>
      <c r="D268" s="142">
        <v>0</v>
      </c>
      <c r="E268" s="142">
        <v>1</v>
      </c>
      <c r="F268" s="142">
        <v>1</v>
      </c>
      <c r="G268" s="142">
        <v>222</v>
      </c>
      <c r="H268" s="135">
        <v>-100</v>
      </c>
      <c r="I268" s="135">
        <v>-99.55</v>
      </c>
      <c r="J268" s="135">
        <v>0</v>
      </c>
      <c r="K268" s="135">
        <v>0</v>
      </c>
      <c r="L268" s="135">
        <v>0</v>
      </c>
      <c r="M268" s="135">
        <v>0.14000000000000001</v>
      </c>
    </row>
    <row r="269" spans="1:13">
      <c r="A269" s="135">
        <v>228</v>
      </c>
      <c r="B269" s="135" t="s">
        <v>1093</v>
      </c>
      <c r="C269" s="135" t="s">
        <v>19</v>
      </c>
      <c r="D269" s="142">
        <v>0</v>
      </c>
      <c r="E269" s="142">
        <v>1</v>
      </c>
      <c r="F269" s="142">
        <v>1</v>
      </c>
      <c r="G269" s="142">
        <v>87</v>
      </c>
      <c r="H269" s="135">
        <v>-100</v>
      </c>
      <c r="I269" s="135">
        <v>-98.85</v>
      </c>
      <c r="J269" s="135">
        <v>0</v>
      </c>
      <c r="K269" s="135">
        <v>0</v>
      </c>
      <c r="L269" s="135">
        <v>0</v>
      </c>
      <c r="M269" s="135">
        <v>0.05</v>
      </c>
    </row>
    <row r="270" spans="1:13" hidden="1">
      <c r="A270" s="135">
        <v>229</v>
      </c>
      <c r="B270" s="135" t="s">
        <v>1220</v>
      </c>
      <c r="C270" s="135" t="s">
        <v>20</v>
      </c>
      <c r="D270" s="142">
        <v>0</v>
      </c>
      <c r="E270" s="142">
        <v>0</v>
      </c>
      <c r="F270" s="142">
        <v>1</v>
      </c>
      <c r="G270" s="142">
        <v>0</v>
      </c>
      <c r="H270" s="135">
        <v>0</v>
      </c>
      <c r="I270" s="135">
        <v>0</v>
      </c>
      <c r="J270" s="135">
        <v>0</v>
      </c>
      <c r="K270" s="135">
        <v>0</v>
      </c>
      <c r="L270" s="135">
        <v>0</v>
      </c>
      <c r="M270" s="135">
        <v>0</v>
      </c>
    </row>
    <row r="271" spans="1:13" hidden="1">
      <c r="A271" s="135">
        <v>230</v>
      </c>
      <c r="B271" s="135" t="s">
        <v>1275</v>
      </c>
      <c r="C271" s="135" t="s">
        <v>20</v>
      </c>
      <c r="D271" s="142">
        <v>0</v>
      </c>
      <c r="E271" s="142">
        <v>0</v>
      </c>
      <c r="F271" s="142">
        <v>1</v>
      </c>
      <c r="G271" s="142">
        <v>0</v>
      </c>
      <c r="H271" s="135">
        <v>0</v>
      </c>
      <c r="I271" s="135">
        <v>0</v>
      </c>
      <c r="J271" s="135">
        <v>0</v>
      </c>
      <c r="K271" s="135">
        <v>0</v>
      </c>
      <c r="L271" s="135">
        <v>0</v>
      </c>
      <c r="M271" s="135">
        <v>0</v>
      </c>
    </row>
    <row r="272" spans="1:13" hidden="1">
      <c r="A272" s="135">
        <v>231</v>
      </c>
      <c r="B272" s="135" t="s">
        <v>558</v>
      </c>
      <c r="C272" s="135" t="s">
        <v>20</v>
      </c>
      <c r="D272" s="142">
        <v>0</v>
      </c>
      <c r="E272" s="142">
        <v>0</v>
      </c>
      <c r="F272" s="142">
        <v>0</v>
      </c>
      <c r="G272" s="142">
        <v>62</v>
      </c>
      <c r="H272" s="135">
        <v>0</v>
      </c>
      <c r="I272" s="135">
        <v>-100</v>
      </c>
      <c r="J272" s="135">
        <v>0</v>
      </c>
      <c r="K272" s="135">
        <v>0</v>
      </c>
      <c r="L272" s="135">
        <v>0</v>
      </c>
      <c r="M272" s="135">
        <v>0.04</v>
      </c>
    </row>
    <row r="273" spans="1:13">
      <c r="A273" s="135">
        <v>232</v>
      </c>
      <c r="B273" s="135" t="s">
        <v>233</v>
      </c>
      <c r="C273" s="135" t="s">
        <v>19</v>
      </c>
      <c r="D273" s="142">
        <v>0</v>
      </c>
      <c r="E273" s="142">
        <v>0</v>
      </c>
      <c r="F273" s="142">
        <v>0</v>
      </c>
      <c r="G273" s="142">
        <v>45</v>
      </c>
      <c r="H273" s="135">
        <v>0</v>
      </c>
      <c r="I273" s="135">
        <v>-100</v>
      </c>
      <c r="J273" s="135">
        <v>0</v>
      </c>
      <c r="K273" s="135">
        <v>0</v>
      </c>
      <c r="L273" s="135">
        <v>0</v>
      </c>
      <c r="M273" s="135">
        <v>0.03</v>
      </c>
    </row>
    <row r="274" spans="1:13">
      <c r="A274" s="135">
        <v>233</v>
      </c>
      <c r="B274" s="135" t="s">
        <v>349</v>
      </c>
      <c r="C274" s="135" t="s">
        <v>19</v>
      </c>
      <c r="D274" s="142">
        <v>0</v>
      </c>
      <c r="E274" s="142">
        <v>0</v>
      </c>
      <c r="F274" s="142">
        <v>0</v>
      </c>
      <c r="G274" s="142">
        <v>11</v>
      </c>
      <c r="H274" s="135">
        <v>0</v>
      </c>
      <c r="I274" s="135">
        <v>-100</v>
      </c>
      <c r="J274" s="135">
        <v>0</v>
      </c>
      <c r="K274" s="135">
        <v>0</v>
      </c>
      <c r="L274" s="135">
        <v>0</v>
      </c>
      <c r="M274" s="135">
        <v>0.01</v>
      </c>
    </row>
    <row r="275" spans="1:13">
      <c r="A275" s="135">
        <v>234</v>
      </c>
      <c r="B275" s="135" t="s">
        <v>204</v>
      </c>
      <c r="C275" s="135" t="s">
        <v>19</v>
      </c>
      <c r="D275" s="142">
        <v>0</v>
      </c>
      <c r="E275" s="142">
        <v>0</v>
      </c>
      <c r="F275" s="142">
        <v>0</v>
      </c>
      <c r="G275" s="142">
        <v>8</v>
      </c>
      <c r="H275" s="135">
        <v>0</v>
      </c>
      <c r="I275" s="135">
        <v>-100</v>
      </c>
      <c r="J275" s="135">
        <v>0</v>
      </c>
      <c r="K275" s="135">
        <v>0</v>
      </c>
      <c r="L275" s="135">
        <v>0</v>
      </c>
      <c r="M275" s="135">
        <v>0</v>
      </c>
    </row>
    <row r="276" spans="1:13" hidden="1">
      <c r="A276" s="135">
        <v>235</v>
      </c>
      <c r="B276" s="135" t="s">
        <v>402</v>
      </c>
      <c r="C276" s="135" t="s">
        <v>1059</v>
      </c>
      <c r="D276" s="142">
        <v>0</v>
      </c>
      <c r="E276" s="142">
        <v>0</v>
      </c>
      <c r="F276" s="142">
        <v>0</v>
      </c>
      <c r="G276" s="142">
        <v>8</v>
      </c>
      <c r="H276" s="135">
        <v>0</v>
      </c>
      <c r="I276" s="135">
        <v>-100</v>
      </c>
      <c r="J276" s="135">
        <v>0</v>
      </c>
      <c r="K276" s="135">
        <v>0</v>
      </c>
      <c r="L276" s="135">
        <v>0</v>
      </c>
      <c r="M276" s="135">
        <v>0</v>
      </c>
    </row>
    <row r="277" spans="1:13" hidden="1">
      <c r="A277" s="135">
        <v>236</v>
      </c>
      <c r="B277" s="135" t="s">
        <v>1148</v>
      </c>
      <c r="C277" s="135" t="s">
        <v>20</v>
      </c>
      <c r="D277" s="142">
        <v>0</v>
      </c>
      <c r="E277" s="142">
        <v>0</v>
      </c>
      <c r="F277" s="142">
        <v>0</v>
      </c>
      <c r="G277" s="142">
        <v>7</v>
      </c>
      <c r="H277" s="135">
        <v>0</v>
      </c>
      <c r="I277" s="135">
        <v>-100</v>
      </c>
      <c r="J277" s="135">
        <v>0</v>
      </c>
      <c r="K277" s="135">
        <v>0</v>
      </c>
      <c r="L277" s="135">
        <v>0</v>
      </c>
      <c r="M277" s="135">
        <v>0</v>
      </c>
    </row>
    <row r="278" spans="1:13">
      <c r="A278" s="135">
        <v>237</v>
      </c>
      <c r="B278" s="135" t="s">
        <v>1156</v>
      </c>
      <c r="C278" s="135" t="s">
        <v>19</v>
      </c>
      <c r="D278" s="142">
        <v>0</v>
      </c>
      <c r="E278" s="142">
        <v>0</v>
      </c>
      <c r="F278" s="142">
        <v>0</v>
      </c>
      <c r="G278" s="142">
        <v>7</v>
      </c>
      <c r="H278" s="135">
        <v>0</v>
      </c>
      <c r="I278" s="135">
        <v>-100</v>
      </c>
      <c r="J278" s="135">
        <v>0</v>
      </c>
      <c r="K278" s="135">
        <v>0</v>
      </c>
      <c r="L278" s="135">
        <v>0</v>
      </c>
      <c r="M278" s="135">
        <v>0</v>
      </c>
    </row>
    <row r="279" spans="1:13">
      <c r="A279" s="135">
        <v>238</v>
      </c>
      <c r="B279" s="135" t="s">
        <v>1132</v>
      </c>
      <c r="C279" s="135" t="s">
        <v>19</v>
      </c>
      <c r="D279" s="142">
        <v>0</v>
      </c>
      <c r="E279" s="142">
        <v>0</v>
      </c>
      <c r="F279" s="142">
        <v>0</v>
      </c>
      <c r="G279" s="142">
        <v>4</v>
      </c>
      <c r="H279" s="135">
        <v>0</v>
      </c>
      <c r="I279" s="135">
        <v>-100</v>
      </c>
      <c r="J279" s="135">
        <v>0</v>
      </c>
      <c r="K279" s="135">
        <v>0</v>
      </c>
      <c r="L279" s="135">
        <v>0</v>
      </c>
      <c r="M279" s="135">
        <v>0</v>
      </c>
    </row>
    <row r="280" spans="1:13">
      <c r="A280" s="135">
        <v>239</v>
      </c>
      <c r="B280" s="135" t="s">
        <v>1097</v>
      </c>
      <c r="C280" s="135" t="s">
        <v>19</v>
      </c>
      <c r="D280" s="142">
        <v>0</v>
      </c>
      <c r="E280" s="142">
        <v>0</v>
      </c>
      <c r="F280" s="142">
        <v>0</v>
      </c>
      <c r="G280" s="142">
        <v>3</v>
      </c>
      <c r="H280" s="135">
        <v>0</v>
      </c>
      <c r="I280" s="135">
        <v>-100</v>
      </c>
      <c r="J280" s="135">
        <v>0</v>
      </c>
      <c r="K280" s="135">
        <v>0</v>
      </c>
      <c r="L280" s="135">
        <v>0</v>
      </c>
      <c r="M280" s="135">
        <v>0</v>
      </c>
    </row>
    <row r="281" spans="1:13" hidden="1">
      <c r="A281" s="135">
        <v>240</v>
      </c>
      <c r="B281" s="135" t="s">
        <v>1213</v>
      </c>
      <c r="C281" s="135" t="s">
        <v>239</v>
      </c>
      <c r="D281" s="142">
        <v>0</v>
      </c>
      <c r="E281" s="142">
        <v>0</v>
      </c>
      <c r="F281" s="142">
        <v>0</v>
      </c>
      <c r="G281" s="142">
        <v>2</v>
      </c>
      <c r="H281" s="135">
        <v>0</v>
      </c>
      <c r="I281" s="135">
        <v>-100</v>
      </c>
      <c r="J281" s="135">
        <v>0</v>
      </c>
      <c r="K281" s="135">
        <v>0</v>
      </c>
      <c r="L281" s="135">
        <v>0</v>
      </c>
      <c r="M281" s="135">
        <v>0</v>
      </c>
    </row>
    <row r="282" spans="1:13">
      <c r="A282" s="135"/>
      <c r="B282" s="135" t="s">
        <v>454</v>
      </c>
      <c r="C282" s="135"/>
      <c r="D282" s="142">
        <f>SUBTOTAL(109,getAggRechargeModels619[antalPerioden])</f>
        <v>7111</v>
      </c>
      <c r="E282" s="142">
        <f>SUBTOTAL(109,getAggRechargeModels619[antalFGPeriod])</f>
        <v>8260</v>
      </c>
      <c r="F282" s="142">
        <f>SUBTOTAL(109,getAggRechargeModels619[antalÅret])</f>
        <v>61434</v>
      </c>
      <c r="G282" s="142">
        <f>SUBTOTAL(109,getAggRechargeModels619[antalFGAr])</f>
        <v>67188</v>
      </c>
      <c r="H282" s="137">
        <f>IF(getAggRechargeModels619[[#Totals],[antalFGPeriod]] &gt;0,(getAggRechargeModels619[[#Totals],[antalPerioden]] - getAggRechargeModels619[[#Totals],[antalFGPeriod]] ) / getAggRechargeModels619[[#Totals],[antalFGPeriod]] *100,0)</f>
        <v>-13.910411622276028</v>
      </c>
      <c r="I282" s="137">
        <f>IF(getAggRechargeModels619[[#Totals],[antalFGAr]] &gt; 0,( getAggRechargeModels619[[#Totals],[antalÅret]] - getAggRechargeModels619[[#Totals],[antalFGAr]] ) / getAggRechargeModels619[[#Totals],[antalFGAr]] * 100,0)</f>
        <v>-8.5640292909448128</v>
      </c>
      <c r="J282" s="143">
        <f>IF(getAggModelsPB[[#Totals],[antalPerioden]] &gt; 0,getAggRechargeModels619[[#Totals],[antalPerioden]]  / getAggModelsPB[[#Totals],[antalPerioden]] * 100,0)</f>
        <v>24.291179886588782</v>
      </c>
      <c r="K282" s="143">
        <f>IF(getAggModelsPB[[#Totals],[antalÅret]] &gt; 0,getAggRechargeModels619[[#Totals],[antalÅret]]  / getAggModelsPB[[#Totals],[antalÅret]] * 100,0)</f>
        <v>21.208637564082647</v>
      </c>
      <c r="L282" s="143">
        <f>IF(getAggModelsPB[[#Totals],[antalFGPeriod]] &gt; 0,getAggRechargeModels619[[#Totals],[antalFGPeriod]]  / getAggModelsPB[[#Totals],[antalFGPeriod]] * 100,0)</f>
        <v>23.283346487766376</v>
      </c>
      <c r="M282" s="143">
        <f>IF(getAggModelsPB[[#Totals],[antalFGAr]] &gt; 0,getAggRechargeModels619[[#Totals],[antalFGAr]]  / getAggModelsPB[[#Totals],[antalFGAr]] * 100,0)</f>
        <v>23.322121442480917</v>
      </c>
    </row>
    <row r="286" spans="1:13">
      <c r="A286" t="s">
        <v>677</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79</vt:i4>
      </vt:variant>
    </vt:vector>
  </HeadingPairs>
  <TitlesOfParts>
    <vt:vector size="99"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2024-01-01T18:10:39Z</cp:lastPrinted>
  <dcterms:created xsi:type="dcterms:W3CDTF">2020-01-13T13:32:32Z</dcterms:created>
  <dcterms:modified xsi:type="dcterms:W3CDTF">2024-01-01T18:11:36Z</dcterms:modified>
</cp:coreProperties>
</file>