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1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2.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23.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4.xml" ContentType="application/vnd.openxmlformats-officedocument.drawingml.chartshapes+xml"/>
  <Override PartName="/xl/drawings/drawing25.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6.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28.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drawings/drawing32.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pivotTables/pivotTable3.xml" ContentType="application/vnd.openxmlformats-officedocument.spreadsheetml.pivotTable+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MAJ 2023/"/>
    </mc:Choice>
  </mc:AlternateContent>
  <xr:revisionPtr revIDLastSave="16" documentId="8_{5D53023A-CB9F-4948-9152-91E023672FA6}" xr6:coauthVersionLast="47" xr6:coauthVersionMax="47" xr10:uidLastSave="{2504F4CB-0476-3C42-85B2-4CF15FFA7ECF}"/>
  <bookViews>
    <workbookView xWindow="38720" yWindow="500" windowWidth="24760" windowHeight="16700" tabRatio="773" xr2:uid="{00000000-000D-0000-FFFF-FFFF00000000}"/>
  </bookViews>
  <sheets>
    <sheet name="Innehåll" sheetId="1" r:id="rId1"/>
    <sheet name="A. Personbilar" sheetId="2" r:id="rId2"/>
    <sheet name="A.1 Rankinglista PB" sheetId="8" r:id="rId3"/>
    <sheet name="A.2 Fabrikat och modeller PB" sheetId="49"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LLB'!$A$7:$L$35</definedName>
    <definedName name="bdsql12_BDmodell_getAggRechargeModels_1" localSheetId="6" hidden="1">'A.5 Laddbara PB'!$A$41:$M$256</definedName>
    <definedName name="bdsql12_BDmodell_getAggRechargeModels_1" localSheetId="7" hidden="1">'A.51 Elbilar PB'!$A$39:$M$254</definedName>
    <definedName name="bdsql12_BDmodell_getAggRechargeModels_1" localSheetId="8" hidden="1">'A.52 Laddhybrider PB'!$A$40:$M$255</definedName>
    <definedName name="bdsql12_BDmodell_PB" localSheetId="2" hidden="1">'A.1 Rankinglista PB'!$A$7:$L$340</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Fysiska-Juridiska'!$A$8:$Q$64</definedName>
    <definedName name="bdsql12_BDnewRegistrations_getAggMakes" localSheetId="13" hidden="1">'B.2 Fabrikat LLB'!$A$7:$I$29</definedName>
    <definedName name="bdsql12_BDnewRegistrations_getAggPBCO2Emissions" localSheetId="9" hidden="1">'A.7 Koldioxidutsläpp PB'!$B$7:$G$14</definedName>
    <definedName name="bdsql12_BDnewRegistrations_getAggTotalCO2" localSheetId="9" hidden="1">'A.7 Koldioxidutsläpp PB'!$A$152:$B$154</definedName>
    <definedName name="bdsql12_BDnewRegistrationsgetAggPBCO2EmissionsWLTP" localSheetId="9" hidden="1">'A.7 Koldioxidutsläpp PB'!$A$27:$G$35</definedName>
    <definedName name="bdsql12_Transportstyrelsen_sumPrelNyregImportPBTotaler_1" localSheetId="1" hidden="1">'A. Personbilar'!$Q$26:$T$29</definedName>
    <definedName name="CalcAvgCO2Man">'A.7 Koldioxidutsläpp PB'!$B$153</definedName>
    <definedName name="CalcAvgCO2Sum">'A.7 Koldioxidutsläpp PB'!$Q$122</definedName>
    <definedName name="CalcAvgCO2YTD">'A.7 Koldioxidutsläpp PB'!$B$154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PB'!$E$401</definedName>
    <definedName name="CntPeriod">#REF!</definedName>
    <definedName name="CntPeriodPrevYear" localSheetId="3">'A.2 Fabrikat och modeller PB'!$F$401</definedName>
    <definedName name="CntPeriodPrevYear">#REF!</definedName>
    <definedName name="CntPrevYear" localSheetId="3">'A.2 Fabrikat och modeller PB'!#REF!</definedName>
    <definedName name="CntPrevYear">#REF!</definedName>
    <definedName name="CntPrevYearAck" localSheetId="3">'A.2 Fabrikat och modeller PB'!$K$401</definedName>
    <definedName name="CntPrevYearAck">#REF!</definedName>
    <definedName name="CntYearAck" localSheetId="3">'A.2 Fabrikat och modeller PB'!$J$401</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PB'!$B$402</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0" r:id="rId21"/>
    <pivotCache cacheId="1" r:id="rId22"/>
    <pivotCache cacheId="2"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1" i="49" l="1"/>
  <c r="J401" i="49"/>
  <c r="L402" i="49" s="1"/>
  <c r="F401" i="49"/>
  <c r="E401" i="49"/>
  <c r="G402" i="49" s="1"/>
  <c r="N399" i="49"/>
  <c r="M399" i="49"/>
  <c r="L399" i="49"/>
  <c r="I399" i="49"/>
  <c r="G399" i="49"/>
  <c r="C399" i="49"/>
  <c r="N398" i="49"/>
  <c r="M398" i="49"/>
  <c r="L398" i="49"/>
  <c r="I398" i="49"/>
  <c r="H398" i="49"/>
  <c r="G398" i="49"/>
  <c r="C398" i="49"/>
  <c r="N397" i="49"/>
  <c r="M397" i="49"/>
  <c r="L397" i="49"/>
  <c r="I397" i="49"/>
  <c r="H397" i="49"/>
  <c r="G397" i="49"/>
  <c r="C397" i="49"/>
  <c r="N396" i="49"/>
  <c r="M396" i="49"/>
  <c r="L396" i="49"/>
  <c r="I396" i="49"/>
  <c r="H396" i="49"/>
  <c r="G396" i="49"/>
  <c r="C396" i="49"/>
  <c r="N395" i="49"/>
  <c r="M395" i="49"/>
  <c r="L395" i="49"/>
  <c r="I395" i="49"/>
  <c r="H395" i="49"/>
  <c r="G395" i="49"/>
  <c r="C395" i="49"/>
  <c r="N394" i="49"/>
  <c r="M394" i="49"/>
  <c r="L394" i="49"/>
  <c r="I394" i="49"/>
  <c r="H394" i="49"/>
  <c r="G394" i="49"/>
  <c r="C394" i="49"/>
  <c r="N393" i="49"/>
  <c r="M393" i="49"/>
  <c r="L393" i="49"/>
  <c r="I393" i="49"/>
  <c r="H393" i="49"/>
  <c r="G393" i="49"/>
  <c r="C393" i="49"/>
  <c r="N392" i="49"/>
  <c r="M392" i="49"/>
  <c r="L392" i="49"/>
  <c r="I392" i="49"/>
  <c r="H392" i="49"/>
  <c r="G392" i="49"/>
  <c r="C392" i="49"/>
  <c r="N391" i="49"/>
  <c r="M391" i="49"/>
  <c r="L391" i="49"/>
  <c r="I391" i="49"/>
  <c r="H391" i="49"/>
  <c r="G391" i="49"/>
  <c r="C391" i="49"/>
  <c r="N390" i="49"/>
  <c r="M390" i="49"/>
  <c r="L390" i="49"/>
  <c r="I390" i="49"/>
  <c r="H390" i="49"/>
  <c r="G390" i="49"/>
  <c r="C390" i="49"/>
  <c r="N389" i="49"/>
  <c r="M389" i="49"/>
  <c r="L389" i="49"/>
  <c r="I389" i="49"/>
  <c r="H389" i="49"/>
  <c r="G389" i="49"/>
  <c r="C389" i="49"/>
  <c r="N388" i="49"/>
  <c r="M388" i="49"/>
  <c r="L388" i="49"/>
  <c r="I388" i="49"/>
  <c r="H388" i="49"/>
  <c r="G388" i="49"/>
  <c r="C388" i="49"/>
  <c r="N387" i="49"/>
  <c r="M387" i="49"/>
  <c r="L387" i="49"/>
  <c r="I387" i="49"/>
  <c r="H387" i="49"/>
  <c r="G387" i="49"/>
  <c r="C387" i="49"/>
  <c r="N386" i="49"/>
  <c r="M386" i="49"/>
  <c r="L386" i="49"/>
  <c r="I386" i="49"/>
  <c r="H386" i="49"/>
  <c r="G386" i="49"/>
  <c r="C386" i="49"/>
  <c r="N385" i="49"/>
  <c r="M385" i="49"/>
  <c r="L385" i="49"/>
  <c r="I385" i="49"/>
  <c r="H385" i="49"/>
  <c r="G385" i="49"/>
  <c r="C385" i="49"/>
  <c r="N384" i="49"/>
  <c r="M384" i="49"/>
  <c r="L384" i="49"/>
  <c r="I384" i="49"/>
  <c r="H384" i="49"/>
  <c r="G384" i="49"/>
  <c r="C384" i="49"/>
  <c r="N383" i="49"/>
  <c r="M383" i="49"/>
  <c r="L383" i="49"/>
  <c r="I383" i="49"/>
  <c r="H383" i="49"/>
  <c r="G383" i="49"/>
  <c r="C383" i="49"/>
  <c r="N382" i="49"/>
  <c r="M382" i="49"/>
  <c r="L382" i="49"/>
  <c r="I382" i="49"/>
  <c r="H382" i="49"/>
  <c r="G382" i="49"/>
  <c r="C382" i="49"/>
  <c r="N381" i="49"/>
  <c r="M381" i="49"/>
  <c r="L381" i="49"/>
  <c r="I381" i="49"/>
  <c r="H381" i="49"/>
  <c r="G381" i="49"/>
  <c r="C381" i="49"/>
  <c r="N380" i="49"/>
  <c r="M380" i="49"/>
  <c r="L380" i="49"/>
  <c r="I380" i="49"/>
  <c r="H380" i="49"/>
  <c r="G380" i="49"/>
  <c r="C380" i="49"/>
  <c r="N379" i="49"/>
  <c r="M379" i="49"/>
  <c r="L379" i="49"/>
  <c r="I379" i="49"/>
  <c r="H379" i="49"/>
  <c r="G379" i="49"/>
  <c r="C379" i="49"/>
  <c r="N378" i="49"/>
  <c r="M378" i="49"/>
  <c r="L378" i="49"/>
  <c r="I378" i="49"/>
  <c r="H378" i="49"/>
  <c r="G378" i="49"/>
  <c r="C378" i="49"/>
  <c r="N377" i="49"/>
  <c r="M377" i="49"/>
  <c r="L377" i="49"/>
  <c r="I377" i="49"/>
  <c r="H377" i="49"/>
  <c r="G377" i="49"/>
  <c r="C377" i="49"/>
  <c r="N376" i="49"/>
  <c r="M376" i="49"/>
  <c r="L376" i="49"/>
  <c r="I376" i="49"/>
  <c r="H376" i="49"/>
  <c r="G376" i="49"/>
  <c r="C376" i="49"/>
  <c r="N375" i="49"/>
  <c r="M375" i="49"/>
  <c r="L375" i="49"/>
  <c r="I375" i="49"/>
  <c r="H375" i="49"/>
  <c r="G375" i="49"/>
  <c r="C375" i="49"/>
  <c r="N374" i="49"/>
  <c r="M374" i="49"/>
  <c r="L374" i="49"/>
  <c r="I374" i="49"/>
  <c r="H374" i="49"/>
  <c r="G374" i="49"/>
  <c r="C374" i="49"/>
  <c r="N373" i="49"/>
  <c r="M373" i="49"/>
  <c r="L373" i="49"/>
  <c r="I373" i="49"/>
  <c r="H373" i="49"/>
  <c r="G373" i="49"/>
  <c r="C373" i="49"/>
  <c r="N372" i="49"/>
  <c r="M372" i="49"/>
  <c r="L372" i="49"/>
  <c r="I372" i="49"/>
  <c r="H372" i="49"/>
  <c r="G372" i="49"/>
  <c r="C372" i="49"/>
  <c r="N371" i="49"/>
  <c r="M371" i="49"/>
  <c r="L371" i="49"/>
  <c r="I371" i="49"/>
  <c r="H371" i="49"/>
  <c r="G371" i="49"/>
  <c r="C371" i="49"/>
  <c r="N370" i="49"/>
  <c r="M370" i="49"/>
  <c r="L370" i="49"/>
  <c r="I370" i="49"/>
  <c r="H370" i="49"/>
  <c r="G370" i="49"/>
  <c r="C370" i="49"/>
  <c r="N369" i="49"/>
  <c r="M369" i="49"/>
  <c r="L369" i="49"/>
  <c r="I369" i="49"/>
  <c r="H369" i="49"/>
  <c r="G369" i="49"/>
  <c r="C369" i="49"/>
  <c r="N368" i="49"/>
  <c r="M368" i="49"/>
  <c r="L368" i="49"/>
  <c r="I368" i="49"/>
  <c r="H368" i="49"/>
  <c r="G368" i="49"/>
  <c r="C368" i="49"/>
  <c r="N367" i="49"/>
  <c r="M367" i="49"/>
  <c r="L367" i="49"/>
  <c r="I367" i="49"/>
  <c r="H367" i="49"/>
  <c r="G367" i="49"/>
  <c r="C367" i="49"/>
  <c r="N366" i="49"/>
  <c r="M366" i="49"/>
  <c r="L366" i="49"/>
  <c r="I366" i="49"/>
  <c r="H366" i="49"/>
  <c r="G366" i="49"/>
  <c r="C366" i="49"/>
  <c r="N365" i="49"/>
  <c r="M365" i="49"/>
  <c r="L365" i="49"/>
  <c r="I365" i="49"/>
  <c r="H365" i="49"/>
  <c r="G365" i="49"/>
  <c r="C365" i="49"/>
  <c r="N364" i="49"/>
  <c r="M364" i="49"/>
  <c r="L364" i="49"/>
  <c r="I364" i="49"/>
  <c r="H364" i="49"/>
  <c r="G364" i="49"/>
  <c r="C364" i="49"/>
  <c r="N363" i="49"/>
  <c r="M363" i="49"/>
  <c r="L363" i="49"/>
  <c r="I363" i="49"/>
  <c r="H363" i="49"/>
  <c r="G363" i="49"/>
  <c r="C363" i="49"/>
  <c r="N362" i="49"/>
  <c r="M362" i="49"/>
  <c r="L362" i="49"/>
  <c r="I362" i="49"/>
  <c r="H362" i="49"/>
  <c r="G362" i="49"/>
  <c r="C362" i="49"/>
  <c r="N361" i="49"/>
  <c r="M361" i="49"/>
  <c r="L361" i="49"/>
  <c r="I361" i="49"/>
  <c r="H361" i="49"/>
  <c r="G361" i="49"/>
  <c r="C361" i="49"/>
  <c r="N360" i="49"/>
  <c r="M360" i="49"/>
  <c r="L360" i="49"/>
  <c r="I360" i="49"/>
  <c r="H360" i="49"/>
  <c r="G360" i="49"/>
  <c r="C360" i="49"/>
  <c r="N359" i="49"/>
  <c r="M359" i="49"/>
  <c r="L359" i="49"/>
  <c r="I359" i="49"/>
  <c r="H359" i="49"/>
  <c r="G359" i="49"/>
  <c r="C359" i="49"/>
  <c r="N358" i="49"/>
  <c r="M358" i="49"/>
  <c r="L358" i="49"/>
  <c r="I358" i="49"/>
  <c r="H358" i="49"/>
  <c r="G358" i="49"/>
  <c r="C358" i="49"/>
  <c r="N357" i="49"/>
  <c r="M357" i="49"/>
  <c r="L357" i="49"/>
  <c r="I357" i="49"/>
  <c r="H357" i="49"/>
  <c r="G357" i="49"/>
  <c r="C357" i="49"/>
  <c r="N356" i="49"/>
  <c r="M356" i="49"/>
  <c r="L356" i="49"/>
  <c r="I356" i="49"/>
  <c r="H356" i="49"/>
  <c r="G356" i="49"/>
  <c r="C356" i="49"/>
  <c r="N355" i="49"/>
  <c r="M355" i="49"/>
  <c r="L355" i="49"/>
  <c r="I355" i="49"/>
  <c r="H355" i="49"/>
  <c r="G355" i="49"/>
  <c r="C355" i="49"/>
  <c r="N354" i="49"/>
  <c r="M354" i="49"/>
  <c r="L354" i="49"/>
  <c r="I354" i="49"/>
  <c r="H354" i="49"/>
  <c r="G354" i="49"/>
  <c r="C354" i="49"/>
  <c r="N353" i="49"/>
  <c r="M353" i="49"/>
  <c r="L353" i="49"/>
  <c r="I353" i="49"/>
  <c r="H353" i="49"/>
  <c r="G353" i="49"/>
  <c r="C353" i="49"/>
  <c r="N352" i="49"/>
  <c r="M352" i="49"/>
  <c r="L352" i="49"/>
  <c r="I352" i="49"/>
  <c r="H352" i="49"/>
  <c r="G352" i="49"/>
  <c r="C352" i="49"/>
  <c r="N351" i="49"/>
  <c r="M351" i="49"/>
  <c r="L351" i="49"/>
  <c r="I351" i="49"/>
  <c r="H351" i="49"/>
  <c r="G351" i="49"/>
  <c r="C351" i="49"/>
  <c r="N350" i="49"/>
  <c r="M350" i="49"/>
  <c r="L350" i="49"/>
  <c r="I350" i="49"/>
  <c r="H350" i="49"/>
  <c r="G350" i="49"/>
  <c r="C350" i="49"/>
  <c r="N349" i="49"/>
  <c r="M349" i="49"/>
  <c r="L349" i="49"/>
  <c r="I349" i="49"/>
  <c r="H349" i="49"/>
  <c r="G349" i="49"/>
  <c r="C349" i="49"/>
  <c r="N348" i="49"/>
  <c r="M348" i="49"/>
  <c r="L348" i="49"/>
  <c r="I348" i="49"/>
  <c r="H348" i="49"/>
  <c r="G348" i="49"/>
  <c r="C348" i="49"/>
  <c r="N347" i="49"/>
  <c r="M347" i="49"/>
  <c r="L347" i="49"/>
  <c r="I347" i="49"/>
  <c r="H347" i="49"/>
  <c r="G347" i="49"/>
  <c r="C347" i="49"/>
  <c r="N346" i="49"/>
  <c r="M346" i="49"/>
  <c r="L346" i="49"/>
  <c r="I346" i="49"/>
  <c r="H346" i="49"/>
  <c r="G346" i="49"/>
  <c r="C346" i="49"/>
  <c r="N345" i="49"/>
  <c r="M345" i="49"/>
  <c r="L345" i="49"/>
  <c r="I345" i="49"/>
  <c r="H345" i="49"/>
  <c r="G345" i="49"/>
  <c r="C345" i="49"/>
  <c r="N344" i="49"/>
  <c r="M344" i="49"/>
  <c r="L344" i="49"/>
  <c r="I344" i="49"/>
  <c r="H344" i="49"/>
  <c r="G344" i="49"/>
  <c r="C344" i="49"/>
  <c r="N343" i="49"/>
  <c r="M343" i="49"/>
  <c r="L343" i="49"/>
  <c r="I343" i="49"/>
  <c r="H343" i="49"/>
  <c r="G343" i="49"/>
  <c r="C343" i="49"/>
  <c r="N342" i="49"/>
  <c r="M342" i="49"/>
  <c r="L342" i="49"/>
  <c r="I342" i="49"/>
  <c r="H342" i="49"/>
  <c r="G342" i="49"/>
  <c r="C342" i="49"/>
  <c r="N341" i="49"/>
  <c r="M341" i="49"/>
  <c r="L341" i="49"/>
  <c r="I341" i="49"/>
  <c r="H341" i="49"/>
  <c r="G341" i="49"/>
  <c r="C341" i="49"/>
  <c r="N340" i="49"/>
  <c r="M340" i="49"/>
  <c r="L340" i="49"/>
  <c r="I340" i="49"/>
  <c r="H340" i="49"/>
  <c r="G340" i="49"/>
  <c r="C340" i="49"/>
  <c r="N339" i="49"/>
  <c r="M339" i="49"/>
  <c r="L339" i="49"/>
  <c r="I339" i="49"/>
  <c r="H339" i="49"/>
  <c r="G339" i="49"/>
  <c r="C339" i="49"/>
  <c r="N338" i="49"/>
  <c r="M338" i="49"/>
  <c r="L338" i="49"/>
  <c r="I338" i="49"/>
  <c r="H338" i="49"/>
  <c r="G338" i="49"/>
  <c r="C338" i="49"/>
  <c r="N337" i="49"/>
  <c r="M337" i="49"/>
  <c r="L337" i="49"/>
  <c r="I337" i="49"/>
  <c r="H337" i="49"/>
  <c r="G337" i="49"/>
  <c r="C337" i="49"/>
  <c r="N336" i="49"/>
  <c r="M336" i="49"/>
  <c r="L336" i="49"/>
  <c r="I336" i="49"/>
  <c r="H336" i="49"/>
  <c r="G336" i="49"/>
  <c r="C336" i="49"/>
  <c r="N335" i="49"/>
  <c r="M335" i="49"/>
  <c r="L335" i="49"/>
  <c r="I335" i="49"/>
  <c r="H335" i="49"/>
  <c r="G335" i="49"/>
  <c r="C335" i="49"/>
  <c r="N334" i="49"/>
  <c r="M334" i="49"/>
  <c r="L334" i="49"/>
  <c r="I334" i="49"/>
  <c r="H334" i="49"/>
  <c r="G334" i="49"/>
  <c r="C334" i="49"/>
  <c r="N333" i="49"/>
  <c r="M333" i="49"/>
  <c r="L333" i="49"/>
  <c r="I333" i="49"/>
  <c r="H333" i="49"/>
  <c r="G333" i="49"/>
  <c r="C333" i="49"/>
  <c r="N332" i="49"/>
  <c r="M332" i="49"/>
  <c r="L332" i="49"/>
  <c r="I332" i="49"/>
  <c r="H332" i="49"/>
  <c r="G332" i="49"/>
  <c r="C332" i="49"/>
  <c r="N331" i="49"/>
  <c r="M331" i="49"/>
  <c r="L331" i="49"/>
  <c r="I331" i="49"/>
  <c r="H331" i="49"/>
  <c r="G331" i="49"/>
  <c r="C331" i="49"/>
  <c r="N330" i="49"/>
  <c r="M330" i="49"/>
  <c r="L330" i="49"/>
  <c r="I330" i="49"/>
  <c r="H330" i="49"/>
  <c r="G330" i="49"/>
  <c r="C330" i="49"/>
  <c r="N329" i="49"/>
  <c r="M329" i="49"/>
  <c r="L329" i="49"/>
  <c r="I329" i="49"/>
  <c r="H329" i="49"/>
  <c r="G329" i="49"/>
  <c r="C329" i="49"/>
  <c r="N328" i="49"/>
  <c r="M328" i="49"/>
  <c r="L328" i="49"/>
  <c r="I328" i="49"/>
  <c r="H328" i="49"/>
  <c r="G328" i="49"/>
  <c r="C328" i="49"/>
  <c r="N327" i="49"/>
  <c r="M327" i="49"/>
  <c r="L327" i="49"/>
  <c r="I327" i="49"/>
  <c r="H327" i="49"/>
  <c r="G327" i="49"/>
  <c r="C327" i="49"/>
  <c r="N326" i="49"/>
  <c r="M326" i="49"/>
  <c r="L326" i="49"/>
  <c r="I326" i="49"/>
  <c r="H326" i="49"/>
  <c r="G326" i="49"/>
  <c r="C326" i="49"/>
  <c r="N325" i="49"/>
  <c r="M325" i="49"/>
  <c r="L325" i="49"/>
  <c r="I325" i="49"/>
  <c r="H325" i="49"/>
  <c r="G325" i="49"/>
  <c r="C325" i="49"/>
  <c r="N324" i="49"/>
  <c r="M324" i="49"/>
  <c r="L324" i="49"/>
  <c r="I324" i="49"/>
  <c r="H324" i="49"/>
  <c r="G324" i="49"/>
  <c r="C324" i="49"/>
  <c r="N323" i="49"/>
  <c r="M323" i="49"/>
  <c r="L323" i="49"/>
  <c r="I323" i="49"/>
  <c r="H323" i="49"/>
  <c r="G323" i="49"/>
  <c r="C323" i="49"/>
  <c r="N322" i="49"/>
  <c r="M322" i="49"/>
  <c r="L322" i="49"/>
  <c r="I322" i="49"/>
  <c r="H322" i="49"/>
  <c r="G322" i="49"/>
  <c r="C322" i="49"/>
  <c r="N321" i="49"/>
  <c r="M321" i="49"/>
  <c r="L321" i="49"/>
  <c r="I321" i="49"/>
  <c r="H321" i="49"/>
  <c r="G321" i="49"/>
  <c r="C321" i="49"/>
  <c r="N320" i="49"/>
  <c r="M320" i="49"/>
  <c r="L320" i="49"/>
  <c r="I320" i="49"/>
  <c r="H320" i="49"/>
  <c r="G320" i="49"/>
  <c r="C320" i="49"/>
  <c r="N319" i="49"/>
  <c r="M319" i="49"/>
  <c r="L319" i="49"/>
  <c r="I319" i="49"/>
  <c r="H319" i="49"/>
  <c r="G319" i="49"/>
  <c r="C319" i="49"/>
  <c r="N318" i="49"/>
  <c r="M318" i="49"/>
  <c r="L318" i="49"/>
  <c r="I318" i="49"/>
  <c r="H318" i="49"/>
  <c r="G318" i="49"/>
  <c r="C318" i="49"/>
  <c r="N317" i="49"/>
  <c r="M317" i="49"/>
  <c r="L317" i="49"/>
  <c r="I317" i="49"/>
  <c r="H317" i="49"/>
  <c r="G317" i="49"/>
  <c r="C317" i="49"/>
  <c r="N316" i="49"/>
  <c r="M316" i="49"/>
  <c r="L316" i="49"/>
  <c r="I316" i="49"/>
  <c r="H316" i="49"/>
  <c r="G316" i="49"/>
  <c r="C316" i="49"/>
  <c r="N315" i="49"/>
  <c r="M315" i="49"/>
  <c r="L315" i="49"/>
  <c r="I315" i="49"/>
  <c r="H315" i="49"/>
  <c r="G315" i="49"/>
  <c r="C315" i="49"/>
  <c r="N314" i="49"/>
  <c r="M314" i="49"/>
  <c r="L314" i="49"/>
  <c r="I314" i="49"/>
  <c r="H314" i="49"/>
  <c r="G314" i="49"/>
  <c r="C314" i="49"/>
  <c r="N313" i="49"/>
  <c r="M313" i="49"/>
  <c r="L313" i="49"/>
  <c r="I313" i="49"/>
  <c r="H313" i="49"/>
  <c r="G313" i="49"/>
  <c r="C313" i="49"/>
  <c r="N312" i="49"/>
  <c r="M312" i="49"/>
  <c r="L312" i="49"/>
  <c r="I312" i="49"/>
  <c r="H312" i="49"/>
  <c r="G312" i="49"/>
  <c r="C312" i="49"/>
  <c r="N311" i="49"/>
  <c r="M311" i="49"/>
  <c r="L311" i="49"/>
  <c r="I311" i="49"/>
  <c r="H311" i="49"/>
  <c r="G311" i="49"/>
  <c r="C311" i="49"/>
  <c r="N310" i="49"/>
  <c r="M310" i="49"/>
  <c r="L310" i="49"/>
  <c r="I310" i="49"/>
  <c r="H310" i="49"/>
  <c r="G310" i="49"/>
  <c r="C310" i="49"/>
  <c r="N309" i="49"/>
  <c r="M309" i="49"/>
  <c r="L309" i="49"/>
  <c r="I309" i="49"/>
  <c r="H309" i="49"/>
  <c r="G309" i="49"/>
  <c r="C309" i="49"/>
  <c r="N308" i="49"/>
  <c r="M308" i="49"/>
  <c r="L308" i="49"/>
  <c r="I308" i="49"/>
  <c r="H308" i="49"/>
  <c r="G308" i="49"/>
  <c r="C308" i="49"/>
  <c r="N307" i="49"/>
  <c r="M307" i="49"/>
  <c r="L307" i="49"/>
  <c r="I307" i="49"/>
  <c r="H307" i="49"/>
  <c r="G307" i="49"/>
  <c r="C307" i="49"/>
  <c r="N306" i="49"/>
  <c r="M306" i="49"/>
  <c r="L306" i="49"/>
  <c r="I306" i="49"/>
  <c r="H306" i="49"/>
  <c r="G306" i="49"/>
  <c r="C306" i="49"/>
  <c r="N305" i="49"/>
  <c r="M305" i="49"/>
  <c r="L305" i="49"/>
  <c r="I305" i="49"/>
  <c r="H305" i="49"/>
  <c r="G305" i="49"/>
  <c r="C305" i="49"/>
  <c r="N304" i="49"/>
  <c r="M304" i="49"/>
  <c r="L304" i="49"/>
  <c r="I304" i="49"/>
  <c r="H304" i="49"/>
  <c r="G304" i="49"/>
  <c r="C304" i="49"/>
  <c r="N303" i="49"/>
  <c r="M303" i="49"/>
  <c r="L303" i="49"/>
  <c r="I303" i="49"/>
  <c r="H303" i="49"/>
  <c r="G303" i="49"/>
  <c r="C303" i="49"/>
  <c r="N302" i="49"/>
  <c r="M302" i="49"/>
  <c r="L302" i="49"/>
  <c r="I302" i="49"/>
  <c r="H302" i="49"/>
  <c r="G302" i="49"/>
  <c r="C302" i="49"/>
  <c r="N301" i="49"/>
  <c r="M301" i="49"/>
  <c r="L301" i="49"/>
  <c r="I301" i="49"/>
  <c r="H301" i="49"/>
  <c r="G301" i="49"/>
  <c r="C301" i="49"/>
  <c r="N300" i="49"/>
  <c r="M300" i="49"/>
  <c r="L300" i="49"/>
  <c r="I300" i="49"/>
  <c r="H300" i="49"/>
  <c r="G300" i="49"/>
  <c r="C300" i="49"/>
  <c r="N299" i="49"/>
  <c r="M299" i="49"/>
  <c r="L299" i="49"/>
  <c r="I299" i="49"/>
  <c r="H299" i="49"/>
  <c r="G299" i="49"/>
  <c r="C299" i="49"/>
  <c r="N298" i="49"/>
  <c r="M298" i="49"/>
  <c r="L298" i="49"/>
  <c r="I298" i="49"/>
  <c r="H298" i="49"/>
  <c r="G298" i="49"/>
  <c r="C298" i="49"/>
  <c r="N297" i="49"/>
  <c r="M297" i="49"/>
  <c r="L297" i="49"/>
  <c r="I297" i="49"/>
  <c r="H297" i="49"/>
  <c r="G297" i="49"/>
  <c r="C297" i="49"/>
  <c r="N296" i="49"/>
  <c r="M296" i="49"/>
  <c r="L296" i="49"/>
  <c r="I296" i="49"/>
  <c r="H296" i="49"/>
  <c r="G296" i="49"/>
  <c r="C296" i="49"/>
  <c r="N295" i="49"/>
  <c r="M295" i="49"/>
  <c r="L295" i="49"/>
  <c r="I295" i="49"/>
  <c r="H295" i="49"/>
  <c r="G295" i="49"/>
  <c r="C295" i="49"/>
  <c r="N294" i="49"/>
  <c r="M294" i="49"/>
  <c r="L294" i="49"/>
  <c r="I294" i="49"/>
  <c r="H294" i="49"/>
  <c r="G294" i="49"/>
  <c r="C294" i="49"/>
  <c r="N293" i="49"/>
  <c r="M293" i="49"/>
  <c r="L293" i="49"/>
  <c r="I293" i="49"/>
  <c r="H293" i="49"/>
  <c r="G293" i="49"/>
  <c r="C293" i="49"/>
  <c r="N292" i="49"/>
  <c r="M292" i="49"/>
  <c r="L292" i="49"/>
  <c r="I292" i="49"/>
  <c r="H292" i="49"/>
  <c r="G292" i="49"/>
  <c r="C292" i="49"/>
  <c r="N291" i="49"/>
  <c r="M291" i="49"/>
  <c r="L291" i="49"/>
  <c r="I291" i="49"/>
  <c r="H291" i="49"/>
  <c r="G291" i="49"/>
  <c r="C291" i="49"/>
  <c r="N290" i="49"/>
  <c r="M290" i="49"/>
  <c r="L290" i="49"/>
  <c r="I290" i="49"/>
  <c r="H290" i="49"/>
  <c r="G290" i="49"/>
  <c r="C290" i="49"/>
  <c r="N289" i="49"/>
  <c r="M289" i="49"/>
  <c r="L289" i="49"/>
  <c r="I289" i="49"/>
  <c r="H289" i="49"/>
  <c r="G289" i="49"/>
  <c r="C289" i="49"/>
  <c r="N288" i="49"/>
  <c r="M288" i="49"/>
  <c r="L288" i="49"/>
  <c r="I288" i="49"/>
  <c r="H288" i="49"/>
  <c r="G288" i="49"/>
  <c r="C288" i="49"/>
  <c r="N287" i="49"/>
  <c r="M287" i="49"/>
  <c r="L287" i="49"/>
  <c r="I287" i="49"/>
  <c r="H287" i="49"/>
  <c r="G287" i="49"/>
  <c r="C287" i="49"/>
  <c r="N286" i="49"/>
  <c r="M286" i="49"/>
  <c r="L286" i="49"/>
  <c r="I286" i="49"/>
  <c r="H286" i="49"/>
  <c r="G286" i="49"/>
  <c r="C286" i="49"/>
  <c r="N285" i="49"/>
  <c r="M285" i="49"/>
  <c r="L285" i="49"/>
  <c r="I285" i="49"/>
  <c r="H285" i="49"/>
  <c r="G285" i="49"/>
  <c r="C285" i="49"/>
  <c r="N284" i="49"/>
  <c r="M284" i="49"/>
  <c r="L284" i="49"/>
  <c r="I284" i="49"/>
  <c r="H284" i="49"/>
  <c r="G284" i="49"/>
  <c r="C284" i="49"/>
  <c r="N283" i="49"/>
  <c r="M283" i="49"/>
  <c r="L283" i="49"/>
  <c r="I283" i="49"/>
  <c r="H283" i="49"/>
  <c r="G283" i="49"/>
  <c r="C283" i="49"/>
  <c r="N282" i="49"/>
  <c r="M282" i="49"/>
  <c r="L282" i="49"/>
  <c r="I282" i="49"/>
  <c r="H282" i="49"/>
  <c r="G282" i="49"/>
  <c r="C282" i="49"/>
  <c r="N281" i="49"/>
  <c r="M281" i="49"/>
  <c r="L281" i="49"/>
  <c r="I281" i="49"/>
  <c r="H281" i="49"/>
  <c r="G281" i="49"/>
  <c r="C281" i="49"/>
  <c r="N280" i="49"/>
  <c r="M280" i="49"/>
  <c r="L280" i="49"/>
  <c r="I280" i="49"/>
  <c r="H280" i="49"/>
  <c r="G280" i="49"/>
  <c r="C280" i="49"/>
  <c r="N279" i="49"/>
  <c r="M279" i="49"/>
  <c r="L279" i="49"/>
  <c r="I279" i="49"/>
  <c r="H279" i="49"/>
  <c r="G279" i="49"/>
  <c r="C279" i="49"/>
  <c r="N278" i="49"/>
  <c r="M278" i="49"/>
  <c r="L278" i="49"/>
  <c r="I278" i="49"/>
  <c r="H278" i="49"/>
  <c r="G278" i="49"/>
  <c r="C278" i="49"/>
  <c r="N277" i="49"/>
  <c r="M277" i="49"/>
  <c r="L277" i="49"/>
  <c r="I277" i="49"/>
  <c r="H277" i="49"/>
  <c r="G277" i="49"/>
  <c r="C277" i="49"/>
  <c r="N276" i="49"/>
  <c r="M276" i="49"/>
  <c r="L276" i="49"/>
  <c r="I276" i="49"/>
  <c r="H276" i="49"/>
  <c r="G276" i="49"/>
  <c r="C276" i="49"/>
  <c r="N275" i="49"/>
  <c r="M275" i="49"/>
  <c r="L275" i="49"/>
  <c r="I275" i="49"/>
  <c r="H275" i="49"/>
  <c r="G275" i="49"/>
  <c r="C275" i="49"/>
  <c r="N274" i="49"/>
  <c r="M274" i="49"/>
  <c r="L274" i="49"/>
  <c r="I274" i="49"/>
  <c r="H274" i="49"/>
  <c r="G274" i="49"/>
  <c r="C274" i="49"/>
  <c r="N273" i="49"/>
  <c r="M273" i="49"/>
  <c r="L273" i="49"/>
  <c r="I273" i="49"/>
  <c r="H273" i="49"/>
  <c r="G273" i="49"/>
  <c r="C273" i="49"/>
  <c r="N272" i="49"/>
  <c r="M272" i="49"/>
  <c r="L272" i="49"/>
  <c r="I272" i="49"/>
  <c r="H272" i="49"/>
  <c r="G272" i="49"/>
  <c r="C272" i="49"/>
  <c r="N271" i="49"/>
  <c r="M271" i="49"/>
  <c r="L271" i="49"/>
  <c r="I271" i="49"/>
  <c r="H271" i="49"/>
  <c r="G271" i="49"/>
  <c r="C271" i="49"/>
  <c r="N270" i="49"/>
  <c r="M270" i="49"/>
  <c r="L270" i="49"/>
  <c r="I270" i="49"/>
  <c r="H270" i="49"/>
  <c r="G270" i="49"/>
  <c r="C270" i="49"/>
  <c r="N269" i="49"/>
  <c r="M269" i="49"/>
  <c r="L269" i="49"/>
  <c r="I269" i="49"/>
  <c r="H269" i="49"/>
  <c r="G269" i="49"/>
  <c r="C269" i="49"/>
  <c r="N268" i="49"/>
  <c r="M268" i="49"/>
  <c r="L268" i="49"/>
  <c r="I268" i="49"/>
  <c r="H268" i="49"/>
  <c r="G268" i="49"/>
  <c r="C268" i="49"/>
  <c r="N267" i="49"/>
  <c r="M267" i="49"/>
  <c r="L267" i="49"/>
  <c r="I267" i="49"/>
  <c r="H267" i="49"/>
  <c r="G267" i="49"/>
  <c r="C267" i="49"/>
  <c r="N266" i="49"/>
  <c r="M266" i="49"/>
  <c r="L266" i="49"/>
  <c r="I266" i="49"/>
  <c r="H266" i="49"/>
  <c r="G266" i="49"/>
  <c r="C266" i="49"/>
  <c r="N265" i="49"/>
  <c r="M265" i="49"/>
  <c r="L265" i="49"/>
  <c r="I265" i="49"/>
  <c r="H265" i="49"/>
  <c r="G265" i="49"/>
  <c r="C265" i="49"/>
  <c r="N264" i="49"/>
  <c r="M264" i="49"/>
  <c r="L264" i="49"/>
  <c r="I264" i="49"/>
  <c r="H264" i="49"/>
  <c r="G264" i="49"/>
  <c r="C264" i="49"/>
  <c r="N263" i="49"/>
  <c r="M263" i="49"/>
  <c r="L263" i="49"/>
  <c r="I263" i="49"/>
  <c r="H263" i="49"/>
  <c r="G263" i="49"/>
  <c r="C263" i="49"/>
  <c r="N262" i="49"/>
  <c r="M262" i="49"/>
  <c r="L262" i="49"/>
  <c r="I262" i="49"/>
  <c r="H262" i="49"/>
  <c r="G262" i="49"/>
  <c r="C262" i="49"/>
  <c r="N261" i="49"/>
  <c r="M261" i="49"/>
  <c r="L261" i="49"/>
  <c r="I261" i="49"/>
  <c r="H261" i="49"/>
  <c r="G261" i="49"/>
  <c r="C261" i="49"/>
  <c r="N260" i="49"/>
  <c r="M260" i="49"/>
  <c r="L260" i="49"/>
  <c r="I260" i="49"/>
  <c r="H260" i="49"/>
  <c r="G260" i="49"/>
  <c r="C260" i="49"/>
  <c r="N259" i="49"/>
  <c r="M259" i="49"/>
  <c r="L259" i="49"/>
  <c r="I259" i="49"/>
  <c r="H259" i="49"/>
  <c r="G259" i="49"/>
  <c r="C259" i="49"/>
  <c r="N258" i="49"/>
  <c r="M258" i="49"/>
  <c r="L258" i="49"/>
  <c r="I258" i="49"/>
  <c r="H258" i="49"/>
  <c r="G258" i="49"/>
  <c r="C258" i="49"/>
  <c r="N257" i="49"/>
  <c r="M257" i="49"/>
  <c r="L257" i="49"/>
  <c r="I257" i="49"/>
  <c r="H257" i="49"/>
  <c r="G257" i="49"/>
  <c r="C257" i="49"/>
  <c r="N256" i="49"/>
  <c r="M256" i="49"/>
  <c r="L256" i="49"/>
  <c r="I256" i="49"/>
  <c r="H256" i="49"/>
  <c r="G256" i="49"/>
  <c r="C256" i="49"/>
  <c r="N255" i="49"/>
  <c r="M255" i="49"/>
  <c r="L255" i="49"/>
  <c r="I255" i="49"/>
  <c r="H255" i="49"/>
  <c r="G255" i="49"/>
  <c r="C255" i="49"/>
  <c r="N254" i="49"/>
  <c r="M254" i="49"/>
  <c r="L254" i="49"/>
  <c r="I254" i="49"/>
  <c r="H254" i="49"/>
  <c r="G254" i="49"/>
  <c r="C254" i="49"/>
  <c r="N253" i="49"/>
  <c r="M253" i="49"/>
  <c r="L253" i="49"/>
  <c r="I253" i="49"/>
  <c r="H253" i="49"/>
  <c r="G253" i="49"/>
  <c r="C253" i="49"/>
  <c r="N252" i="49"/>
  <c r="M252" i="49"/>
  <c r="L252" i="49"/>
  <c r="I252" i="49"/>
  <c r="H252" i="49"/>
  <c r="G252" i="49"/>
  <c r="C252" i="49"/>
  <c r="N251" i="49"/>
  <c r="M251" i="49"/>
  <c r="L251" i="49"/>
  <c r="I251" i="49"/>
  <c r="H251" i="49"/>
  <c r="G251" i="49"/>
  <c r="C251" i="49"/>
  <c r="N250" i="49"/>
  <c r="M250" i="49"/>
  <c r="L250" i="49"/>
  <c r="I250" i="49"/>
  <c r="H250" i="49"/>
  <c r="G250" i="49"/>
  <c r="C250" i="49"/>
  <c r="N249" i="49"/>
  <c r="M249" i="49"/>
  <c r="L249" i="49"/>
  <c r="I249" i="49"/>
  <c r="H249" i="49"/>
  <c r="G249" i="49"/>
  <c r="C249" i="49"/>
  <c r="N248" i="49"/>
  <c r="M248" i="49"/>
  <c r="L248" i="49"/>
  <c r="I248" i="49"/>
  <c r="H248" i="49"/>
  <c r="G248" i="49"/>
  <c r="C248" i="49"/>
  <c r="N247" i="49"/>
  <c r="M247" i="49"/>
  <c r="L247" i="49"/>
  <c r="I247" i="49"/>
  <c r="H247" i="49"/>
  <c r="G247" i="49"/>
  <c r="C247" i="49"/>
  <c r="N246" i="49"/>
  <c r="M246" i="49"/>
  <c r="L246" i="49"/>
  <c r="I246" i="49"/>
  <c r="H246" i="49"/>
  <c r="G246" i="49"/>
  <c r="C246" i="49"/>
  <c r="N245" i="49"/>
  <c r="M245" i="49"/>
  <c r="L245" i="49"/>
  <c r="I245" i="49"/>
  <c r="H245" i="49"/>
  <c r="G245" i="49"/>
  <c r="C245" i="49"/>
  <c r="N244" i="49"/>
  <c r="M244" i="49"/>
  <c r="L244" i="49"/>
  <c r="I244" i="49"/>
  <c r="H244" i="49"/>
  <c r="G244" i="49"/>
  <c r="C244" i="49"/>
  <c r="N243" i="49"/>
  <c r="M243" i="49"/>
  <c r="L243" i="49"/>
  <c r="I243" i="49"/>
  <c r="H243" i="49"/>
  <c r="G243" i="49"/>
  <c r="C243" i="49"/>
  <c r="N242" i="49"/>
  <c r="M242" i="49"/>
  <c r="L242" i="49"/>
  <c r="I242" i="49"/>
  <c r="H242" i="49"/>
  <c r="G242" i="49"/>
  <c r="C242" i="49"/>
  <c r="N241" i="49"/>
  <c r="M241" i="49"/>
  <c r="L241" i="49"/>
  <c r="I241" i="49"/>
  <c r="H241" i="49"/>
  <c r="G241" i="49"/>
  <c r="C241" i="49"/>
  <c r="N240" i="49"/>
  <c r="M240" i="49"/>
  <c r="L240" i="49"/>
  <c r="I240" i="49"/>
  <c r="H240" i="49"/>
  <c r="G240" i="49"/>
  <c r="C240" i="49"/>
  <c r="N239" i="49"/>
  <c r="M239" i="49"/>
  <c r="L239" i="49"/>
  <c r="I239" i="49"/>
  <c r="H239" i="49"/>
  <c r="G239" i="49"/>
  <c r="C239" i="49"/>
  <c r="N238" i="49"/>
  <c r="M238" i="49"/>
  <c r="L238" i="49"/>
  <c r="I238" i="49"/>
  <c r="H238" i="49"/>
  <c r="G238" i="49"/>
  <c r="C238" i="49"/>
  <c r="N237" i="49"/>
  <c r="M237" i="49"/>
  <c r="L237" i="49"/>
  <c r="I237" i="49"/>
  <c r="H237" i="49"/>
  <c r="G237" i="49"/>
  <c r="C237" i="49"/>
  <c r="N236" i="49"/>
  <c r="M236" i="49"/>
  <c r="L236" i="49"/>
  <c r="I236" i="49"/>
  <c r="H236" i="49"/>
  <c r="G236" i="49"/>
  <c r="C236" i="49"/>
  <c r="N235" i="49"/>
  <c r="M235" i="49"/>
  <c r="L235" i="49"/>
  <c r="I235" i="49"/>
  <c r="H235" i="49"/>
  <c r="G235" i="49"/>
  <c r="C235" i="49"/>
  <c r="N234" i="49"/>
  <c r="M234" i="49"/>
  <c r="L234" i="49"/>
  <c r="I234" i="49"/>
  <c r="H234" i="49"/>
  <c r="G234" i="49"/>
  <c r="C234" i="49"/>
  <c r="N233" i="49"/>
  <c r="M233" i="49"/>
  <c r="L233" i="49"/>
  <c r="I233" i="49"/>
  <c r="H233" i="49"/>
  <c r="G233" i="49"/>
  <c r="C233" i="49"/>
  <c r="N232" i="49"/>
  <c r="M232" i="49"/>
  <c r="L232" i="49"/>
  <c r="I232" i="49"/>
  <c r="H232" i="49"/>
  <c r="G232" i="49"/>
  <c r="C232" i="49"/>
  <c r="N231" i="49"/>
  <c r="M231" i="49"/>
  <c r="L231" i="49"/>
  <c r="I231" i="49"/>
  <c r="H231" i="49"/>
  <c r="G231" i="49"/>
  <c r="C231" i="49"/>
  <c r="N230" i="49"/>
  <c r="M230" i="49"/>
  <c r="L230" i="49"/>
  <c r="I230" i="49"/>
  <c r="H230" i="49"/>
  <c r="G230" i="49"/>
  <c r="C230" i="49"/>
  <c r="N229" i="49"/>
  <c r="M229" i="49"/>
  <c r="L229" i="49"/>
  <c r="I229" i="49"/>
  <c r="H229" i="49"/>
  <c r="G229" i="49"/>
  <c r="C229" i="49"/>
  <c r="N228" i="49"/>
  <c r="M228" i="49"/>
  <c r="L228" i="49"/>
  <c r="I228" i="49"/>
  <c r="H228" i="49"/>
  <c r="G228" i="49"/>
  <c r="C228" i="49"/>
  <c r="N227" i="49"/>
  <c r="M227" i="49"/>
  <c r="L227" i="49"/>
  <c r="I227" i="49"/>
  <c r="H227" i="49"/>
  <c r="G227" i="49"/>
  <c r="C227" i="49"/>
  <c r="N226" i="49"/>
  <c r="M226" i="49"/>
  <c r="L226" i="49"/>
  <c r="I226" i="49"/>
  <c r="H226" i="49"/>
  <c r="G226" i="49"/>
  <c r="C226" i="49"/>
  <c r="N225" i="49"/>
  <c r="M225" i="49"/>
  <c r="L225" i="49"/>
  <c r="I225" i="49"/>
  <c r="H225" i="49"/>
  <c r="G225" i="49"/>
  <c r="C225" i="49"/>
  <c r="N224" i="49"/>
  <c r="M224" i="49"/>
  <c r="L224" i="49"/>
  <c r="I224" i="49"/>
  <c r="H224" i="49"/>
  <c r="G224" i="49"/>
  <c r="C224" i="49"/>
  <c r="N223" i="49"/>
  <c r="M223" i="49"/>
  <c r="L223" i="49"/>
  <c r="I223" i="49"/>
  <c r="H223" i="49"/>
  <c r="G223" i="49"/>
  <c r="C223" i="49"/>
  <c r="N222" i="49"/>
  <c r="M222" i="49"/>
  <c r="L222" i="49"/>
  <c r="I222" i="49"/>
  <c r="H222" i="49"/>
  <c r="G222" i="49"/>
  <c r="C222" i="49"/>
  <c r="N221" i="49"/>
  <c r="M221" i="49"/>
  <c r="L221" i="49"/>
  <c r="I221" i="49"/>
  <c r="H221" i="49"/>
  <c r="G221" i="49"/>
  <c r="C221" i="49"/>
  <c r="N220" i="49"/>
  <c r="M220" i="49"/>
  <c r="L220" i="49"/>
  <c r="I220" i="49"/>
  <c r="H220" i="49"/>
  <c r="G220" i="49"/>
  <c r="C220" i="49"/>
  <c r="N219" i="49"/>
  <c r="M219" i="49"/>
  <c r="L219" i="49"/>
  <c r="I219" i="49"/>
  <c r="H219" i="49"/>
  <c r="G219" i="49"/>
  <c r="C219" i="49"/>
  <c r="N218" i="49"/>
  <c r="M218" i="49"/>
  <c r="L218" i="49"/>
  <c r="I218" i="49"/>
  <c r="H218" i="49"/>
  <c r="G218" i="49"/>
  <c r="C218" i="49"/>
  <c r="N217" i="49"/>
  <c r="M217" i="49"/>
  <c r="L217" i="49"/>
  <c r="I217" i="49"/>
  <c r="H217" i="49"/>
  <c r="G217" i="49"/>
  <c r="C217" i="49"/>
  <c r="N216" i="49"/>
  <c r="M216" i="49"/>
  <c r="L216" i="49"/>
  <c r="I216" i="49"/>
  <c r="H216" i="49"/>
  <c r="G216" i="49"/>
  <c r="C216" i="49"/>
  <c r="N215" i="49"/>
  <c r="M215" i="49"/>
  <c r="L215" i="49"/>
  <c r="I215" i="49"/>
  <c r="H215" i="49"/>
  <c r="G215" i="49"/>
  <c r="C215" i="49"/>
  <c r="N214" i="49"/>
  <c r="M214" i="49"/>
  <c r="L214" i="49"/>
  <c r="I214" i="49"/>
  <c r="H214" i="49"/>
  <c r="G214" i="49"/>
  <c r="C214" i="49"/>
  <c r="N213" i="49"/>
  <c r="M213" i="49"/>
  <c r="L213" i="49"/>
  <c r="I213" i="49"/>
  <c r="H213" i="49"/>
  <c r="G213" i="49"/>
  <c r="C213" i="49"/>
  <c r="N212" i="49"/>
  <c r="M212" i="49"/>
  <c r="L212" i="49"/>
  <c r="I212" i="49"/>
  <c r="H212" i="49"/>
  <c r="G212" i="49"/>
  <c r="C212" i="49"/>
  <c r="N211" i="49"/>
  <c r="M211" i="49"/>
  <c r="L211" i="49"/>
  <c r="I211" i="49"/>
  <c r="H211" i="49"/>
  <c r="G211" i="49"/>
  <c r="C211" i="49"/>
  <c r="N210" i="49"/>
  <c r="M210" i="49"/>
  <c r="L210" i="49"/>
  <c r="I210" i="49"/>
  <c r="H210" i="49"/>
  <c r="G210" i="49"/>
  <c r="C210" i="49"/>
  <c r="N209" i="49"/>
  <c r="M209" i="49"/>
  <c r="L209" i="49"/>
  <c r="I209" i="49"/>
  <c r="H209" i="49"/>
  <c r="G209" i="49"/>
  <c r="C209" i="49"/>
  <c r="N208" i="49"/>
  <c r="M208" i="49"/>
  <c r="L208" i="49"/>
  <c r="I208" i="49"/>
  <c r="H208" i="49"/>
  <c r="G208" i="49"/>
  <c r="C208" i="49"/>
  <c r="N207" i="49"/>
  <c r="M207" i="49"/>
  <c r="L207" i="49"/>
  <c r="I207" i="49"/>
  <c r="H207" i="49"/>
  <c r="G207" i="49"/>
  <c r="C207" i="49"/>
  <c r="N206" i="49"/>
  <c r="M206" i="49"/>
  <c r="L206" i="49"/>
  <c r="I206" i="49"/>
  <c r="H206" i="49"/>
  <c r="G206" i="49"/>
  <c r="C206" i="49"/>
  <c r="N205" i="49"/>
  <c r="M205" i="49"/>
  <c r="L205" i="49"/>
  <c r="I205" i="49"/>
  <c r="H205" i="49"/>
  <c r="G205" i="49"/>
  <c r="C205" i="49"/>
  <c r="N204" i="49"/>
  <c r="M204" i="49"/>
  <c r="L204" i="49"/>
  <c r="I204" i="49"/>
  <c r="H204" i="49"/>
  <c r="G204" i="49"/>
  <c r="C204" i="49"/>
  <c r="N203" i="49"/>
  <c r="M203" i="49"/>
  <c r="L203" i="49"/>
  <c r="I203" i="49"/>
  <c r="H203" i="49"/>
  <c r="G203" i="49"/>
  <c r="C203" i="49"/>
  <c r="N202" i="49"/>
  <c r="M202" i="49"/>
  <c r="L202" i="49"/>
  <c r="I202" i="49"/>
  <c r="H202" i="49"/>
  <c r="G202" i="49"/>
  <c r="C202" i="49"/>
  <c r="N201" i="49"/>
  <c r="M201" i="49"/>
  <c r="L201" i="49"/>
  <c r="I201" i="49"/>
  <c r="H201" i="49"/>
  <c r="G201" i="49"/>
  <c r="C201" i="49"/>
  <c r="N200" i="49"/>
  <c r="M200" i="49"/>
  <c r="L200" i="49"/>
  <c r="I200" i="49"/>
  <c r="H200" i="49"/>
  <c r="G200" i="49"/>
  <c r="C200" i="49"/>
  <c r="N199" i="49"/>
  <c r="M199" i="49"/>
  <c r="L199" i="49"/>
  <c r="I199" i="49"/>
  <c r="H199" i="49"/>
  <c r="G199" i="49"/>
  <c r="C199" i="49"/>
  <c r="N198" i="49"/>
  <c r="M198" i="49"/>
  <c r="L198" i="49"/>
  <c r="I198" i="49"/>
  <c r="H198" i="49"/>
  <c r="G198" i="49"/>
  <c r="C198" i="49"/>
  <c r="N197" i="49"/>
  <c r="M197" i="49"/>
  <c r="L197" i="49"/>
  <c r="I197" i="49"/>
  <c r="H197" i="49"/>
  <c r="G197" i="49"/>
  <c r="C197" i="49"/>
  <c r="N196" i="49"/>
  <c r="M196" i="49"/>
  <c r="L196" i="49"/>
  <c r="I196" i="49"/>
  <c r="H196" i="49"/>
  <c r="G196" i="49"/>
  <c r="C196" i="49"/>
  <c r="N195" i="49"/>
  <c r="M195" i="49"/>
  <c r="L195" i="49"/>
  <c r="I195" i="49"/>
  <c r="H195" i="49"/>
  <c r="G195" i="49"/>
  <c r="C195" i="49"/>
  <c r="N194" i="49"/>
  <c r="M194" i="49"/>
  <c r="L194" i="49"/>
  <c r="I194" i="49"/>
  <c r="H194" i="49"/>
  <c r="G194" i="49"/>
  <c r="C194" i="49"/>
  <c r="N193" i="49"/>
  <c r="M193" i="49"/>
  <c r="L193" i="49"/>
  <c r="I193" i="49"/>
  <c r="H193" i="49"/>
  <c r="G193" i="49"/>
  <c r="C193" i="49"/>
  <c r="N192" i="49"/>
  <c r="M192" i="49"/>
  <c r="L192" i="49"/>
  <c r="I192" i="49"/>
  <c r="H192" i="49"/>
  <c r="G192" i="49"/>
  <c r="C192" i="49"/>
  <c r="N191" i="49"/>
  <c r="M191" i="49"/>
  <c r="L191" i="49"/>
  <c r="I191" i="49"/>
  <c r="H191" i="49"/>
  <c r="G191" i="49"/>
  <c r="C191" i="49"/>
  <c r="N190" i="49"/>
  <c r="M190" i="49"/>
  <c r="L190" i="49"/>
  <c r="I190" i="49"/>
  <c r="H190" i="49"/>
  <c r="G190" i="49"/>
  <c r="C190" i="49"/>
  <c r="N189" i="49"/>
  <c r="M189" i="49"/>
  <c r="L189" i="49"/>
  <c r="I189" i="49"/>
  <c r="H189" i="49"/>
  <c r="G189" i="49"/>
  <c r="C189" i="49"/>
  <c r="N188" i="49"/>
  <c r="M188" i="49"/>
  <c r="L188" i="49"/>
  <c r="I188" i="49"/>
  <c r="H188" i="49"/>
  <c r="G188" i="49"/>
  <c r="C188" i="49"/>
  <c r="N187" i="49"/>
  <c r="M187" i="49"/>
  <c r="L187" i="49"/>
  <c r="I187" i="49"/>
  <c r="H187" i="49"/>
  <c r="G187" i="49"/>
  <c r="C187" i="49"/>
  <c r="N186" i="49"/>
  <c r="M186" i="49"/>
  <c r="L186" i="49"/>
  <c r="I186" i="49"/>
  <c r="H186" i="49"/>
  <c r="G186" i="49"/>
  <c r="C186" i="49"/>
  <c r="N185" i="49"/>
  <c r="M185" i="49"/>
  <c r="L185" i="49"/>
  <c r="I185" i="49"/>
  <c r="H185" i="49"/>
  <c r="G185" i="49"/>
  <c r="C185" i="49"/>
  <c r="N184" i="49"/>
  <c r="M184" i="49"/>
  <c r="L184" i="49"/>
  <c r="I184" i="49"/>
  <c r="H184" i="49"/>
  <c r="G184" i="49"/>
  <c r="C184" i="49"/>
  <c r="N183" i="49"/>
  <c r="M183" i="49"/>
  <c r="L183" i="49"/>
  <c r="I183" i="49"/>
  <c r="H183" i="49"/>
  <c r="G183" i="49"/>
  <c r="C183" i="49"/>
  <c r="N182" i="49"/>
  <c r="M182" i="49"/>
  <c r="L182" i="49"/>
  <c r="I182" i="49"/>
  <c r="H182" i="49"/>
  <c r="G182" i="49"/>
  <c r="C182" i="49"/>
  <c r="N181" i="49"/>
  <c r="M181" i="49"/>
  <c r="L181" i="49"/>
  <c r="I181" i="49"/>
  <c r="H181" i="49"/>
  <c r="G181" i="49"/>
  <c r="C181" i="49"/>
  <c r="N180" i="49"/>
  <c r="M180" i="49"/>
  <c r="L180" i="49"/>
  <c r="I180" i="49"/>
  <c r="H180" i="49"/>
  <c r="G180" i="49"/>
  <c r="C180" i="49"/>
  <c r="N179" i="49"/>
  <c r="M179" i="49"/>
  <c r="L179" i="49"/>
  <c r="I179" i="49"/>
  <c r="H179" i="49"/>
  <c r="G179" i="49"/>
  <c r="C179" i="49"/>
  <c r="N178" i="49"/>
  <c r="M178" i="49"/>
  <c r="L178" i="49"/>
  <c r="I178" i="49"/>
  <c r="H178" i="49"/>
  <c r="G178" i="49"/>
  <c r="C178" i="49"/>
  <c r="N177" i="49"/>
  <c r="M177" i="49"/>
  <c r="L177" i="49"/>
  <c r="I177" i="49"/>
  <c r="H177" i="49"/>
  <c r="G177" i="49"/>
  <c r="C177" i="49"/>
  <c r="N176" i="49"/>
  <c r="M176" i="49"/>
  <c r="L176" i="49"/>
  <c r="I176" i="49"/>
  <c r="H176" i="49"/>
  <c r="G176" i="49"/>
  <c r="C176" i="49"/>
  <c r="N175" i="49"/>
  <c r="M175" i="49"/>
  <c r="L175" i="49"/>
  <c r="I175" i="49"/>
  <c r="H175" i="49"/>
  <c r="G175" i="49"/>
  <c r="C175" i="49"/>
  <c r="N174" i="49"/>
  <c r="M174" i="49"/>
  <c r="L174" i="49"/>
  <c r="I174" i="49"/>
  <c r="H174" i="49"/>
  <c r="G174" i="49"/>
  <c r="C174" i="49"/>
  <c r="N173" i="49"/>
  <c r="M173" i="49"/>
  <c r="L173" i="49"/>
  <c r="I173" i="49"/>
  <c r="H173" i="49"/>
  <c r="G173" i="49"/>
  <c r="C173" i="49"/>
  <c r="N172" i="49"/>
  <c r="M172" i="49"/>
  <c r="L172" i="49"/>
  <c r="I172" i="49"/>
  <c r="H172" i="49"/>
  <c r="G172" i="49"/>
  <c r="C172" i="49"/>
  <c r="N171" i="49"/>
  <c r="M171" i="49"/>
  <c r="L171" i="49"/>
  <c r="I171" i="49"/>
  <c r="H171" i="49"/>
  <c r="G171" i="49"/>
  <c r="C171" i="49"/>
  <c r="N170" i="49"/>
  <c r="M170" i="49"/>
  <c r="L170" i="49"/>
  <c r="I170" i="49"/>
  <c r="H170" i="49"/>
  <c r="G170" i="49"/>
  <c r="C170" i="49"/>
  <c r="N169" i="49"/>
  <c r="M169" i="49"/>
  <c r="L169" i="49"/>
  <c r="I169" i="49"/>
  <c r="H169" i="49"/>
  <c r="G169" i="49"/>
  <c r="C169" i="49"/>
  <c r="N168" i="49"/>
  <c r="M168" i="49"/>
  <c r="L168" i="49"/>
  <c r="I168" i="49"/>
  <c r="H168" i="49"/>
  <c r="G168" i="49"/>
  <c r="C168" i="49"/>
  <c r="N167" i="49"/>
  <c r="M167" i="49"/>
  <c r="L167" i="49"/>
  <c r="I167" i="49"/>
  <c r="H167" i="49"/>
  <c r="G167" i="49"/>
  <c r="C167" i="49"/>
  <c r="N166" i="49"/>
  <c r="M166" i="49"/>
  <c r="L166" i="49"/>
  <c r="I166" i="49"/>
  <c r="H166" i="49"/>
  <c r="G166" i="49"/>
  <c r="C166" i="49"/>
  <c r="N165" i="49"/>
  <c r="M165" i="49"/>
  <c r="L165" i="49"/>
  <c r="I165" i="49"/>
  <c r="H165" i="49"/>
  <c r="G165" i="49"/>
  <c r="C165" i="49"/>
  <c r="N164" i="49"/>
  <c r="M164" i="49"/>
  <c r="L164" i="49"/>
  <c r="I164" i="49"/>
  <c r="H164" i="49"/>
  <c r="G164" i="49"/>
  <c r="C164" i="49"/>
  <c r="N163" i="49"/>
  <c r="M163" i="49"/>
  <c r="L163" i="49"/>
  <c r="I163" i="49"/>
  <c r="H163" i="49"/>
  <c r="G163" i="49"/>
  <c r="C163" i="49"/>
  <c r="N162" i="49"/>
  <c r="M162" i="49"/>
  <c r="L162" i="49"/>
  <c r="I162" i="49"/>
  <c r="H162" i="49"/>
  <c r="G162" i="49"/>
  <c r="C162" i="49"/>
  <c r="N161" i="49"/>
  <c r="M161" i="49"/>
  <c r="L161" i="49"/>
  <c r="I161" i="49"/>
  <c r="H161" i="49"/>
  <c r="G161" i="49"/>
  <c r="C161" i="49"/>
  <c r="N160" i="49"/>
  <c r="M160" i="49"/>
  <c r="L160" i="49"/>
  <c r="I160" i="49"/>
  <c r="H160" i="49"/>
  <c r="G160" i="49"/>
  <c r="C160" i="49"/>
  <c r="N159" i="49"/>
  <c r="M159" i="49"/>
  <c r="L159" i="49"/>
  <c r="I159" i="49"/>
  <c r="H159" i="49"/>
  <c r="G159" i="49"/>
  <c r="C159" i="49"/>
  <c r="N158" i="49"/>
  <c r="M158" i="49"/>
  <c r="L158" i="49"/>
  <c r="I158" i="49"/>
  <c r="H158" i="49"/>
  <c r="G158" i="49"/>
  <c r="C158" i="49"/>
  <c r="N157" i="49"/>
  <c r="M157" i="49"/>
  <c r="L157" i="49"/>
  <c r="I157" i="49"/>
  <c r="H157" i="49"/>
  <c r="G157" i="49"/>
  <c r="C157" i="49"/>
  <c r="N156" i="49"/>
  <c r="M156" i="49"/>
  <c r="L156" i="49"/>
  <c r="I156" i="49"/>
  <c r="H156" i="49"/>
  <c r="G156" i="49"/>
  <c r="C156" i="49"/>
  <c r="N155" i="49"/>
  <c r="M155" i="49"/>
  <c r="L155" i="49"/>
  <c r="I155" i="49"/>
  <c r="H155" i="49"/>
  <c r="G155" i="49"/>
  <c r="C155" i="49"/>
  <c r="N154" i="49"/>
  <c r="M154" i="49"/>
  <c r="L154" i="49"/>
  <c r="I154" i="49"/>
  <c r="H154" i="49"/>
  <c r="G154" i="49"/>
  <c r="C154" i="49"/>
  <c r="N153" i="49"/>
  <c r="M153" i="49"/>
  <c r="L153" i="49"/>
  <c r="I153" i="49"/>
  <c r="H153" i="49"/>
  <c r="G153" i="49"/>
  <c r="C153" i="49"/>
  <c r="N152" i="49"/>
  <c r="M152" i="49"/>
  <c r="L152" i="49"/>
  <c r="I152" i="49"/>
  <c r="H152" i="49"/>
  <c r="G152" i="49"/>
  <c r="C152" i="49"/>
  <c r="N151" i="49"/>
  <c r="M151" i="49"/>
  <c r="L151" i="49"/>
  <c r="I151" i="49"/>
  <c r="H151" i="49"/>
  <c r="G151" i="49"/>
  <c r="C151" i="49"/>
  <c r="N150" i="49"/>
  <c r="M150" i="49"/>
  <c r="L150" i="49"/>
  <c r="I150" i="49"/>
  <c r="H150" i="49"/>
  <c r="G150" i="49"/>
  <c r="C150" i="49"/>
  <c r="N149" i="49"/>
  <c r="M149" i="49"/>
  <c r="L149" i="49"/>
  <c r="I149" i="49"/>
  <c r="H149" i="49"/>
  <c r="G149" i="49"/>
  <c r="C149" i="49"/>
  <c r="N148" i="49"/>
  <c r="M148" i="49"/>
  <c r="L148" i="49"/>
  <c r="I148" i="49"/>
  <c r="H148" i="49"/>
  <c r="G148" i="49"/>
  <c r="C148" i="49"/>
  <c r="N147" i="49"/>
  <c r="M147" i="49"/>
  <c r="L147" i="49"/>
  <c r="I147" i="49"/>
  <c r="H147" i="49"/>
  <c r="G147" i="49"/>
  <c r="C147" i="49"/>
  <c r="N146" i="49"/>
  <c r="M146" i="49"/>
  <c r="L146" i="49"/>
  <c r="I146" i="49"/>
  <c r="H146" i="49"/>
  <c r="G146" i="49"/>
  <c r="C146" i="49"/>
  <c r="N145" i="49"/>
  <c r="M145" i="49"/>
  <c r="L145" i="49"/>
  <c r="I145" i="49"/>
  <c r="H145" i="49"/>
  <c r="G145" i="49"/>
  <c r="C145" i="49"/>
  <c r="N144" i="49"/>
  <c r="M144" i="49"/>
  <c r="L144" i="49"/>
  <c r="I144" i="49"/>
  <c r="H144" i="49"/>
  <c r="G144" i="49"/>
  <c r="C144" i="49"/>
  <c r="N143" i="49"/>
  <c r="M143" i="49"/>
  <c r="L143" i="49"/>
  <c r="I143" i="49"/>
  <c r="H143" i="49"/>
  <c r="G143" i="49"/>
  <c r="C143" i="49"/>
  <c r="N142" i="49"/>
  <c r="M142" i="49"/>
  <c r="L142" i="49"/>
  <c r="I142" i="49"/>
  <c r="H142" i="49"/>
  <c r="G142" i="49"/>
  <c r="C142" i="49"/>
  <c r="N141" i="49"/>
  <c r="M141" i="49"/>
  <c r="L141" i="49"/>
  <c r="I141" i="49"/>
  <c r="H141" i="49"/>
  <c r="G141" i="49"/>
  <c r="C141" i="49"/>
  <c r="N140" i="49"/>
  <c r="M140" i="49"/>
  <c r="L140" i="49"/>
  <c r="I140" i="49"/>
  <c r="H140" i="49"/>
  <c r="G140" i="49"/>
  <c r="C140" i="49"/>
  <c r="N139" i="49"/>
  <c r="M139" i="49"/>
  <c r="L139" i="49"/>
  <c r="I139" i="49"/>
  <c r="H139" i="49"/>
  <c r="G139" i="49"/>
  <c r="C139" i="49"/>
  <c r="N138" i="49"/>
  <c r="M138" i="49"/>
  <c r="L138" i="49"/>
  <c r="I138" i="49"/>
  <c r="H138" i="49"/>
  <c r="G138" i="49"/>
  <c r="C138" i="49"/>
  <c r="N137" i="49"/>
  <c r="M137" i="49"/>
  <c r="L137" i="49"/>
  <c r="I137" i="49"/>
  <c r="H137" i="49"/>
  <c r="G137" i="49"/>
  <c r="C137" i="49"/>
  <c r="N136" i="49"/>
  <c r="M136" i="49"/>
  <c r="L136" i="49"/>
  <c r="I136" i="49"/>
  <c r="H136" i="49"/>
  <c r="G136" i="49"/>
  <c r="C136" i="49"/>
  <c r="N135" i="49"/>
  <c r="M135" i="49"/>
  <c r="L135" i="49"/>
  <c r="I135" i="49"/>
  <c r="H135" i="49"/>
  <c r="G135" i="49"/>
  <c r="C135" i="49"/>
  <c r="N134" i="49"/>
  <c r="M134" i="49"/>
  <c r="L134" i="49"/>
  <c r="I134" i="49"/>
  <c r="H134" i="49"/>
  <c r="G134" i="49"/>
  <c r="C134" i="49"/>
  <c r="N133" i="49"/>
  <c r="M133" i="49"/>
  <c r="L133" i="49"/>
  <c r="I133" i="49"/>
  <c r="H133" i="49"/>
  <c r="G133" i="49"/>
  <c r="C133" i="49"/>
  <c r="N132" i="49"/>
  <c r="M132" i="49"/>
  <c r="L132" i="49"/>
  <c r="I132" i="49"/>
  <c r="H132" i="49"/>
  <c r="G132" i="49"/>
  <c r="C132" i="49"/>
  <c r="N131" i="49"/>
  <c r="M131" i="49"/>
  <c r="L131" i="49"/>
  <c r="I131" i="49"/>
  <c r="H131" i="49"/>
  <c r="G131" i="49"/>
  <c r="C131" i="49"/>
  <c r="N130" i="49"/>
  <c r="M130" i="49"/>
  <c r="L130" i="49"/>
  <c r="I130" i="49"/>
  <c r="H130" i="49"/>
  <c r="G130" i="49"/>
  <c r="C130" i="49"/>
  <c r="N129" i="49"/>
  <c r="M129" i="49"/>
  <c r="L129" i="49"/>
  <c r="I129" i="49"/>
  <c r="H129" i="49"/>
  <c r="G129" i="49"/>
  <c r="C129" i="49"/>
  <c r="N128" i="49"/>
  <c r="M128" i="49"/>
  <c r="L128" i="49"/>
  <c r="I128" i="49"/>
  <c r="H128" i="49"/>
  <c r="G128" i="49"/>
  <c r="C128" i="49"/>
  <c r="N127" i="49"/>
  <c r="M127" i="49"/>
  <c r="L127" i="49"/>
  <c r="I127" i="49"/>
  <c r="H127" i="49"/>
  <c r="G127" i="49"/>
  <c r="C127" i="49"/>
  <c r="N126" i="49"/>
  <c r="M126" i="49"/>
  <c r="L126" i="49"/>
  <c r="I126" i="49"/>
  <c r="H126" i="49"/>
  <c r="G126" i="49"/>
  <c r="C126" i="49"/>
  <c r="N125" i="49"/>
  <c r="M125" i="49"/>
  <c r="L125" i="49"/>
  <c r="I125" i="49"/>
  <c r="H125" i="49"/>
  <c r="G125" i="49"/>
  <c r="C125" i="49"/>
  <c r="N124" i="49"/>
  <c r="M124" i="49"/>
  <c r="L124" i="49"/>
  <c r="I124" i="49"/>
  <c r="H124" i="49"/>
  <c r="G124" i="49"/>
  <c r="C124" i="49"/>
  <c r="N123" i="49"/>
  <c r="M123" i="49"/>
  <c r="L123" i="49"/>
  <c r="I123" i="49"/>
  <c r="H123" i="49"/>
  <c r="G123" i="49"/>
  <c r="C123" i="49"/>
  <c r="N122" i="49"/>
  <c r="M122" i="49"/>
  <c r="L122" i="49"/>
  <c r="I122" i="49"/>
  <c r="H122" i="49"/>
  <c r="G122" i="49"/>
  <c r="C122" i="49"/>
  <c r="N121" i="49"/>
  <c r="M121" i="49"/>
  <c r="L121" i="49"/>
  <c r="I121" i="49"/>
  <c r="H121" i="49"/>
  <c r="G121" i="49"/>
  <c r="C121" i="49"/>
  <c r="N120" i="49"/>
  <c r="M120" i="49"/>
  <c r="L120" i="49"/>
  <c r="I120" i="49"/>
  <c r="H120" i="49"/>
  <c r="G120" i="49"/>
  <c r="C120" i="49"/>
  <c r="N119" i="49"/>
  <c r="M119" i="49"/>
  <c r="L119" i="49"/>
  <c r="I119" i="49"/>
  <c r="H119" i="49"/>
  <c r="G119" i="49"/>
  <c r="C119" i="49"/>
  <c r="N118" i="49"/>
  <c r="M118" i="49"/>
  <c r="L118" i="49"/>
  <c r="I118" i="49"/>
  <c r="H118" i="49"/>
  <c r="G118" i="49"/>
  <c r="C118" i="49"/>
  <c r="N117" i="49"/>
  <c r="M117" i="49"/>
  <c r="L117" i="49"/>
  <c r="I117" i="49"/>
  <c r="H117" i="49"/>
  <c r="G117" i="49"/>
  <c r="C117" i="49"/>
  <c r="N116" i="49"/>
  <c r="M116" i="49"/>
  <c r="L116" i="49"/>
  <c r="I116" i="49"/>
  <c r="H116" i="49"/>
  <c r="G116" i="49"/>
  <c r="C116" i="49"/>
  <c r="N115" i="49"/>
  <c r="M115" i="49"/>
  <c r="L115" i="49"/>
  <c r="I115" i="49"/>
  <c r="H115" i="49"/>
  <c r="G115" i="49"/>
  <c r="C115" i="49"/>
  <c r="N114" i="49"/>
  <c r="M114" i="49"/>
  <c r="L114" i="49"/>
  <c r="I114" i="49"/>
  <c r="H114" i="49"/>
  <c r="G114" i="49"/>
  <c r="C114" i="49"/>
  <c r="N113" i="49"/>
  <c r="M113" i="49"/>
  <c r="L113" i="49"/>
  <c r="I113" i="49"/>
  <c r="H113" i="49"/>
  <c r="G113" i="49"/>
  <c r="C113" i="49"/>
  <c r="N112" i="49"/>
  <c r="M112" i="49"/>
  <c r="L112" i="49"/>
  <c r="I112" i="49"/>
  <c r="H112" i="49"/>
  <c r="G112" i="49"/>
  <c r="C112" i="49"/>
  <c r="N111" i="49"/>
  <c r="M111" i="49"/>
  <c r="L111" i="49"/>
  <c r="I111" i="49"/>
  <c r="H111" i="49"/>
  <c r="G111" i="49"/>
  <c r="C111" i="49"/>
  <c r="N110" i="49"/>
  <c r="M110" i="49"/>
  <c r="L110" i="49"/>
  <c r="I110" i="49"/>
  <c r="H110" i="49"/>
  <c r="G110" i="49"/>
  <c r="C110" i="49"/>
  <c r="N109" i="49"/>
  <c r="M109" i="49"/>
  <c r="L109" i="49"/>
  <c r="I109" i="49"/>
  <c r="H109" i="49"/>
  <c r="G109" i="49"/>
  <c r="C109" i="49"/>
  <c r="N108" i="49"/>
  <c r="M108" i="49"/>
  <c r="L108" i="49"/>
  <c r="I108" i="49"/>
  <c r="H108" i="49"/>
  <c r="G108" i="49"/>
  <c r="C108" i="49"/>
  <c r="N107" i="49"/>
  <c r="M107" i="49"/>
  <c r="L107" i="49"/>
  <c r="I107" i="49"/>
  <c r="H107" i="49"/>
  <c r="G107" i="49"/>
  <c r="C107" i="49"/>
  <c r="N106" i="49"/>
  <c r="M106" i="49"/>
  <c r="L106" i="49"/>
  <c r="I106" i="49"/>
  <c r="H106" i="49"/>
  <c r="G106" i="49"/>
  <c r="C106" i="49"/>
  <c r="N105" i="49"/>
  <c r="M105" i="49"/>
  <c r="L105" i="49"/>
  <c r="I105" i="49"/>
  <c r="H105" i="49"/>
  <c r="G105" i="49"/>
  <c r="C105" i="49"/>
  <c r="N104" i="49"/>
  <c r="M104" i="49"/>
  <c r="L104" i="49"/>
  <c r="I104" i="49"/>
  <c r="H104" i="49"/>
  <c r="G104" i="49"/>
  <c r="C104" i="49"/>
  <c r="N103" i="49"/>
  <c r="M103" i="49"/>
  <c r="L103" i="49"/>
  <c r="I103" i="49"/>
  <c r="H103" i="49"/>
  <c r="G103" i="49"/>
  <c r="C103" i="49"/>
  <c r="N102" i="49"/>
  <c r="M102" i="49"/>
  <c r="L102" i="49"/>
  <c r="I102" i="49"/>
  <c r="H102" i="49"/>
  <c r="G102" i="49"/>
  <c r="C102" i="49"/>
  <c r="N101" i="49"/>
  <c r="M101" i="49"/>
  <c r="L101" i="49"/>
  <c r="I101" i="49"/>
  <c r="H101" i="49"/>
  <c r="G101" i="49"/>
  <c r="C101" i="49"/>
  <c r="N100" i="49"/>
  <c r="M100" i="49"/>
  <c r="L100" i="49"/>
  <c r="I100" i="49"/>
  <c r="H100" i="49"/>
  <c r="G100" i="49"/>
  <c r="C100" i="49"/>
  <c r="N99" i="49"/>
  <c r="M99" i="49"/>
  <c r="L99" i="49"/>
  <c r="I99" i="49"/>
  <c r="H99" i="49"/>
  <c r="G99" i="49"/>
  <c r="C99" i="49"/>
  <c r="N98" i="49"/>
  <c r="M98" i="49"/>
  <c r="L98" i="49"/>
  <c r="I98" i="49"/>
  <c r="H98" i="49"/>
  <c r="G98" i="49"/>
  <c r="C98" i="49"/>
  <c r="N97" i="49"/>
  <c r="M97" i="49"/>
  <c r="L97" i="49"/>
  <c r="I97" i="49"/>
  <c r="H97" i="49"/>
  <c r="G97" i="49"/>
  <c r="C97" i="49"/>
  <c r="N96" i="49"/>
  <c r="M96" i="49"/>
  <c r="L96" i="49"/>
  <c r="I96" i="49"/>
  <c r="H96" i="49"/>
  <c r="G96" i="49"/>
  <c r="C96" i="49"/>
  <c r="N95" i="49"/>
  <c r="M95" i="49"/>
  <c r="L95" i="49"/>
  <c r="I95" i="49"/>
  <c r="H95" i="49"/>
  <c r="G95" i="49"/>
  <c r="C95" i="49"/>
  <c r="N94" i="49"/>
  <c r="M94" i="49"/>
  <c r="L94" i="49"/>
  <c r="I94" i="49"/>
  <c r="H94" i="49"/>
  <c r="G94" i="49"/>
  <c r="C94" i="49"/>
  <c r="N93" i="49"/>
  <c r="M93" i="49"/>
  <c r="L93" i="49"/>
  <c r="I93" i="49"/>
  <c r="H93" i="49"/>
  <c r="G93" i="49"/>
  <c r="C93" i="49"/>
  <c r="N92" i="49"/>
  <c r="M92" i="49"/>
  <c r="L92" i="49"/>
  <c r="I92" i="49"/>
  <c r="H92" i="49"/>
  <c r="G92" i="49"/>
  <c r="C92" i="49"/>
  <c r="N91" i="49"/>
  <c r="M91" i="49"/>
  <c r="L91" i="49"/>
  <c r="I91" i="49"/>
  <c r="H91" i="49"/>
  <c r="G91" i="49"/>
  <c r="C91" i="49"/>
  <c r="N90" i="49"/>
  <c r="M90" i="49"/>
  <c r="L90" i="49"/>
  <c r="I90" i="49"/>
  <c r="H90" i="49"/>
  <c r="G90" i="49"/>
  <c r="C90" i="49"/>
  <c r="N89" i="49"/>
  <c r="M89" i="49"/>
  <c r="L89" i="49"/>
  <c r="I89" i="49"/>
  <c r="H89" i="49"/>
  <c r="G89" i="49"/>
  <c r="C89" i="49"/>
  <c r="N88" i="49"/>
  <c r="M88" i="49"/>
  <c r="L88" i="49"/>
  <c r="I88" i="49"/>
  <c r="H88" i="49"/>
  <c r="G88" i="49"/>
  <c r="C88" i="49"/>
  <c r="N87" i="49"/>
  <c r="M87" i="49"/>
  <c r="L87" i="49"/>
  <c r="I87" i="49"/>
  <c r="H87" i="49"/>
  <c r="G87" i="49"/>
  <c r="C87" i="49"/>
  <c r="N86" i="49"/>
  <c r="M86" i="49"/>
  <c r="L86" i="49"/>
  <c r="I86" i="49"/>
  <c r="H86" i="49"/>
  <c r="G86" i="49"/>
  <c r="C86" i="49"/>
  <c r="N85" i="49"/>
  <c r="M85" i="49"/>
  <c r="L85" i="49"/>
  <c r="I85" i="49"/>
  <c r="H85" i="49"/>
  <c r="G85" i="49"/>
  <c r="C85" i="49"/>
  <c r="N84" i="49"/>
  <c r="M84" i="49"/>
  <c r="L84" i="49"/>
  <c r="I84" i="49"/>
  <c r="H84" i="49"/>
  <c r="G84" i="49"/>
  <c r="C84" i="49"/>
  <c r="N83" i="49"/>
  <c r="M83" i="49"/>
  <c r="L83" i="49"/>
  <c r="I83" i="49"/>
  <c r="H83" i="49"/>
  <c r="G83" i="49"/>
  <c r="C83" i="49"/>
  <c r="N82" i="49"/>
  <c r="M82" i="49"/>
  <c r="L82" i="49"/>
  <c r="I82" i="49"/>
  <c r="H82" i="49"/>
  <c r="G82" i="49"/>
  <c r="C82" i="49"/>
  <c r="N81" i="49"/>
  <c r="M81" i="49"/>
  <c r="L81" i="49"/>
  <c r="I81" i="49"/>
  <c r="H81" i="49"/>
  <c r="G81" i="49"/>
  <c r="C81" i="49"/>
  <c r="N80" i="49"/>
  <c r="M80" i="49"/>
  <c r="L80" i="49"/>
  <c r="I80" i="49"/>
  <c r="H80" i="49"/>
  <c r="G80" i="49"/>
  <c r="C80" i="49"/>
  <c r="N79" i="49"/>
  <c r="M79" i="49"/>
  <c r="L79" i="49"/>
  <c r="I79" i="49"/>
  <c r="H79" i="49"/>
  <c r="G79" i="49"/>
  <c r="C79" i="49"/>
  <c r="N78" i="49"/>
  <c r="M78" i="49"/>
  <c r="L78" i="49"/>
  <c r="I78" i="49"/>
  <c r="H78" i="49"/>
  <c r="G78" i="49"/>
  <c r="C78" i="49"/>
  <c r="N77" i="49"/>
  <c r="M77" i="49"/>
  <c r="L77" i="49"/>
  <c r="I77" i="49"/>
  <c r="H77" i="49"/>
  <c r="G77" i="49"/>
  <c r="C77" i="49"/>
  <c r="N76" i="49"/>
  <c r="M76" i="49"/>
  <c r="L76" i="49"/>
  <c r="I76" i="49"/>
  <c r="H76" i="49"/>
  <c r="G76" i="49"/>
  <c r="C76" i="49"/>
  <c r="N75" i="49"/>
  <c r="M75" i="49"/>
  <c r="L75" i="49"/>
  <c r="I75" i="49"/>
  <c r="H75" i="49"/>
  <c r="G75" i="49"/>
  <c r="C75" i="49"/>
  <c r="N74" i="49"/>
  <c r="M74" i="49"/>
  <c r="L74" i="49"/>
  <c r="I74" i="49"/>
  <c r="H74" i="49"/>
  <c r="G74" i="49"/>
  <c r="C74" i="49"/>
  <c r="N73" i="49"/>
  <c r="M73" i="49"/>
  <c r="L73" i="49"/>
  <c r="I73" i="49"/>
  <c r="H73" i="49"/>
  <c r="G73" i="49"/>
  <c r="C73" i="49"/>
  <c r="N72" i="49"/>
  <c r="M72" i="49"/>
  <c r="L72" i="49"/>
  <c r="I72" i="49"/>
  <c r="H72" i="49"/>
  <c r="G72" i="49"/>
  <c r="C72" i="49"/>
  <c r="N71" i="49"/>
  <c r="M71" i="49"/>
  <c r="L71" i="49"/>
  <c r="I71" i="49"/>
  <c r="H71" i="49"/>
  <c r="G71" i="49"/>
  <c r="C71" i="49"/>
  <c r="N70" i="49"/>
  <c r="M70" i="49"/>
  <c r="L70" i="49"/>
  <c r="I70" i="49"/>
  <c r="H70" i="49"/>
  <c r="G70" i="49"/>
  <c r="C70" i="49"/>
  <c r="N69" i="49"/>
  <c r="M69" i="49"/>
  <c r="L69" i="49"/>
  <c r="I69" i="49"/>
  <c r="H69" i="49"/>
  <c r="G69" i="49"/>
  <c r="C69" i="49"/>
  <c r="N68" i="49"/>
  <c r="M68" i="49"/>
  <c r="L68" i="49"/>
  <c r="I68" i="49"/>
  <c r="H68" i="49"/>
  <c r="G68" i="49"/>
  <c r="C68" i="49"/>
  <c r="N67" i="49"/>
  <c r="M67" i="49"/>
  <c r="L67" i="49"/>
  <c r="I67" i="49"/>
  <c r="H67" i="49"/>
  <c r="G67" i="49"/>
  <c r="C67" i="49"/>
  <c r="N66" i="49"/>
  <c r="M66" i="49"/>
  <c r="L66" i="49"/>
  <c r="I66" i="49"/>
  <c r="H66" i="49"/>
  <c r="G66" i="49"/>
  <c r="C66" i="49"/>
  <c r="N65" i="49"/>
  <c r="M65" i="49"/>
  <c r="L65" i="49"/>
  <c r="I65" i="49"/>
  <c r="H65" i="49"/>
  <c r="G65" i="49"/>
  <c r="C65" i="49"/>
  <c r="N64" i="49"/>
  <c r="M64" i="49"/>
  <c r="L64" i="49"/>
  <c r="I64" i="49"/>
  <c r="H64" i="49"/>
  <c r="G64" i="49"/>
  <c r="C64" i="49"/>
  <c r="N63" i="49"/>
  <c r="M63" i="49"/>
  <c r="L63" i="49"/>
  <c r="I63" i="49"/>
  <c r="H63" i="49"/>
  <c r="G63" i="49"/>
  <c r="C63" i="49"/>
  <c r="N62" i="49"/>
  <c r="M62" i="49"/>
  <c r="L62" i="49"/>
  <c r="I62" i="49"/>
  <c r="H62" i="49"/>
  <c r="G62" i="49"/>
  <c r="C62" i="49"/>
  <c r="N61" i="49"/>
  <c r="M61" i="49"/>
  <c r="L61" i="49"/>
  <c r="I61" i="49"/>
  <c r="H61" i="49"/>
  <c r="G61" i="49"/>
  <c r="C61" i="49"/>
  <c r="N60" i="49"/>
  <c r="M60" i="49"/>
  <c r="L60" i="49"/>
  <c r="I60" i="49"/>
  <c r="H60" i="49"/>
  <c r="G60" i="49"/>
  <c r="C60" i="49"/>
  <c r="N59" i="49"/>
  <c r="M59" i="49"/>
  <c r="L59" i="49"/>
  <c r="I59" i="49"/>
  <c r="H59" i="49"/>
  <c r="G59" i="49"/>
  <c r="C59" i="49"/>
  <c r="N58" i="49"/>
  <c r="M58" i="49"/>
  <c r="L58" i="49"/>
  <c r="I58" i="49"/>
  <c r="H58" i="49"/>
  <c r="G58" i="49"/>
  <c r="C58" i="49"/>
  <c r="N57" i="49"/>
  <c r="M57" i="49"/>
  <c r="L57" i="49"/>
  <c r="I57" i="49"/>
  <c r="H57" i="49"/>
  <c r="G57" i="49"/>
  <c r="C57" i="49"/>
  <c r="N56" i="49"/>
  <c r="M56" i="49"/>
  <c r="L56" i="49"/>
  <c r="I56" i="49"/>
  <c r="H56" i="49"/>
  <c r="G56" i="49"/>
  <c r="C56" i="49"/>
  <c r="N55" i="49"/>
  <c r="M55" i="49"/>
  <c r="L55" i="49"/>
  <c r="I55" i="49"/>
  <c r="H55" i="49"/>
  <c r="G55" i="49"/>
  <c r="C55" i="49"/>
  <c r="N54" i="49"/>
  <c r="M54" i="49"/>
  <c r="L54" i="49"/>
  <c r="I54" i="49"/>
  <c r="H54" i="49"/>
  <c r="G54" i="49"/>
  <c r="C54" i="49"/>
  <c r="N53" i="49"/>
  <c r="M53" i="49"/>
  <c r="L53" i="49"/>
  <c r="I53" i="49"/>
  <c r="H53" i="49"/>
  <c r="G53" i="49"/>
  <c r="C53" i="49"/>
  <c r="N52" i="49"/>
  <c r="M52" i="49"/>
  <c r="L52" i="49"/>
  <c r="I52" i="49"/>
  <c r="H52" i="49"/>
  <c r="G52" i="49"/>
  <c r="C52" i="49"/>
  <c r="N51" i="49"/>
  <c r="M51" i="49"/>
  <c r="L51" i="49"/>
  <c r="I51" i="49"/>
  <c r="H51" i="49"/>
  <c r="G51" i="49"/>
  <c r="C51" i="49"/>
  <c r="N50" i="49"/>
  <c r="M50" i="49"/>
  <c r="L50" i="49"/>
  <c r="I50" i="49"/>
  <c r="H50" i="49"/>
  <c r="G50" i="49"/>
  <c r="C50" i="49"/>
  <c r="N49" i="49"/>
  <c r="M49" i="49"/>
  <c r="L49" i="49"/>
  <c r="I49" i="49"/>
  <c r="H49" i="49"/>
  <c r="G49" i="49"/>
  <c r="C49" i="49"/>
  <c r="N48" i="49"/>
  <c r="M48" i="49"/>
  <c r="L48" i="49"/>
  <c r="I48" i="49"/>
  <c r="H48" i="49"/>
  <c r="G48" i="49"/>
  <c r="C48" i="49"/>
  <c r="N47" i="49"/>
  <c r="M47" i="49"/>
  <c r="L47" i="49"/>
  <c r="I47" i="49"/>
  <c r="H47" i="49"/>
  <c r="G47" i="49"/>
  <c r="C47" i="49"/>
  <c r="N46" i="49"/>
  <c r="M46" i="49"/>
  <c r="L46" i="49"/>
  <c r="I46" i="49"/>
  <c r="H46" i="49"/>
  <c r="G46" i="49"/>
  <c r="C46" i="49"/>
  <c r="N45" i="49"/>
  <c r="M45" i="49"/>
  <c r="L45" i="49"/>
  <c r="I45" i="49"/>
  <c r="H45" i="49"/>
  <c r="G45" i="49"/>
  <c r="C45" i="49"/>
  <c r="N44" i="49"/>
  <c r="M44" i="49"/>
  <c r="L44" i="49"/>
  <c r="I44" i="49"/>
  <c r="H44" i="49"/>
  <c r="G44" i="49"/>
  <c r="C44" i="49"/>
  <c r="N43" i="49"/>
  <c r="M43" i="49"/>
  <c r="L43" i="49"/>
  <c r="I43" i="49"/>
  <c r="H43" i="49"/>
  <c r="G43" i="49"/>
  <c r="C43" i="49"/>
  <c r="N42" i="49"/>
  <c r="M42" i="49"/>
  <c r="L42" i="49"/>
  <c r="I42" i="49"/>
  <c r="H42" i="49"/>
  <c r="G42" i="49"/>
  <c r="C42" i="49"/>
  <c r="N41" i="49"/>
  <c r="M41" i="49"/>
  <c r="L41" i="49"/>
  <c r="I41" i="49"/>
  <c r="H41" i="49"/>
  <c r="G41" i="49"/>
  <c r="C41" i="49"/>
  <c r="N40" i="49"/>
  <c r="M40" i="49"/>
  <c r="L40" i="49"/>
  <c r="I40" i="49"/>
  <c r="H40" i="49"/>
  <c r="G40" i="49"/>
  <c r="C40" i="49"/>
  <c r="N39" i="49"/>
  <c r="M39" i="49"/>
  <c r="L39" i="49"/>
  <c r="I39" i="49"/>
  <c r="H39" i="49"/>
  <c r="G39" i="49"/>
  <c r="C39" i="49"/>
  <c r="N38" i="49"/>
  <c r="M38" i="49"/>
  <c r="L38" i="49"/>
  <c r="I38" i="49"/>
  <c r="H38" i="49"/>
  <c r="G38" i="49"/>
  <c r="C38" i="49"/>
  <c r="N37" i="49"/>
  <c r="M37" i="49"/>
  <c r="L37" i="49"/>
  <c r="I37" i="49"/>
  <c r="H37" i="49"/>
  <c r="G37" i="49"/>
  <c r="C37" i="49"/>
  <c r="N36" i="49"/>
  <c r="M36" i="49"/>
  <c r="L36" i="49"/>
  <c r="I36" i="49"/>
  <c r="H36" i="49"/>
  <c r="G36" i="49"/>
  <c r="C36" i="49"/>
  <c r="N35" i="49"/>
  <c r="M35" i="49"/>
  <c r="L35" i="49"/>
  <c r="I35" i="49"/>
  <c r="H35" i="49"/>
  <c r="G35" i="49"/>
  <c r="C35" i="49"/>
  <c r="N34" i="49"/>
  <c r="M34" i="49"/>
  <c r="L34" i="49"/>
  <c r="I34" i="49"/>
  <c r="H34" i="49"/>
  <c r="G34" i="49"/>
  <c r="C34" i="49"/>
  <c r="N33" i="49"/>
  <c r="M33" i="49"/>
  <c r="L33" i="49"/>
  <c r="I33" i="49"/>
  <c r="H33" i="49"/>
  <c r="G33" i="49"/>
  <c r="C33" i="49"/>
  <c r="N32" i="49"/>
  <c r="M32" i="49"/>
  <c r="L32" i="49"/>
  <c r="I32" i="49"/>
  <c r="H32" i="49"/>
  <c r="G32" i="49"/>
  <c r="C32" i="49"/>
  <c r="N31" i="49"/>
  <c r="M31" i="49"/>
  <c r="L31" i="49"/>
  <c r="I31" i="49"/>
  <c r="H31" i="49"/>
  <c r="G31" i="49"/>
  <c r="C31" i="49"/>
  <c r="N30" i="49"/>
  <c r="M30" i="49"/>
  <c r="L30" i="49"/>
  <c r="I30" i="49"/>
  <c r="H30" i="49"/>
  <c r="G30" i="49"/>
  <c r="C30" i="49"/>
  <c r="N29" i="49"/>
  <c r="M29" i="49"/>
  <c r="L29" i="49"/>
  <c r="I29" i="49"/>
  <c r="H29" i="49"/>
  <c r="G29" i="49"/>
  <c r="C29" i="49"/>
  <c r="N28" i="49"/>
  <c r="M28" i="49"/>
  <c r="L28" i="49"/>
  <c r="I28" i="49"/>
  <c r="H28" i="49"/>
  <c r="G28" i="49"/>
  <c r="C28" i="49"/>
  <c r="N27" i="49"/>
  <c r="M27" i="49"/>
  <c r="L27" i="49"/>
  <c r="I27" i="49"/>
  <c r="H27" i="49"/>
  <c r="G27" i="49"/>
  <c r="C27" i="49"/>
  <c r="N26" i="49"/>
  <c r="M26" i="49"/>
  <c r="L26" i="49"/>
  <c r="I26" i="49"/>
  <c r="H26" i="49"/>
  <c r="G26" i="49"/>
  <c r="C26" i="49"/>
  <c r="N25" i="49"/>
  <c r="M25" i="49"/>
  <c r="L25" i="49"/>
  <c r="I25" i="49"/>
  <c r="H25" i="49"/>
  <c r="G25" i="49"/>
  <c r="C25" i="49"/>
  <c r="N24" i="49"/>
  <c r="M24" i="49"/>
  <c r="L24" i="49"/>
  <c r="I24" i="49"/>
  <c r="H24" i="49"/>
  <c r="G24" i="49"/>
  <c r="C24" i="49"/>
  <c r="N23" i="49"/>
  <c r="M23" i="49"/>
  <c r="L23" i="49"/>
  <c r="I23" i="49"/>
  <c r="H23" i="49"/>
  <c r="G23" i="49"/>
  <c r="C23" i="49"/>
  <c r="N22" i="49"/>
  <c r="M22" i="49"/>
  <c r="L22" i="49"/>
  <c r="I22" i="49"/>
  <c r="H22" i="49"/>
  <c r="G22" i="49"/>
  <c r="C22" i="49"/>
  <c r="N21" i="49"/>
  <c r="M21" i="49"/>
  <c r="L21" i="49"/>
  <c r="I21" i="49"/>
  <c r="H21" i="49"/>
  <c r="G21" i="49"/>
  <c r="C21" i="49"/>
  <c r="N20" i="49"/>
  <c r="M20" i="49"/>
  <c r="L20" i="49"/>
  <c r="I20" i="49"/>
  <c r="H20" i="49"/>
  <c r="G20" i="49"/>
  <c r="C20" i="49"/>
  <c r="N19" i="49"/>
  <c r="M19" i="49"/>
  <c r="L19" i="49"/>
  <c r="I19" i="49"/>
  <c r="H19" i="49"/>
  <c r="G19" i="49"/>
  <c r="C19" i="49"/>
  <c r="N18" i="49"/>
  <c r="M18" i="49"/>
  <c r="L18" i="49"/>
  <c r="I18" i="49"/>
  <c r="H18" i="49"/>
  <c r="G18" i="49"/>
  <c r="C18" i="49"/>
  <c r="N17" i="49"/>
  <c r="M17" i="49"/>
  <c r="L17" i="49"/>
  <c r="I17" i="49"/>
  <c r="H17" i="49"/>
  <c r="G17" i="49"/>
  <c r="C17" i="49"/>
  <c r="N16" i="49"/>
  <c r="M16" i="49"/>
  <c r="L16" i="49"/>
  <c r="I16" i="49"/>
  <c r="H16" i="49"/>
  <c r="G16" i="49"/>
  <c r="C16" i="49"/>
  <c r="N15" i="49"/>
  <c r="M15" i="49"/>
  <c r="L15" i="49"/>
  <c r="I15" i="49"/>
  <c r="H15" i="49"/>
  <c r="G15" i="49"/>
  <c r="C15" i="49"/>
  <c r="N14" i="49"/>
  <c r="M14" i="49"/>
  <c r="L14" i="49"/>
  <c r="I14" i="49"/>
  <c r="H14" i="49"/>
  <c r="G14" i="49"/>
  <c r="C14" i="49"/>
  <c r="N13" i="49"/>
  <c r="M13" i="49"/>
  <c r="L13" i="49"/>
  <c r="I13" i="49"/>
  <c r="H13" i="49"/>
  <c r="G13" i="49"/>
  <c r="C13" i="49"/>
  <c r="N12" i="49"/>
  <c r="M12" i="49"/>
  <c r="L12" i="49"/>
  <c r="I12" i="49"/>
  <c r="H12" i="49"/>
  <c r="G12" i="49"/>
  <c r="C12" i="49"/>
  <c r="N11" i="49"/>
  <c r="M11" i="49"/>
  <c r="L11" i="49"/>
  <c r="I11" i="49"/>
  <c r="H11" i="49"/>
  <c r="G11" i="49"/>
  <c r="C11" i="49"/>
  <c r="N10" i="49"/>
  <c r="M10" i="49"/>
  <c r="L10" i="49"/>
  <c r="I10" i="49"/>
  <c r="H10" i="49"/>
  <c r="G10" i="49"/>
  <c r="C10" i="49"/>
  <c r="H4" i="49"/>
  <c r="H3" i="49"/>
  <c r="H399" i="49" l="1"/>
  <c r="E402" i="49"/>
  <c r="J402" i="49"/>
  <c r="R65" i="4" l="1"/>
  <c r="R65" i="3"/>
  <c r="R65" i="2"/>
  <c r="B15" i="11"/>
  <c r="C15" i="11"/>
  <c r="D15" i="11"/>
  <c r="E15" i="11"/>
  <c r="G15" i="11" s="1"/>
  <c r="F15" i="11"/>
  <c r="H15" i="11"/>
  <c r="I15" i="11"/>
  <c r="B42" i="5"/>
  <c r="C42" i="5"/>
  <c r="D42" i="5"/>
  <c r="E42" i="5"/>
  <c r="F42" i="5"/>
  <c r="H42" i="5"/>
  <c r="I42" i="5"/>
  <c r="B21" i="5"/>
  <c r="F21" i="5" s="1"/>
  <c r="C21" i="5"/>
  <c r="D21" i="5"/>
  <c r="E21" i="5"/>
  <c r="H21" i="5"/>
  <c r="I21" i="5"/>
  <c r="B16" i="19"/>
  <c r="C16" i="19"/>
  <c r="F16" i="19" s="1"/>
  <c r="D16" i="19"/>
  <c r="E16" i="19"/>
  <c r="G16" i="19" s="1"/>
  <c r="H16" i="19"/>
  <c r="I16" i="19"/>
  <c r="C36" i="18"/>
  <c r="D36" i="18"/>
  <c r="G36" i="18" s="1"/>
  <c r="E36" i="18"/>
  <c r="F36" i="18"/>
  <c r="I36" i="18"/>
  <c r="J36" i="18"/>
  <c r="K36" i="18"/>
  <c r="L36" i="18"/>
  <c r="B30" i="17"/>
  <c r="C30" i="17"/>
  <c r="F30" i="17" s="1"/>
  <c r="D30" i="17"/>
  <c r="G30" i="17" s="1"/>
  <c r="E30" i="17"/>
  <c r="H30" i="17"/>
  <c r="I30" i="17"/>
  <c r="B65" i="16"/>
  <c r="C65" i="16"/>
  <c r="D65" i="16"/>
  <c r="E65" i="16"/>
  <c r="H65" i="16"/>
  <c r="I65" i="16"/>
  <c r="J65" i="16"/>
  <c r="K65" i="16"/>
  <c r="L65" i="16"/>
  <c r="M65" i="16"/>
  <c r="P65" i="16"/>
  <c r="N65" i="16" s="1"/>
  <c r="Q65" i="16"/>
  <c r="O65" i="16" s="1"/>
  <c r="J8" i="12"/>
  <c r="J9" i="12"/>
  <c r="J10" i="12"/>
  <c r="J11" i="12"/>
  <c r="J12" i="12"/>
  <c r="J13" i="12"/>
  <c r="J14" i="12"/>
  <c r="K8" i="12"/>
  <c r="K9" i="12"/>
  <c r="K10" i="12"/>
  <c r="K11" i="12"/>
  <c r="K12" i="12"/>
  <c r="K13" i="12"/>
  <c r="K14" i="12"/>
  <c r="J28" i="12"/>
  <c r="J29" i="12"/>
  <c r="J30" i="12"/>
  <c r="J31" i="12"/>
  <c r="J32" i="12"/>
  <c r="J33" i="12"/>
  <c r="J34" i="12"/>
  <c r="J35" i="12"/>
  <c r="K28" i="12"/>
  <c r="K29" i="12"/>
  <c r="K30" i="12"/>
  <c r="K31" i="12"/>
  <c r="K32" i="12"/>
  <c r="K33" i="12"/>
  <c r="K34" i="12"/>
  <c r="K35" i="12"/>
  <c r="D256" i="36"/>
  <c r="H256" i="36" s="1"/>
  <c r="E256" i="36"/>
  <c r="F256" i="36"/>
  <c r="G256" i="36"/>
  <c r="I256" i="36" s="1"/>
  <c r="D255" i="35"/>
  <c r="E255" i="35"/>
  <c r="H255" i="35" s="1"/>
  <c r="F255" i="35"/>
  <c r="I255" i="35" s="1"/>
  <c r="G255" i="35"/>
  <c r="J255" i="35"/>
  <c r="D257" i="10"/>
  <c r="J257" i="10" s="1"/>
  <c r="E257" i="10"/>
  <c r="F257" i="10"/>
  <c r="I257" i="10" s="1"/>
  <c r="G257" i="10"/>
  <c r="H257" i="10"/>
  <c r="B16" i="13"/>
  <c r="D11" i="13" s="1"/>
  <c r="C16" i="13"/>
  <c r="E11" i="13" s="1"/>
  <c r="F16" i="13"/>
  <c r="G16" i="13"/>
  <c r="I14" i="13" s="1"/>
  <c r="D10" i="13"/>
  <c r="D13" i="13"/>
  <c r="D15" i="13"/>
  <c r="E10" i="13"/>
  <c r="E12" i="13"/>
  <c r="E13" i="13"/>
  <c r="H8" i="13"/>
  <c r="H10" i="13"/>
  <c r="H9" i="13"/>
  <c r="H11" i="13"/>
  <c r="H12" i="13"/>
  <c r="H13" i="13"/>
  <c r="H14" i="13"/>
  <c r="H15" i="13"/>
  <c r="I8" i="13"/>
  <c r="I10" i="13"/>
  <c r="I9" i="13"/>
  <c r="I11" i="13"/>
  <c r="I12" i="13"/>
  <c r="I13" i="13"/>
  <c r="I15" i="13"/>
  <c r="J8" i="13"/>
  <c r="J10" i="13"/>
  <c r="J9" i="13"/>
  <c r="J11" i="13"/>
  <c r="J12" i="13"/>
  <c r="J13" i="13"/>
  <c r="J14" i="13"/>
  <c r="J15" i="13"/>
  <c r="C341" i="8"/>
  <c r="J256" i="36" s="1"/>
  <c r="D341" i="8"/>
  <c r="L255" i="35" s="1"/>
  <c r="E341" i="8"/>
  <c r="K256" i="36" s="1"/>
  <c r="F341" i="8"/>
  <c r="M257" i="10" s="1"/>
  <c r="H341" i="8"/>
  <c r="I341" i="8"/>
  <c r="J341" i="8"/>
  <c r="K341" i="8"/>
  <c r="L341" i="8"/>
  <c r="D12" i="13" l="1"/>
  <c r="M255" i="35"/>
  <c r="E9" i="13"/>
  <c r="D9" i="13"/>
  <c r="L257" i="10"/>
  <c r="K255" i="35"/>
  <c r="M256" i="36"/>
  <c r="L256" i="36"/>
  <c r="E8" i="13"/>
  <c r="D8" i="13"/>
  <c r="G42" i="5"/>
  <c r="E15" i="13"/>
  <c r="G65" i="16"/>
  <c r="G21" i="5"/>
  <c r="E14" i="13"/>
  <c r="D14" i="13"/>
  <c r="F65" i="16"/>
  <c r="G341" i="8"/>
  <c r="H36" i="18"/>
  <c r="K257" i="10"/>
  <c r="R64" i="4" l="1"/>
  <c r="R64" i="3"/>
  <c r="R64" i="2"/>
  <c r="H16" i="13" l="1"/>
  <c r="D16" i="13"/>
  <c r="E16" i="13"/>
  <c r="I16" i="13"/>
  <c r="R63" i="4" l="1"/>
  <c r="R63" i="3"/>
  <c r="R63" i="2"/>
  <c r="R62" i="4" l="1"/>
  <c r="R62" i="3"/>
  <c r="R62" i="2"/>
  <c r="R60" i="2" l="1"/>
  <c r="R59" i="2"/>
  <c r="R58" i="2"/>
  <c r="R57" i="2"/>
  <c r="R56" i="2"/>
  <c r="R55" i="2"/>
  <c r="R54" i="2"/>
  <c r="R53" i="2"/>
  <c r="R52" i="2"/>
  <c r="R51" i="2"/>
  <c r="R50" i="2"/>
  <c r="R49" i="2"/>
  <c r="R61" i="4" l="1"/>
  <c r="R61" i="3"/>
  <c r="R61" i="2"/>
  <c r="R49" i="4" l="1"/>
  <c r="S18" i="4"/>
  <c r="R18" i="4"/>
  <c r="R19" i="4"/>
  <c r="R60" i="3"/>
  <c r="R59" i="3"/>
  <c r="R58" i="3"/>
  <c r="R57" i="3"/>
  <c r="R56" i="3"/>
  <c r="R55" i="3"/>
  <c r="R54" i="3"/>
  <c r="R53" i="3"/>
  <c r="R52" i="3"/>
  <c r="R51" i="3"/>
  <c r="R50" i="3"/>
  <c r="R49" i="3"/>
  <c r="S18" i="3"/>
  <c r="R18" i="3"/>
  <c r="R19" i="3"/>
  <c r="P80" i="12"/>
  <c r="P79" i="12"/>
  <c r="P78" i="12"/>
  <c r="P77" i="12"/>
  <c r="P76" i="12"/>
  <c r="P75" i="12"/>
  <c r="P74" i="12"/>
  <c r="Q18" i="36"/>
  <c r="P18" i="36"/>
  <c r="Q18" i="35"/>
  <c r="P18" i="35"/>
  <c r="P19" i="35"/>
  <c r="Q18" i="10"/>
  <c r="P18" i="10"/>
  <c r="S18" i="2"/>
  <c r="R18" i="2"/>
  <c r="P81" i="12" l="1"/>
  <c r="R19" i="2"/>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H29" i="1" l="1"/>
  <c r="H24" i="1"/>
  <c r="G15" i="12"/>
  <c r="F15" i="12"/>
  <c r="C15" i="12"/>
  <c r="B15" i="12"/>
  <c r="E9" i="12" l="1"/>
  <c r="E11" i="12"/>
  <c r="E13" i="12"/>
  <c r="E8" i="12"/>
  <c r="E15" i="12" s="1"/>
  <c r="E10" i="12"/>
  <c r="E12" i="12"/>
  <c r="E14" i="12"/>
  <c r="D8" i="12"/>
  <c r="D10" i="12"/>
  <c r="D12" i="12"/>
  <c r="D14" i="12"/>
  <c r="D9" i="12"/>
  <c r="D11" i="12"/>
  <c r="D13" i="12"/>
  <c r="H8" i="12"/>
  <c r="H10" i="12"/>
  <c r="H12" i="12"/>
  <c r="H14" i="12"/>
  <c r="H9" i="12"/>
  <c r="H11" i="12"/>
  <c r="H13" i="12"/>
  <c r="I9" i="12"/>
  <c r="I11" i="12"/>
  <c r="I13" i="12"/>
  <c r="I8" i="12"/>
  <c r="I10" i="12"/>
  <c r="I12" i="12"/>
  <c r="I14" i="12"/>
  <c r="H15" i="12" l="1"/>
  <c r="I15" i="12"/>
  <c r="D15" i="12"/>
  <c r="B36" i="12" l="1"/>
  <c r="D29" i="12" l="1"/>
  <c r="D31" i="12"/>
  <c r="D33" i="12"/>
  <c r="D35" i="12"/>
  <c r="D28" i="12"/>
  <c r="D30" i="12"/>
  <c r="D32" i="12"/>
  <c r="D34" i="12"/>
  <c r="Q80" i="12"/>
  <c r="G36" i="12" l="1"/>
  <c r="F36" i="12"/>
  <c r="C36" i="12"/>
  <c r="D36" i="12"/>
  <c r="H29" i="12" l="1"/>
  <c r="H31" i="12"/>
  <c r="H33" i="12"/>
  <c r="H35" i="12"/>
  <c r="H28" i="12"/>
  <c r="H30" i="12"/>
  <c r="H32" i="12"/>
  <c r="H34" i="12"/>
  <c r="E29" i="12"/>
  <c r="E31" i="12"/>
  <c r="E33" i="12"/>
  <c r="E35" i="12"/>
  <c r="E28" i="12"/>
  <c r="E30" i="12"/>
  <c r="E32" i="12"/>
  <c r="E34" i="12"/>
  <c r="I29" i="12"/>
  <c r="I31" i="12"/>
  <c r="I33" i="12"/>
  <c r="I35" i="12"/>
  <c r="I28" i="12"/>
  <c r="I30" i="12"/>
  <c r="I32" i="12"/>
  <c r="I34" i="12"/>
  <c r="H36" i="12"/>
  <c r="J36" i="12"/>
  <c r="E36" i="12"/>
  <c r="I36" i="12"/>
  <c r="K36" i="12"/>
  <c r="J5" i="16" l="1"/>
  <c r="B5" i="16"/>
  <c r="E6" i="11" l="1"/>
  <c r="D6" i="11"/>
  <c r="C6" i="11"/>
  <c r="B6" i="11"/>
  <c r="E30" i="5"/>
  <c r="D30" i="5"/>
  <c r="C30" i="5"/>
  <c r="B30" i="5"/>
  <c r="E6" i="5"/>
  <c r="D6" i="5"/>
  <c r="C6" i="5"/>
  <c r="B6" i="5"/>
  <c r="E6" i="19"/>
  <c r="D6" i="19"/>
  <c r="C6" i="19"/>
  <c r="B6" i="19"/>
  <c r="E6" i="17"/>
  <c r="D6" i="17"/>
  <c r="C6" i="17"/>
  <c r="B6" i="17"/>
  <c r="E6" i="20"/>
  <c r="D6" i="20"/>
  <c r="C6" i="20"/>
  <c r="B6" i="20"/>
  <c r="C7" i="16"/>
  <c r="B7" i="16"/>
  <c r="G26" i="12"/>
  <c r="F26" i="12"/>
  <c r="C26" i="12"/>
  <c r="B26" i="12"/>
  <c r="G6" i="12"/>
  <c r="F6" i="12"/>
  <c r="C6" i="12"/>
  <c r="B6"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G6" i="20"/>
  <c r="F6" i="20"/>
  <c r="Q7" i="16"/>
  <c r="P7" i="16"/>
  <c r="I26" i="12"/>
  <c r="K26" i="12"/>
  <c r="E26" i="12"/>
  <c r="J26" i="12"/>
  <c r="H6" i="12"/>
  <c r="I6" i="12"/>
  <c r="K6" i="12"/>
  <c r="D6" i="12"/>
  <c r="E6" i="12"/>
  <c r="J6"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26" i="12"/>
  <c r="H26" i="12"/>
  <c r="H39" i="36"/>
  <c r="K38" i="35"/>
  <c r="J40" i="10"/>
  <c r="K40" i="10"/>
  <c r="G6" i="8"/>
  <c r="R60" i="4" l="1"/>
  <c r="R59" i="4"/>
  <c r="R58" i="4"/>
  <c r="R57" i="4"/>
  <c r="R56" i="4"/>
  <c r="R55" i="4"/>
  <c r="R54" i="4"/>
  <c r="R53" i="4"/>
  <c r="R52" i="4"/>
  <c r="R51" i="4"/>
  <c r="R50" i="4"/>
  <c r="Q19" i="36" l="1"/>
  <c r="P19" i="36"/>
  <c r="R18" i="36"/>
  <c r="R18" i="35" l="1"/>
  <c r="Q19" i="35"/>
  <c r="O55" i="12" l="1"/>
  <c r="G12" i="1" l="1"/>
  <c r="F12" i="1"/>
  <c r="G31" i="1"/>
  <c r="G30" i="1" s="1"/>
  <c r="F31" i="1"/>
  <c r="F30" i="1" s="1"/>
  <c r="G19" i="1"/>
  <c r="F19" i="1"/>
  <c r="G26" i="1"/>
  <c r="G22" i="1"/>
  <c r="F23" i="1"/>
  <c r="F26" i="1"/>
  <c r="F22" i="1"/>
  <c r="G23" i="1"/>
  <c r="G25" i="1" l="1"/>
  <c r="F25" i="1"/>
  <c r="H30" i="1"/>
  <c r="H22" i="1"/>
  <c r="H23" i="1"/>
  <c r="H31" i="1"/>
  <c r="H26" i="1"/>
  <c r="H19" i="1"/>
  <c r="H25" i="1" l="1"/>
  <c r="S25" i="2" l="1"/>
  <c r="T18" i="2" l="1"/>
  <c r="T18" i="4" l="1"/>
  <c r="T18" i="3"/>
  <c r="N47" i="12" l="1"/>
  <c r="L30" i="13"/>
  <c r="R18" i="10" l="1"/>
  <c r="S19" i="4" l="1"/>
  <c r="S19" i="3"/>
  <c r="S19" i="2"/>
  <c r="Q73" i="12" l="1"/>
  <c r="F6" i="18"/>
  <c r="L6" i="18" s="1"/>
  <c r="E6" i="18"/>
  <c r="J6" i="18" s="1"/>
  <c r="D6" i="18"/>
  <c r="K6" i="18" s="1"/>
  <c r="C6" i="18"/>
  <c r="I6" i="18" s="1"/>
  <c r="Q79" i="12"/>
  <c r="Q78" i="12"/>
  <c r="Q77" i="12"/>
  <c r="Q76" i="12"/>
  <c r="Q75" i="12"/>
  <c r="Q74" i="12"/>
  <c r="Q81" i="12" l="1"/>
  <c r="G6" i="18"/>
  <c r="H6" i="18"/>
  <c r="J15" i="12" l="1"/>
  <c r="O49" i="12"/>
  <c r="O51" i="12"/>
  <c r="O53" i="12"/>
  <c r="O50" i="12"/>
  <c r="O52" i="12"/>
  <c r="O54" i="12"/>
  <c r="K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B000000}" keepAlive="1" name="bdsql12 BDnewRegistrations getAggPBCO2Emissions" type="5" refreshedVersion="4" savePassword="1" deleted="1" saveData="1">
    <dbPr connection="" command=""/>
  </connection>
  <connection id="12" xr16:uid="{00000000-0015-0000-FFFF-FFFF0C000000}" keepAlive="1" name="bdsql12 BDnewRegistrations getAggPBCO2EmissionsWLTP" type="5" refreshedVersion="4" savePassword="1" deleted="1" saveData="1">
    <dbPr connection="" command=""/>
  </connection>
  <connection id="13" xr16:uid="{00000000-0015-0000-FFFF-FFFF0D000000}" keepAlive="1" name="bdsql12 BDnewRegistrations getAggPBFuelTypes" type="5" refreshedVersion="4" savePassword="1" deleted="1" saveData="1">
    <dbPr connection="" command=""/>
  </connection>
  <connection id="14" xr16:uid="{00000000-0015-0000-FFFF-FFFF0E000000}" keepAlive="1" name="bdsql12 BDnewRegistrations getAggRechargeModelsII" type="5" refreshedVersion="4" savePassword="1" deleted="1" saveData="1">
    <dbPr connection="" command=""/>
  </connection>
  <connection id="15" xr16:uid="{00000000-0015-0000-FFFF-FFFF0F000000}" keepAlive="1" name="bdsql12 BDnewRegistrations getAggRechargeModelsII1" type="5" refreshedVersion="4" savePassword="1" deleted="1" saveData="1">
    <dbPr connection="" command=""/>
  </connection>
  <connection id="16" xr16:uid="{00000000-0015-0000-FFFF-FFFF10000000}" keepAlive="1" name="bdsql12 BDnewRegistrations getAggRechargeModelsII11" type="5" refreshedVersion="4" savePassword="1" deleted="1" saveData="1">
    <dbPr connection="" command=""/>
  </connection>
  <connection id="17" xr16:uid="{00000000-0015-0000-FFFF-FFFF11000000}" keepAlive="1" name="bdsql12 BDnewRegistrations getAggTotalCO2" type="5" refreshedVersion="4" minRefreshableVersion="3" savePassword="1" deleted="1" saveData="1">
    <dbPr connection="" command=""/>
  </connection>
  <connection id="18" xr16:uid="{00000000-0015-0000-FFFF-FFFF12000000}" keepAlive="1" name="bdsql12 Transportstyrelsen sumPrelNyregImportBUSS" type="5" refreshedVersion="4" savePassword="1" deleted="1" saveData="1">
    <dbPr connection="" command=""/>
  </connection>
  <connection id="19"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<sst xmlns="http://schemas.openxmlformats.org/spreadsheetml/2006/main" count="3065" uniqueCount="1308">
  <si>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</si>
  <si>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</si>
  <si>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</si>
  <si>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</si>
  <si>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</si>
  <si>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</si>
  <si>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</si>
  <si>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</si>
  <si>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</si>
  <si>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</si>
  <si>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</si>
  <si>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</si>
  <si>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</si>
  <si>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</si>
  <si>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</si>
  <si>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</si>
  <si>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Nyregistrerade tunga lastbilar &gt;16 ton per månad</t>
  </si>
  <si>
    <t>61-95 g</t>
  </si>
  <si>
    <t>96-120 g</t>
  </si>
  <si>
    <t>Över 140 g</t>
  </si>
  <si>
    <t>Bensin</t>
  </si>
  <si>
    <t>Diesel</t>
  </si>
  <si>
    <t>Elhybrid</t>
  </si>
  <si>
    <t>Laddhybrid</t>
  </si>
  <si>
    <t>El</t>
  </si>
  <si>
    <t>Gas</t>
  </si>
  <si>
    <t>Etanol</t>
  </si>
  <si>
    <t>Nyregistrerade personbilar fördelat på koldioxidutsläpp</t>
  </si>
  <si>
    <t>61-95g</t>
  </si>
  <si>
    <t>96-120g</t>
  </si>
  <si>
    <t>121-130g</t>
  </si>
  <si>
    <t>131-140g</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</si>
  <si>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</si>
  <si>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</si>
  <si>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</si>
  <si>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</si>
  <si>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</si>
  <si>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</si>
  <si>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</si>
  <si>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</si>
  <si>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</si>
  <si>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</si>
  <si>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</si>
  <si>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</si>
  <si>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</si>
  <si>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</si>
  <si>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</si>
  <si>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</si>
  <si>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</si>
  <si>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</si>
  <si>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</si>
  <si>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</si>
  <si>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</si>
  <si>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</si>
  <si>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</si>
  <si>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</si>
  <si>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</si>
  <si>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</si>
  <si>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</si>
  <si>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</si>
  <si>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</si>
  <si>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</si>
  <si>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</si>
  <si>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</si>
  <si>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</si>
  <si>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</si>
  <si>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</si>
  <si>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</si>
  <si>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</si>
  <si>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</si>
  <si>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</si>
  <si>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</si>
  <si>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</si>
  <si>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</si>
  <si>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</si>
  <si>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</si>
  <si>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</si>
  <si>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</si>
  <si>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</si>
  <si>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</si>
  <si>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</si>
  <si>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</si>
  <si>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</si>
  <si>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</si>
  <si>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</si>
  <si>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</si>
  <si>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</si>
  <si>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</si>
  <si>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</si>
  <si>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</si>
  <si>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</si>
  <si>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</si>
  <si>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</si>
  <si>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</si>
  <si>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</si>
  <si>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</si>
  <si>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</si>
  <si>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</si>
  <si>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</si>
  <si>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</si>
  <si>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</si>
  <si>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</si>
  <si>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</si>
  <si>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</si>
  <si>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</si>
  <si>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</si>
  <si>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</si>
  <si>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</si>
  <si>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</si>
  <si>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</si>
  <si>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</si>
  <si>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</si>
  <si>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</si>
  <si>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</si>
  <si>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</si>
  <si>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</si>
  <si>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</si>
  <si>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</si>
  <si>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</si>
  <si>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</si>
  <si>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</si>
  <si>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</si>
  <si>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</si>
  <si>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</si>
  <si>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</si>
  <si>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</si>
  <si>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</si>
  <si>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</si>
  <si>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</si>
  <si>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</si>
  <si>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</si>
  <si>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</si>
  <si>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</si>
  <si>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</si>
  <si>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</si>
  <si>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</si>
  <si>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</si>
  <si>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</si>
  <si>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</si>
  <si>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</si>
  <si>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</si>
  <si>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</si>
  <si>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</si>
  <si>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</si>
  <si>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</si>
  <si>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</si>
  <si>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</si>
  <si>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</si>
  <si>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</si>
  <si>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</si>
  <si>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</si>
  <si>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</si>
  <si>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</si>
  <si>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</si>
  <si>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</si>
  <si>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</si>
  <si>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</si>
  <si>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</si>
  <si>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</si>
  <si>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</si>
  <si>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</si>
  <si>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</si>
  <si>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</si>
  <si>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</si>
  <si>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</si>
  <si>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</si>
  <si>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</si>
  <si>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</si>
  <si>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</si>
  <si>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</si>
  <si>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</si>
  <si>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</si>
  <si>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</si>
  <si>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</si>
  <si>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</si>
  <si>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</si>
  <si>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</si>
  <si>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</si>
  <si>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</si>
  <si>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</si>
  <si>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</si>
  <si>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</si>
  <si>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</si>
  <si>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</si>
  <si>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</si>
  <si>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</si>
  <si>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</si>
  <si>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</si>
  <si>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</si>
  <si>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</si>
  <si>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</si>
  <si>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</si>
  <si>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</si>
  <si>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</si>
  <si>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</si>
  <si>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</si>
  <si>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</si>
  <si>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</si>
  <si>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</si>
  <si>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</si>
  <si>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</si>
  <si>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</si>
  <si>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</si>
  <si>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</si>
  <si>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</si>
  <si>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</si>
  <si>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</si>
  <si>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</si>
  <si>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</si>
  <si>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</si>
  <si>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</si>
  <si>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</si>
  <si>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</si>
  <si>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</si>
  <si>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</si>
  <si>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</si>
  <si>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</si>
  <si>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</si>
  <si>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</si>
  <si>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</si>
  <si>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</si>
  <si>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</si>
  <si>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</si>
  <si>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</si>
  <si>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</si>
  <si>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</si>
  <si>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</si>
  <si>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</si>
  <si>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</si>
  <si>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</si>
  <si>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</si>
  <si>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</si>
  <si>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</si>
  <si>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</si>
  <si>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</si>
  <si>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</si>
  <si>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</si>
  <si>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</si>
  <si>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</si>
  <si>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</si>
  <si>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</si>
  <si>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</si>
  <si>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</si>
  <si>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</si>
  <si>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</si>
  <si>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</si>
  <si>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</si>
  <si>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</si>
  <si>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</si>
  <si>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</si>
  <si>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</si>
  <si>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</si>
  <si>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</si>
  <si>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</si>
  <si>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</si>
  <si>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</si>
  <si>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</si>
  <si>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</si>
  <si>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</si>
  <si>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</si>
  <si>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</si>
  <si>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</si>
  <si>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</si>
  <si>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</si>
  <si>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</si>
  <si>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</si>
  <si>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</si>
  <si>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</si>
  <si>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</si>
  <si>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</si>
  <si>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</si>
  <si>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</si>
  <si>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</si>
  <si>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</si>
  <si>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</si>
  <si>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</si>
  <si>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</si>
  <si>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</si>
  <si>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</si>
  <si>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</si>
  <si>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</si>
  <si>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</si>
  <si>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</si>
  <si>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</si>
  <si>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</si>
  <si>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</si>
  <si>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</si>
  <si>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</si>
  <si>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</si>
  <si>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</si>
  <si>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</si>
  <si>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</si>
  <si>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</si>
  <si>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</si>
  <si>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</si>
  <si>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</si>
  <si>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</si>
  <si>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</si>
  <si>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</si>
  <si>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</si>
  <si>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</si>
  <si>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</si>
  <si>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</si>
  <si>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</si>
  <si>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</si>
  <si>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</si>
  <si>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</si>
  <si>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Nyregistrerade tunga lastbilar över 16 ton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</si>
  <si>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</si>
  <si>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</si>
  <si>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</si>
  <si>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</si>
  <si>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</si>
  <si>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</si>
  <si>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</si>
  <si>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</si>
  <si>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</si>
  <si>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</si>
  <si>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</si>
  <si>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</si>
  <si>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</si>
  <si>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</si>
  <si>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</si>
  <si>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</si>
  <si>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</si>
  <si>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</si>
  <si>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</si>
  <si>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</si>
  <si>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</si>
  <si>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</si>
  <si>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</si>
  <si>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</si>
  <si>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</si>
  <si>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</si>
  <si>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</si>
  <si>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</si>
  <si>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</si>
  <si>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</si>
  <si>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</si>
  <si>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</si>
  <si>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</si>
  <si>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</si>
  <si>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</si>
  <si>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</si>
  <si>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</si>
  <si>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</si>
  <si>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</si>
  <si>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</si>
  <si>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Nyregistreringar personbilar fördelat på CO2-utsläpp (enl. NEDC)</t>
  </si>
  <si>
    <t>61 - 95g</t>
  </si>
  <si>
    <t>96 - 120g</t>
  </si>
  <si>
    <t>121 - 130g</t>
  </si>
  <si>
    <t>131 - 140g</t>
  </si>
  <si>
    <t>Statistiken baseras på den av tillverkaren angivna certifierade koldioxidvärdena enligt NEDC, för både innevarande och föregående år, för att få jämförbarhet.</t>
  </si>
  <si>
    <t>co2utsläpp</t>
  </si>
  <si>
    <t>Column6</t>
  </si>
  <si>
    <t>121-130 g</t>
  </si>
  <si>
    <t>131-140 g</t>
  </si>
  <si>
    <t>perioden</t>
  </si>
  <si>
    <t>perioden fg. År</t>
  </si>
  <si>
    <t>acc innev. År</t>
  </si>
  <si>
    <t>acc fg. År</t>
  </si>
  <si>
    <t>året</t>
  </si>
  <si>
    <t>fg. År</t>
  </si>
  <si>
    <t>månaden</t>
  </si>
  <si>
    <t>månFrånTill</t>
  </si>
  <si>
    <t>MERCEDES C-KLASS (205)</t>
  </si>
  <si>
    <t>Nyregistrerade personbilar per CO2-utsläpp (NEDC-värden)</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</si>
  <si>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</si>
  <si>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</si>
  <si>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</si>
  <si>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</si>
  <si>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</si>
  <si>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</si>
  <si>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</si>
  <si>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</si>
  <si>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</si>
  <si>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</si>
  <si>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</si>
  <si>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</si>
  <si>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</si>
  <si>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</si>
  <si>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</si>
  <si>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</si>
  <si>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</si>
  <si>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</si>
  <si>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</si>
  <si>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CO2-utsläpp nya personbilar per månad</t>
  </si>
  <si>
    <t xml:space="preserve">FORD PUMA               </t>
  </si>
  <si>
    <t>MERCEDES Sprinter</t>
  </si>
  <si>
    <t>DS 3</t>
  </si>
  <si>
    <t>KIA CEED SW PLUG-IN HYBR</t>
  </si>
  <si>
    <t>BMW X3 30E XDRIVE</t>
  </si>
  <si>
    <t>AUDI Q5 TFSIE</t>
  </si>
  <si>
    <t>MERCEDES A-KLASS (177)</t>
  </si>
  <si>
    <t>FORD KUGA PLUG-IN</t>
  </si>
  <si>
    <t>DS 7 CROSSBACK</t>
  </si>
  <si>
    <t>Mercedes</t>
  </si>
  <si>
    <t>noRegs</t>
  </si>
  <si>
    <t>avgCO2</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</si>
  <si>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</si>
  <si>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</si>
  <si>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</si>
  <si>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</si>
  <si>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</si>
  <si>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</si>
  <si>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</si>
  <si>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</si>
  <si>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</si>
  <si>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</si>
  <si>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</si>
  <si>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</si>
  <si>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</si>
  <si>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</si>
  <si>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</si>
  <si>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</si>
  <si>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</si>
  <si>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</si>
  <si>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</si>
  <si>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</si>
  <si>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</si>
  <si>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</si>
  <si>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</si>
  <si>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</si>
  <si>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</si>
  <si>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</si>
  <si>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</si>
  <si>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</si>
  <si>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</si>
  <si>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</si>
  <si>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</si>
  <si>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</si>
  <si>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</si>
  <si>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</si>
  <si>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</si>
  <si>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</si>
  <si>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</si>
  <si>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</si>
  <si>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</si>
  <si>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</si>
  <si>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</si>
  <si>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</si>
  <si>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</si>
  <si>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</si>
  <si>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</si>
  <si>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</si>
  <si>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</si>
  <si>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</si>
  <si>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</si>
  <si>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</si>
  <si>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</si>
  <si>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</si>
  <si>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</si>
  <si>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</si>
  <si>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</si>
  <si>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</si>
  <si>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</si>
  <si>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</si>
  <si>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</si>
  <si>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</si>
  <si>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</si>
  <si>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</si>
  <si>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</si>
  <si>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</si>
  <si>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</si>
  <si>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</si>
  <si>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</si>
  <si>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</si>
  <si>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</si>
  <si>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</si>
  <si>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</si>
  <si>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</si>
  <si>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</si>
  <si>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</si>
  <si>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</si>
  <si>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</si>
  <si>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</si>
  <si>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</si>
  <si>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</si>
  <si>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</si>
  <si>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</si>
  <si>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</si>
  <si>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</si>
  <si>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</si>
  <si>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</si>
  <si>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</si>
  <si>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</si>
  <si>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Nyregistreringar lätta lastbilar (&lt; 3,5 ton) per fabrikat</t>
  </si>
  <si>
    <t>Nyregistreringar eldrivna lätta lastbilar,  högst 3,5 ton</t>
  </si>
  <si>
    <t>Modell</t>
  </si>
  <si>
    <t>Nyregistreringar tunga lastbilar (över 16 ton) per fabrikat</t>
  </si>
  <si>
    <t>Mercedes Benz</t>
  </si>
  <si>
    <t>Scania</t>
  </si>
  <si>
    <t>Nyregistreringsstatistik</t>
  </si>
  <si>
    <t>Drivmedel</t>
  </si>
  <si>
    <t>Utsläpp</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</si>
  <si>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</si>
  <si>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</si>
  <si>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</si>
  <si>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</si>
  <si>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</si>
  <si>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</si>
  <si>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</si>
  <si>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</si>
  <si>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</si>
  <si>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</si>
  <si>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</si>
  <si>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</si>
  <si>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</si>
  <si>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</si>
  <si>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</si>
  <si>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</si>
  <si>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</si>
  <si>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</si>
  <si>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</si>
  <si>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</si>
  <si>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</si>
  <si>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</si>
  <si>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</si>
  <si>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</si>
  <si>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</si>
  <si>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</si>
  <si>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</si>
  <si>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</si>
  <si>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</si>
  <si>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</si>
  <si>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</si>
  <si>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</si>
  <si>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</si>
  <si>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</si>
  <si>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</si>
  <si>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</si>
  <si>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</si>
  <si>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</si>
  <si>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</si>
  <si>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</si>
  <si>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</si>
  <si>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</si>
  <si>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</si>
  <si>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</si>
  <si>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</si>
  <si>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</si>
  <si>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</si>
  <si>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</si>
  <si>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</si>
  <si>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</si>
  <si>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</si>
  <si>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</si>
  <si>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</si>
  <si>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</si>
  <si>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</si>
  <si>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</si>
  <si>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</si>
  <si>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</si>
  <si>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</si>
  <si>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</si>
  <si>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</si>
  <si>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</si>
  <si>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</si>
  <si>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</si>
  <si>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</si>
  <si>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</si>
  <si>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</si>
  <si>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</si>
  <si>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</si>
  <si>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</si>
  <si>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</si>
  <si>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</si>
  <si>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</si>
  <si>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</si>
  <si>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</si>
  <si>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</si>
  <si>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</si>
  <si>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</si>
  <si>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</si>
  <si>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</si>
  <si>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</si>
  <si>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</si>
  <si>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</si>
  <si>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</si>
  <si>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</si>
  <si>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</si>
  <si>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</si>
  <si>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</si>
  <si>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</si>
  <si>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</si>
  <si>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</si>
  <si>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</si>
  <si>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</si>
  <si>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</si>
  <si>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</si>
  <si>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</si>
  <si>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</si>
  <si>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</si>
  <si>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</si>
  <si>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</si>
  <si>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</si>
  <si>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</si>
  <si>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</si>
  <si>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</si>
  <si>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Högst  3,5 ton</t>
  </si>
  <si>
    <t>Över  16,0 ton</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</si>
  <si>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</si>
  <si>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</si>
  <si>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</si>
  <si>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</si>
  <si>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</si>
  <si>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</si>
  <si>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</si>
  <si>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</si>
  <si>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</si>
  <si>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</si>
  <si>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</si>
  <si>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</si>
  <si>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</si>
  <si>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</si>
  <si>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</si>
  <si>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</si>
  <si>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</si>
  <si>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</si>
  <si>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</si>
  <si>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</si>
  <si>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</si>
  <si>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</si>
  <si>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</si>
  <si>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</si>
  <si>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</si>
  <si>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</si>
  <si>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</si>
  <si>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</si>
  <si>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</si>
  <si>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</si>
  <si>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</si>
  <si>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</si>
  <si>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</si>
  <si>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</si>
  <si>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</si>
  <si>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</si>
  <si>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</si>
  <si>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</si>
  <si>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</si>
  <si>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</si>
  <si>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</si>
  <si>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</si>
  <si>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</si>
  <si>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</si>
  <si>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</si>
  <si>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</si>
  <si>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</si>
  <si>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</si>
  <si>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</si>
  <si>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</si>
  <si>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</si>
  <si>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</si>
  <si>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</si>
  <si>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</si>
  <si>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</si>
  <si>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</si>
  <si>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</si>
  <si>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</si>
  <si>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</si>
  <si>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</si>
  <si>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</si>
  <si>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</si>
  <si>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</si>
  <si>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</si>
  <si>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</si>
  <si>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</si>
  <si>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</si>
  <si>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</si>
  <si>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</si>
  <si>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</si>
  <si>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</si>
  <si>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</si>
  <si>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</si>
  <si>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</si>
  <si>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</si>
  <si>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</si>
  <si>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</si>
  <si>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</si>
  <si>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</si>
  <si>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</si>
  <si>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</si>
  <si>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</si>
  <si>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</si>
  <si>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</si>
  <si>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</si>
  <si>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</si>
  <si>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</si>
  <si>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</si>
  <si>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</si>
  <si>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</si>
  <si>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</si>
  <si>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</si>
  <si>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</si>
  <si>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</si>
  <si>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</si>
  <si>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</si>
  <si>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</si>
  <si>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</si>
  <si>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</si>
  <si>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</si>
  <si>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</si>
  <si>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</si>
  <si>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</si>
  <si>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</si>
  <si>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</si>
  <si>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</si>
  <si>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</si>
  <si>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</si>
  <si>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</si>
  <si>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</si>
  <si>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r>
      <rPr>
        <b/>
        <sz val="10"/>
        <color theme="1"/>
        <rFont val="Arial"/>
        <family val="2"/>
      </rPr>
      <t>OBS! Redovisningen av CO2-utsläpp</t>
    </r>
    <r>
      <rPr>
        <sz val="10"/>
        <color theme="1"/>
        <rFont val="Arial"/>
        <family val="2"/>
      </rPr>
      <t xml:space="preserve"> är justerad för att ge en bättre bild av fördelningen, och vissa siffor kan därför visa små differenser mot tidigare rapporter.</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</si>
  <si>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</si>
  <si>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</si>
  <si>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</si>
  <si>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</si>
  <si>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</si>
  <si>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</si>
  <si>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</si>
  <si>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</si>
  <si>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</si>
  <si>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</si>
  <si>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</si>
  <si>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</si>
  <si>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</si>
  <si>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</si>
  <si>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</si>
  <si>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</si>
  <si>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</si>
  <si>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</si>
  <si>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</si>
  <si>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</si>
  <si>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</si>
  <si>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</si>
  <si>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</si>
  <si>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</si>
  <si>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</si>
  <si>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</si>
  <si>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</si>
  <si>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</si>
  <si>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</si>
  <si>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</si>
  <si>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</si>
  <si>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</si>
  <si>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</si>
  <si>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</si>
  <si>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</si>
  <si>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</si>
  <si>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</si>
  <si>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</si>
  <si>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</si>
  <si>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</si>
  <si>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</si>
  <si>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</si>
  <si>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</si>
  <si>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</si>
  <si>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</si>
  <si>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</si>
  <si>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</si>
  <si>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</si>
  <si>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</si>
  <si>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</si>
  <si>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</si>
  <si>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</si>
  <si>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</si>
  <si>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</si>
  <si>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</si>
  <si>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</si>
  <si>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</si>
  <si>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</si>
  <si>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</si>
  <si>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</si>
  <si>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</si>
  <si>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</si>
  <si>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</si>
  <si>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</si>
  <si>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</si>
  <si>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</si>
  <si>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</si>
  <si>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</si>
  <si>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</si>
  <si>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</si>
  <si>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</si>
  <si>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</si>
  <si>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</si>
  <si>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</si>
  <si>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</si>
  <si>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</si>
  <si>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</si>
  <si>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</si>
  <si>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</si>
  <si>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</si>
  <si>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</si>
  <si>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</si>
  <si>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</si>
  <si>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</si>
  <si>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</si>
  <si>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</si>
  <si>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</si>
  <si>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</si>
  <si>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</si>
  <si>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</si>
  <si>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</si>
  <si>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</si>
  <si>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</si>
  <si>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</si>
  <si>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</si>
  <si>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</si>
  <si>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</si>
  <si>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</si>
  <si>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</si>
  <si>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</si>
  <si>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</si>
  <si>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</si>
  <si>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</si>
  <si>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</si>
  <si>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</si>
  <si>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</si>
  <si>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</si>
  <si>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</si>
  <si>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</si>
  <si>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</si>
  <si>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</si>
  <si>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</si>
  <si>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</si>
  <si>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</si>
  <si>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</si>
  <si>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</si>
  <si>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</si>
  <si>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</si>
  <si>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</si>
  <si>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</si>
  <si>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</si>
  <si>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</si>
  <si>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</si>
  <si>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</si>
  <si>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</si>
  <si>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</si>
  <si>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</si>
  <si>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</si>
  <si>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</si>
  <si>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</si>
  <si>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</si>
  <si>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</si>
  <si>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</si>
  <si>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</si>
  <si>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</si>
  <si>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</si>
  <si>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</si>
  <si>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</si>
  <si>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</si>
  <si>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</si>
  <si>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</si>
  <si>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</si>
  <si>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</si>
  <si>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</si>
  <si>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</si>
  <si>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</si>
  <si>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</si>
  <si>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</si>
  <si>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</si>
  <si>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</si>
  <si>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</si>
  <si>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</si>
  <si>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</si>
  <si>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</si>
  <si>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</si>
  <si>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</si>
  <si>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</si>
  <si>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</si>
  <si>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</si>
  <si>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</si>
  <si>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</si>
  <si>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</si>
  <si>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</si>
  <si>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</si>
  <si>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</si>
  <si>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</si>
  <si>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</si>
  <si>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</si>
  <si>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</si>
  <si>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</si>
  <si>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</si>
  <si>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</si>
  <si>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</si>
  <si>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</si>
  <si>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</si>
  <si>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</si>
  <si>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</si>
  <si>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</si>
  <si>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</si>
  <si>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</si>
  <si>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</si>
  <si>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</si>
  <si>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</si>
  <si>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</si>
  <si>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</si>
  <si>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</si>
  <si>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</si>
  <si>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</si>
  <si>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</si>
  <si>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</si>
  <si>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</si>
  <si>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</si>
  <si>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</si>
  <si>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</si>
  <si>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</si>
  <si>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</si>
  <si>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</si>
  <si>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</si>
  <si>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</si>
  <si>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</si>
  <si>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</si>
  <si>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</si>
  <si>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</si>
  <si>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</si>
  <si>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</si>
  <si>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</si>
  <si>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</si>
  <si>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</si>
  <si>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</si>
  <si>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</si>
  <si>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</si>
  <si>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</si>
  <si>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</si>
  <si>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</si>
  <si>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</si>
  <si>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</si>
  <si>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</si>
  <si>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</si>
  <si>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</si>
  <si>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</si>
  <si>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</si>
  <si>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</si>
  <si>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</si>
  <si>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</si>
  <si>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</si>
  <si>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</si>
  <si>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</si>
  <si>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</si>
  <si>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</si>
  <si>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</si>
  <si>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</si>
  <si>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</si>
  <si>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</si>
  <si>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</si>
  <si>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</si>
  <si>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</si>
  <si>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</si>
  <si>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</si>
  <si>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</si>
  <si>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</si>
  <si>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</si>
  <si>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</si>
  <si>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</si>
  <si>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</si>
  <si>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</si>
  <si>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</si>
  <si>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</si>
  <si>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</si>
  <si>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</si>
  <si>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</si>
  <si>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</si>
  <si>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</si>
  <si>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</si>
  <si>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</si>
  <si>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</si>
  <si>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</si>
  <si>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</si>
  <si>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</si>
  <si>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</si>
  <si>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</si>
  <si>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</si>
  <si>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</si>
  <si>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</si>
  <si>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</si>
  <si>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</si>
  <si>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</si>
  <si>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</si>
  <si>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</si>
  <si>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</si>
  <si>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</si>
  <si>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</si>
  <si>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</si>
  <si>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</si>
  <si>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</si>
  <si>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</si>
  <si>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</si>
  <si>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</si>
  <si>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</si>
  <si>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</si>
  <si>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</si>
  <si>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</si>
  <si>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</si>
  <si>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</si>
  <si>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</si>
  <si>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</si>
  <si>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</si>
  <si>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</si>
  <si>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</si>
  <si>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</si>
  <si>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</si>
  <si>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</si>
  <si>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</si>
  <si>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</si>
  <si>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</si>
  <si>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</si>
  <si>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</si>
  <si>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51-60 g</t>
  </si>
  <si>
    <t>51-60g</t>
  </si>
  <si>
    <t>MAZDA CX-60</t>
  </si>
  <si>
    <t xml:space="preserve">MERCEDES 300-600 SL     </t>
  </si>
  <si>
    <t>BMW IX M60</t>
  </si>
  <si>
    <t>MAXUS E-DELIVER 9 CHASSI</t>
  </si>
  <si>
    <t>Jul-22</t>
  </si>
  <si>
    <t>300-600 sl</t>
  </si>
  <si>
    <t>Cx-60</t>
  </si>
  <si>
    <t>41 - 60g</t>
  </si>
  <si>
    <t>OPEL ASTRA</t>
  </si>
  <si>
    <t>BMW 230E XDRIVE ACTIVE</t>
  </si>
  <si>
    <t/>
  </si>
  <si>
    <t>FIAT SCUDO</t>
  </si>
  <si>
    <t>Aug-22</t>
  </si>
  <si>
    <t>Elbussar, antal</t>
  </si>
  <si>
    <t>Elbilar, antal</t>
  </si>
  <si>
    <t>Laddhybrider, antal</t>
  </si>
  <si>
    <t>Lätta lastbilar ( upp till 3,5 ton), antal</t>
  </si>
  <si>
    <t>Lätta eldrivna lastbilar, antal</t>
  </si>
  <si>
    <t>Tunga lastbilar ( över 16 ton),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</si>
  <si>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</si>
  <si>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</si>
  <si>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</si>
  <si>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</si>
  <si>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</si>
  <si>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</si>
  <si>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</si>
  <si>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</si>
  <si>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</si>
  <si>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</si>
  <si>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</si>
  <si>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</si>
  <si>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</si>
  <si>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</si>
  <si>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</si>
  <si>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</si>
  <si>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</si>
  <si>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</si>
  <si>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</si>
  <si>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</si>
  <si>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</si>
  <si>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</si>
  <si>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</si>
  <si>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</si>
  <si>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</si>
  <si>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</si>
  <si>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</si>
  <si>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</si>
  <si>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</si>
  <si>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</si>
  <si>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</si>
  <si>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</si>
  <si>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</si>
  <si>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</si>
  <si>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</si>
  <si>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</si>
  <si>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</si>
  <si>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</si>
  <si>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</si>
  <si>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</si>
  <si>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</si>
  <si>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</si>
  <si>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</si>
  <si>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</si>
  <si>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</si>
  <si>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</si>
  <si>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Jan - dec 2022</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</si>
  <si>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</si>
  <si>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</si>
  <si>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</si>
  <si>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</si>
  <si>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</si>
  <si>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</si>
  <si>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</si>
  <si>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</si>
  <si>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</si>
  <si>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</si>
  <si>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</si>
  <si>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</si>
  <si>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</si>
  <si>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</si>
  <si>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</si>
  <si>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</si>
  <si>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</si>
  <si>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</si>
  <si>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</si>
  <si>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</si>
  <si>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</si>
  <si>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</si>
  <si>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</si>
  <si>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</si>
  <si>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</si>
  <si>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</si>
  <si>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</si>
  <si>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</si>
  <si>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</si>
  <si>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</si>
  <si>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</si>
  <si>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</si>
  <si>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</si>
  <si>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</si>
  <si>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</si>
  <si>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</si>
  <si>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</si>
  <si>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</si>
  <si>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</si>
  <si>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</si>
  <si>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</si>
  <si>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</si>
  <si>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</si>
  <si>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</si>
  <si>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</si>
  <si>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</si>
  <si>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</si>
  <si>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</si>
  <si>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</si>
  <si>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</si>
  <si>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</si>
  <si>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</si>
  <si>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</si>
  <si>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</si>
  <si>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</si>
  <si>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</si>
  <si>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</si>
  <si>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</si>
  <si>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</si>
  <si>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</si>
  <si>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</si>
  <si>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</si>
  <si>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</si>
  <si>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</si>
  <si>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</si>
  <si>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</si>
  <si>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</si>
  <si>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</si>
  <si>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</si>
  <si>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</si>
  <si>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</si>
  <si>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</si>
  <si>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</si>
  <si>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</si>
  <si>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</si>
  <si>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</si>
  <si>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</si>
  <si>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</si>
  <si>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</si>
  <si>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</si>
  <si>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</si>
  <si>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</si>
  <si>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</si>
  <si>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</si>
  <si>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</si>
  <si>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</si>
  <si>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</si>
  <si>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</si>
  <si>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</si>
  <si>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</si>
  <si>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</si>
  <si>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</si>
  <si>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</si>
  <si>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</si>
  <si>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</si>
  <si>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</si>
  <si>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</si>
  <si>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</si>
  <si>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</si>
  <si>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</si>
  <si>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</si>
  <si>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</si>
  <si>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</si>
  <si>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</si>
  <si>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</si>
  <si>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</si>
  <si>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</si>
  <si>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</si>
  <si>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</si>
  <si>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</si>
  <si>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</si>
  <si>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</si>
  <si>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</si>
  <si>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</si>
  <si>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</si>
  <si>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</si>
  <si>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VOLVO ÖVRIGA ELHYBRID</t>
  </si>
  <si>
    <t>MILDH</t>
  </si>
  <si>
    <t>CUPRA LEON VZ</t>
  </si>
  <si>
    <t>SMART ED</t>
  </si>
  <si>
    <t>BMW M760LI XDRIVE</t>
  </si>
  <si>
    <t>LEVC TX ICON</t>
  </si>
  <si>
    <t>Smart</t>
  </si>
  <si>
    <t>Xpeng</t>
  </si>
  <si>
    <t>XPENG MOTORS</t>
  </si>
  <si>
    <t>Apr-23</t>
  </si>
  <si>
    <t>3(4)</t>
  </si>
  <si>
    <t>4(2)</t>
  </si>
  <si>
    <t>6(7)</t>
  </si>
  <si>
    <t>7(5)</t>
  </si>
  <si>
    <t>XM</t>
  </si>
  <si>
    <t>21(24)</t>
  </si>
  <si>
    <t>22(18)</t>
  </si>
  <si>
    <t>RZ</t>
  </si>
  <si>
    <t>30(51)</t>
  </si>
  <si>
    <t>31(30)</t>
  </si>
  <si>
    <t>Mifa 9</t>
  </si>
  <si>
    <t>37(54)</t>
  </si>
  <si>
    <t>XF</t>
  </si>
  <si>
    <t>41(40)</t>
  </si>
  <si>
    <t>42(53)</t>
  </si>
  <si>
    <t>Camaro</t>
  </si>
  <si>
    <t>46(41)</t>
  </si>
  <si>
    <t>47(43)</t>
  </si>
  <si>
    <t>50(56)</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</si>
  <si>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</si>
  <si>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</si>
  <si>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</si>
  <si>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</si>
  <si>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</si>
  <si>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</si>
  <si>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</si>
  <si>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</si>
  <si>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</si>
  <si>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</si>
  <si>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</si>
  <si>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</si>
  <si>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</si>
  <si>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</si>
  <si>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</si>
  <si>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</si>
  <si>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</si>
  <si>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</si>
  <si>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  2023</t>
  </si>
  <si>
    <t>Januari - maj</t>
  </si>
  <si>
    <t xml:space="preserve"> 2023-05</t>
  </si>
  <si>
    <t xml:space="preserve"> 2022-05</t>
  </si>
  <si>
    <t>Jan - maj 2023</t>
  </si>
  <si>
    <t>Jan - maj 2022</t>
  </si>
  <si>
    <t>Maj-23</t>
  </si>
  <si>
    <t>Personbilar nyregistreringar maj 2023</t>
  </si>
  <si>
    <t>2023-05-01 -&gt; 2023-05-31</t>
  </si>
  <si>
    <t>5(11)</t>
  </si>
  <si>
    <t>S8</t>
  </si>
  <si>
    <t>9(9)</t>
  </si>
  <si>
    <t>10(10)</t>
  </si>
  <si>
    <t>11(15)</t>
  </si>
  <si>
    <t>12(8)</t>
  </si>
  <si>
    <t>13(14)</t>
  </si>
  <si>
    <t>Austral</t>
  </si>
  <si>
    <t>14(12)</t>
  </si>
  <si>
    <t>15(13)</t>
  </si>
  <si>
    <t>16(27)</t>
  </si>
  <si>
    <t>17(23)</t>
  </si>
  <si>
    <t>18(19)</t>
  </si>
  <si>
    <t>19(17)</t>
  </si>
  <si>
    <t>20(21)</t>
  </si>
  <si>
    <t>Movano</t>
  </si>
  <si>
    <t>23(16)</t>
  </si>
  <si>
    <t>24(52)</t>
  </si>
  <si>
    <t>25(20)</t>
  </si>
  <si>
    <t>Panda</t>
  </si>
  <si>
    <t>26(22)</t>
  </si>
  <si>
    <t>27(29)</t>
  </si>
  <si>
    <t>ES</t>
  </si>
  <si>
    <t>LC</t>
  </si>
  <si>
    <t>RC</t>
  </si>
  <si>
    <t>LS</t>
  </si>
  <si>
    <t>28(25)</t>
  </si>
  <si>
    <t>29(26)</t>
  </si>
  <si>
    <t>32(28)</t>
  </si>
  <si>
    <t>33(31)</t>
  </si>
  <si>
    <t>34(37)</t>
  </si>
  <si>
    <t>35(32)</t>
  </si>
  <si>
    <t>Discovery</t>
  </si>
  <si>
    <t>36(33)</t>
  </si>
  <si>
    <t>Grand cherokee</t>
  </si>
  <si>
    <t>38(35)</t>
  </si>
  <si>
    <t>39(55)</t>
  </si>
  <si>
    <t>40(39)</t>
  </si>
  <si>
    <t>43(36)</t>
  </si>
  <si>
    <t>44(38)</t>
  </si>
  <si>
    <t>45(34)</t>
  </si>
  <si>
    <t>48(44)</t>
  </si>
  <si>
    <t>49(49)</t>
  </si>
  <si>
    <t>Escalade</t>
  </si>
  <si>
    <t>51(42)</t>
  </si>
  <si>
    <t>52(50)</t>
  </si>
  <si>
    <t>53(46)</t>
  </si>
  <si>
    <t>54(48)</t>
  </si>
  <si>
    <t>55(47)</t>
  </si>
  <si>
    <t>56(45)</t>
  </si>
  <si>
    <t>OBS Denna lista är sammanlänkad med A.5 Laddbara PB, vilket medför att placeringarna i kolumn A och marknadsandelarna är beräknade på laddbara bilar totalt.</t>
  </si>
  <si>
    <t>Anm. Antalet lastbilar över 16 ton och intervallet 6,0-16,0 har korrigerats då fordon på 16 ton av misstag räknats in i kategorin över 16 ton de senaste åren.</t>
  </si>
  <si>
    <t>I april månad innebar det att 6 fordon (för både 2023 och 2022) flyttades om från &gt;16 ton och för perioden jan-april totalt 43 fordon 2023 och 30 stycken 2022.</t>
  </si>
  <si>
    <t>Anm. Antalet lastbilar över 16 ton har korrigerats då fordon på 16 ton av misstag räknats in i kategorin över 16 ton de senaste åren.</t>
  </si>
  <si>
    <t>I april månad innebar det att antalet &gt;16 ton minskade med 6 fordon (både 2023 och 2022) för perioden jan-april uppgår den totala minskningen till 43 fordon 2023 och 30 stycken 2022.</t>
  </si>
  <si>
    <t>Tabellen med 2021-2023 har korrigerats</t>
  </si>
  <si>
    <t>jan-april</t>
  </si>
  <si>
    <t>Tabellen har korrigerats och minskningarna påverkar DAF, Mercedes Benz och Volvo enligt:</t>
  </si>
  <si>
    <t>Utgått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</si>
</sst>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6">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b/>
      <sz val="14"/>
      <color theme="3"/>
      <name val="Arial"/>
      <family val="2"/>
    </font>
    <font>
      <sz val="11"/>
      <name val="Arial"/>
      <family val="2"/>
    </font>
    <font>
      <b/>
      <sz val="10"/>
      <color theme="0"/>
      <name val="Arial"/>
      <family val="2"/>
    </font>
    <font>
      <sz val="9"/>
      <name val="Arial"/>
      <family val="2"/>
    </font>
    <font>
      <b/>
      <sz val="12"/>
      <color theme="3"/>
      <name val="Arial"/>
      <family val="2"/>
    </font>
    <font>
      <b/>
      <sz val="9"/>
      <color theme="1"/>
      <name val="Arial"/>
      <family val="2"/>
    </font>
    <font>
      <sz val="12"/>
      <color rgb="FF001489"/>
      <name val="Arial"/>
      <family val="2"/>
    </font>
    <font>
      <b/>
      <sz val="13"/>
      <color theme="3"/>
      <name val="Arial"/>
      <family val="2"/>
    </font>
    <font>
      <sz val="10"/>
      <color theme="3"/>
      <name val="Arial"/>
      <family val="2"/>
    </font>
    <font>
      <b/>
      <sz val="11"/>
      <color rgb="FF001489"/>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
      <patternFill patternType="solid">
        <fgColor theme="4"/>
        <bgColor indexed="64"/>
      </patternFill>
    </fill>
    <fill>
      <patternFill patternType="solid">
        <fgColor theme="0"/>
        <bgColor theme="4" tint="0.79998168889431442"/>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cellStyleXfs>
  <cellXfs count="296">
    <xf numFmtId="0" fontId="0" fillId="0" borderId="0" xfId="0"/>
    <xf numFmtId="0" fontId="4" fillId="0" borderId="0" xfId="3" applyFont="1" applyBorder="1"/>
    <xf numFmtId="0" fontId="4" fillId="0" borderId="0" xfId="3" applyFont="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17" fontId="8" fillId="0" borderId="27" xfId="4" quotePrefix="1" applyNumberFormat="1" applyFont="1" applyBorder="1" applyAlignment="1">
      <alignment horizontal="right"/>
    </xf>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164" fontId="8" fillId="0" borderId="0" xfId="4" applyNumberFormat="1" applyFont="1"/>
    <xf numFmtId="0" fontId="8" fillId="0" borderId="28" xfId="4"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0" fontId="30" fillId="0" borderId="1" xfId="1" applyFont="1"/>
    <xf numFmtId="165" fontId="7" fillId="0" borderId="0" xfId="4" applyNumberFormat="1"/>
    <xf numFmtId="164" fontId="17" fillId="0" borderId="0" xfId="0" applyNumberFormat="1" applyFont="1"/>
    <xf numFmtId="0" fontId="33"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5" fillId="0" borderId="0" xfId="0" applyFont="1"/>
    <xf numFmtId="0" fontId="15" fillId="0" borderId="0" xfId="0" applyFont="1" applyAlignment="1">
      <alignment horizontal="center"/>
    </xf>
    <xf numFmtId="0" fontId="36" fillId="0" borderId="1" xfId="1" applyFont="1"/>
    <xf numFmtId="3" fontId="15" fillId="0" borderId="0" xfId="0" applyNumberFormat="1" applyFont="1" applyAlignment="1">
      <alignment horizontal="center"/>
    </xf>
    <xf numFmtId="0" fontId="38"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64" fontId="17" fillId="0" borderId="3"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3" fontId="17" fillId="2" borderId="13" xfId="0" applyNumberFormat="1" applyFont="1" applyFill="1" applyBorder="1" applyAlignment="1">
      <alignment horizontal="left" indent="1"/>
    </xf>
    <xf numFmtId="3" fontId="17" fillId="0" borderId="0" xfId="0" applyNumberFormat="1" applyFont="1" applyAlignment="1">
      <alignment horizontal="left" indent="1"/>
    </xf>
    <xf numFmtId="3" fontId="16" fillId="2" borderId="13" xfId="0" applyNumberFormat="1" applyFont="1" applyFill="1" applyBorder="1"/>
    <xf numFmtId="165" fontId="37" fillId="2" borderId="13" xfId="0" applyNumberFormat="1" applyFont="1" applyFill="1" applyBorder="1"/>
    <xf numFmtId="165" fontId="16" fillId="2" borderId="13" xfId="0" applyNumberFormat="1" applyFont="1" applyFill="1" applyBorder="1"/>
    <xf numFmtId="0" fontId="7" fillId="0" borderId="0" xfId="0" applyFont="1" applyAlignment="1">
      <alignment horizontal="right"/>
    </xf>
    <xf numFmtId="3" fontId="16" fillId="2" borderId="30" xfId="0" applyNumberFormat="1" applyFont="1" applyFill="1" applyBorder="1"/>
    <xf numFmtId="164" fontId="37" fillId="2" borderId="30" xfId="0" applyNumberFormat="1" applyFont="1" applyFill="1" applyBorder="1"/>
    <xf numFmtId="164" fontId="16" fillId="2" borderId="30" xfId="0" applyNumberFormat="1" applyFont="1" applyFill="1" applyBorder="1"/>
    <xf numFmtId="0" fontId="39" fillId="0" borderId="2" xfId="2" applyFont="1"/>
    <xf numFmtId="0" fontId="17" fillId="0" borderId="27" xfId="0" applyFont="1" applyBorder="1"/>
    <xf numFmtId="0" fontId="16" fillId="0" borderId="28" xfId="0" applyFont="1" applyBorder="1"/>
    <xf numFmtId="3" fontId="16" fillId="0" borderId="0" xfId="0" applyNumberFormat="1" applyFont="1"/>
    <xf numFmtId="0" fontId="40" fillId="0" borderId="0" xfId="1" applyFont="1" applyBorder="1"/>
    <xf numFmtId="0" fontId="16" fillId="0" borderId="0" xfId="0" applyFont="1" applyAlignment="1">
      <alignment horizontal="left"/>
    </xf>
    <xf numFmtId="0" fontId="17" fillId="0" borderId="0" xfId="0" quotePrefix="1" applyFont="1"/>
    <xf numFmtId="0" fontId="33"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3" fillId="0" borderId="0" xfId="4" applyNumberFormat="1" applyFont="1"/>
    <xf numFmtId="0" fontId="31" fillId="5" borderId="3" xfId="0" applyFont="1" applyFill="1" applyBorder="1"/>
    <xf numFmtId="0" fontId="34" fillId="5" borderId="3" xfId="0" applyFont="1" applyFill="1" applyBorder="1"/>
    <xf numFmtId="17" fontId="34" fillId="5" borderId="5" xfId="0" quotePrefix="1" applyNumberFormat="1" applyFont="1" applyFill="1" applyBorder="1" applyAlignment="1">
      <alignment horizontal="right"/>
    </xf>
    <xf numFmtId="17" fontId="34" fillId="5" borderId="0" xfId="0" quotePrefix="1" applyNumberFormat="1" applyFont="1" applyFill="1" applyAlignment="1">
      <alignment horizontal="right"/>
    </xf>
    <xf numFmtId="17" fontId="34" fillId="5" borderId="6" xfId="0" quotePrefix="1" applyNumberFormat="1" applyFont="1" applyFill="1" applyBorder="1" applyAlignment="1">
      <alignment horizontal="right"/>
    </xf>
    <xf numFmtId="0" fontId="34" fillId="5" borderId="4" xfId="0" applyFont="1" applyFill="1" applyBorder="1" applyAlignment="1">
      <alignment horizontal="right"/>
    </xf>
    <xf numFmtId="17" fontId="34"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41" fillId="5" borderId="3" xfId="0" applyFont="1" applyFill="1" applyBorder="1"/>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29" fillId="0" borderId="0" xfId="1" applyFont="1" applyBorder="1"/>
    <xf numFmtId="0" fontId="32" fillId="0" borderId="0" xfId="2" applyFont="1" applyBorder="1"/>
    <xf numFmtId="0" fontId="42" fillId="0" borderId="0" xfId="0" applyFont="1"/>
    <xf numFmtId="0" fontId="43" fillId="0" borderId="0" xfId="0" applyFont="1"/>
    <xf numFmtId="2" fontId="42" fillId="0" borderId="0" xfId="0" applyNumberFormat="1" applyFont="1"/>
    <xf numFmtId="0" fontId="42" fillId="0" borderId="0" xfId="0" applyFont="1" applyAlignment="1">
      <alignment horizontal="right"/>
    </xf>
    <xf numFmtId="0" fontId="44" fillId="0" borderId="28" xfId="0" applyFont="1" applyBorder="1"/>
    <xf numFmtId="3" fontId="44" fillId="0" borderId="29" xfId="0" applyNumberFormat="1" applyFont="1" applyBorder="1"/>
    <xf numFmtId="164" fontId="45" fillId="0" borderId="29" xfId="0" applyNumberFormat="1" applyFont="1" applyBorder="1"/>
    <xf numFmtId="3" fontId="42" fillId="0" borderId="0" xfId="0" applyNumberFormat="1" applyFont="1"/>
    <xf numFmtId="2" fontId="43" fillId="0" borderId="0" xfId="0" applyNumberFormat="1" applyFont="1"/>
    <xf numFmtId="164" fontId="42" fillId="0" borderId="0" xfId="0" applyNumberFormat="1" applyFont="1"/>
    <xf numFmtId="0" fontId="44" fillId="0" borderId="0" xfId="0" applyFont="1"/>
    <xf numFmtId="3" fontId="44" fillId="0" borderId="0" xfId="0" applyNumberFormat="1" applyFont="1"/>
    <xf numFmtId="164" fontId="44" fillId="0" borderId="0" xfId="0" applyNumberFormat="1" applyFont="1"/>
    <xf numFmtId="3" fontId="46" fillId="0" borderId="0" xfId="0" applyNumberFormat="1" applyFont="1"/>
    <xf numFmtId="0" fontId="44" fillId="0" borderId="0" xfId="0" applyFont="1" applyAlignment="1">
      <alignment horizontal="right"/>
    </xf>
    <xf numFmtId="2" fontId="44" fillId="0" borderId="0" xfId="0" applyNumberFormat="1" applyFont="1"/>
    <xf numFmtId="164" fontId="44" fillId="0" borderId="0" xfId="0" applyNumberFormat="1" applyFont="1" applyAlignment="1">
      <alignment horizontal="right"/>
    </xf>
    <xf numFmtId="0" fontId="45" fillId="0" borderId="0" xfId="0" applyFont="1"/>
    <xf numFmtId="0" fontId="44" fillId="0" borderId="0" xfId="0" pivotButton="1" applyFont="1"/>
    <xf numFmtId="0" fontId="44" fillId="0" borderId="0" xfId="0" applyFont="1" applyAlignment="1">
      <alignment horizontal="left" indent="1"/>
    </xf>
    <xf numFmtId="165" fontId="44" fillId="0" borderId="0" xfId="0" applyNumberFormat="1" applyFont="1"/>
    <xf numFmtId="0" fontId="44" fillId="3" borderId="0" xfId="0" applyFont="1" applyFill="1" applyAlignment="1">
      <alignment horizontal="left" indent="1"/>
    </xf>
    <xf numFmtId="3" fontId="44" fillId="3" borderId="0" xfId="0" applyNumberFormat="1" applyFont="1" applyFill="1"/>
    <xf numFmtId="165" fontId="44" fillId="3" borderId="0" xfId="0" applyNumberFormat="1" applyFont="1" applyFill="1"/>
    <xf numFmtId="0" fontId="44" fillId="4" borderId="25" xfId="0" applyFont="1" applyFill="1" applyBorder="1" applyAlignment="1">
      <alignment horizontal="left"/>
    </xf>
    <xf numFmtId="3" fontId="44" fillId="4" borderId="22" xfId="0" applyNumberFormat="1" applyFont="1" applyFill="1" applyBorder="1"/>
    <xf numFmtId="3" fontId="44" fillId="4" borderId="23" xfId="0" applyNumberFormat="1" applyFont="1" applyFill="1" applyBorder="1"/>
    <xf numFmtId="165" fontId="44" fillId="4" borderId="23" xfId="0" applyNumberFormat="1" applyFont="1" applyFill="1" applyBorder="1"/>
    <xf numFmtId="165" fontId="44" fillId="4" borderId="24" xfId="0" applyNumberFormat="1" applyFont="1" applyFill="1" applyBorder="1"/>
    <xf numFmtId="0" fontId="44" fillId="0" borderId="0" xfId="0" applyFont="1" applyAlignment="1">
      <alignment horizontal="left"/>
    </xf>
    <xf numFmtId="0" fontId="42" fillId="0" borderId="0" xfId="0" pivotButton="1" applyFont="1"/>
    <xf numFmtId="0" fontId="42" fillId="0" borderId="0" xfId="0" applyFont="1" applyAlignment="1">
      <alignment horizontal="left"/>
    </xf>
    <xf numFmtId="0" fontId="42"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7" fillId="0" borderId="0" xfId="0" applyFont="1" applyAlignment="1">
      <alignment horizontal="right"/>
    </xf>
    <xf numFmtId="1" fontId="47" fillId="0" borderId="0" xfId="0" applyNumberFormat="1" applyFont="1"/>
    <xf numFmtId="0" fontId="47" fillId="0" borderId="0" xfId="0" applyFont="1"/>
    <xf numFmtId="0" fontId="47" fillId="0" borderId="0" xfId="0" applyFont="1" applyAlignment="1">
      <alignment horizontal="left"/>
    </xf>
    <xf numFmtId="0" fontId="47" fillId="0" borderId="0" xfId="0" applyFont="1" applyAlignment="1">
      <alignment horizontal="center" vertical="center"/>
    </xf>
    <xf numFmtId="0" fontId="48" fillId="0" borderId="0" xfId="0" applyFont="1"/>
    <xf numFmtId="0" fontId="49" fillId="0" borderId="0" xfId="0" applyFont="1"/>
    <xf numFmtId="0" fontId="47" fillId="0" borderId="0" xfId="0" applyFont="1" applyAlignment="1">
      <alignment horizontal="center"/>
    </xf>
    <xf numFmtId="0" fontId="49"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51" fillId="0" borderId="0" xfId="0" applyFont="1" applyAlignment="1">
      <alignment horizontal="center" vertical="center"/>
    </xf>
    <xf numFmtId="2" fontId="52"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51" fillId="0" borderId="0" xfId="0" applyFont="1" applyAlignment="1">
      <alignment horizontal="left" indent="1"/>
    </xf>
    <xf numFmtId="2" fontId="52" fillId="0" borderId="0" xfId="0" applyNumberFormat="1" applyFont="1" applyAlignment="1">
      <alignment horizontal="right"/>
    </xf>
    <xf numFmtId="0" fontId="51" fillId="0" borderId="0" xfId="0" applyFont="1"/>
    <xf numFmtId="0" fontId="49" fillId="0" borderId="25" xfId="0" applyFont="1" applyBorder="1"/>
    <xf numFmtId="0" fontId="49" fillId="0" borderId="23" xfId="0" applyFont="1" applyBorder="1" applyAlignment="1">
      <alignment horizontal="center" vertical="center"/>
    </xf>
    <xf numFmtId="0" fontId="17" fillId="0" borderId="23" xfId="0" applyFont="1" applyBorder="1" applyAlignment="1">
      <alignment horizontal="center"/>
    </xf>
    <xf numFmtId="1" fontId="49" fillId="0" borderId="22" xfId="0" applyNumberFormat="1" applyFont="1" applyBorder="1"/>
    <xf numFmtId="0" fontId="49" fillId="0" borderId="22" xfId="0" applyFont="1" applyBorder="1"/>
    <xf numFmtId="0" fontId="49" fillId="0" borderId="25" xfId="0" quotePrefix="1" applyFont="1" applyBorder="1"/>
    <xf numFmtId="0" fontId="49" fillId="0" borderId="23" xfId="0" quotePrefix="1" applyFont="1" applyBorder="1" applyAlignment="1">
      <alignment horizontal="center" vertical="center"/>
    </xf>
    <xf numFmtId="1" fontId="52" fillId="0" borderId="22" xfId="0" applyNumberFormat="1" applyFont="1" applyBorder="1" applyAlignment="1">
      <alignment horizontal="right"/>
    </xf>
    <xf numFmtId="10" fontId="52" fillId="0" borderId="22" xfId="0" applyNumberFormat="1" applyFont="1" applyBorder="1" applyAlignment="1">
      <alignment horizontal="right"/>
    </xf>
    <xf numFmtId="0" fontId="52" fillId="0" borderId="22" xfId="0" applyFont="1" applyBorder="1" applyAlignment="1">
      <alignment horizontal="right"/>
    </xf>
    <xf numFmtId="49" fontId="52" fillId="0" borderId="24" xfId="0" applyNumberFormat="1" applyFont="1" applyBorder="1" applyAlignment="1">
      <alignment horizontal="right"/>
    </xf>
    <xf numFmtId="1" fontId="52" fillId="0" borderId="25" xfId="0" applyNumberFormat="1" applyFont="1" applyBorder="1" applyAlignment="1">
      <alignment horizontal="right"/>
    </xf>
    <xf numFmtId="1" fontId="52" fillId="0" borderId="24" xfId="0" applyNumberFormat="1" applyFont="1" applyBorder="1" applyAlignment="1">
      <alignment horizontal="right"/>
    </xf>
    <xf numFmtId="10" fontId="52" fillId="0" borderId="24" xfId="0" applyNumberFormat="1" applyFont="1" applyBorder="1" applyAlignment="1">
      <alignment horizontal="right"/>
    </xf>
    <xf numFmtId="0" fontId="17" fillId="0" borderId="24" xfId="0" applyFont="1" applyBorder="1"/>
    <xf numFmtId="0" fontId="33" fillId="0" borderId="0" xfId="0" applyFont="1" applyAlignment="1">
      <alignment horizontal="center" vertical="center"/>
    </xf>
    <xf numFmtId="0" fontId="33"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53" fillId="0" borderId="0" xfId="0" applyFont="1" applyAlignment="1">
      <alignment horizontal="left" indent="1"/>
    </xf>
    <xf numFmtId="0" fontId="53" fillId="0" borderId="0" xfId="0" applyFont="1"/>
    <xf numFmtId="166" fontId="53"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4" fillId="0" borderId="0" xfId="0" applyNumberFormat="1" applyFont="1"/>
    <xf numFmtId="167" fontId="17" fillId="0" borderId="0" xfId="0" applyNumberFormat="1" applyFont="1"/>
    <xf numFmtId="0" fontId="45" fillId="0" borderId="29" xfId="0" applyFont="1" applyBorder="1"/>
    <xf numFmtId="167" fontId="53" fillId="0" borderId="0" xfId="0" applyNumberFormat="1" applyFont="1"/>
    <xf numFmtId="3" fontId="7" fillId="0" borderId="0" xfId="4" quotePrefix="1" applyNumberFormat="1"/>
    <xf numFmtId="0" fontId="17" fillId="0" borderId="35" xfId="0" applyFont="1" applyBorder="1" applyAlignment="1">
      <alignment horizontal="center"/>
    </xf>
    <xf numFmtId="166" fontId="44" fillId="0" borderId="0" xfId="0" applyNumberFormat="1" applyFont="1"/>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4" fillId="5" borderId="3" xfId="0" applyFont="1" applyFill="1" applyBorder="1" applyAlignment="1">
      <alignment horizontal="center"/>
    </xf>
    <xf numFmtId="0" fontId="34" fillId="5" borderId="4" xfId="0" applyFont="1" applyFill="1" applyBorder="1" applyAlignment="1">
      <alignment horizontal="center"/>
    </xf>
    <xf numFmtId="0" fontId="34" fillId="5" borderId="5" xfId="0" applyFont="1" applyFill="1" applyBorder="1" applyAlignment="1">
      <alignment horizontal="center"/>
    </xf>
    <xf numFmtId="0" fontId="34" fillId="5" borderId="7" xfId="0" applyFont="1" applyFill="1" applyBorder="1" applyAlignment="1">
      <alignment horizontal="center"/>
    </xf>
    <xf numFmtId="0" fontId="34" fillId="5" borderId="8" xfId="0" applyFont="1" applyFill="1" applyBorder="1" applyAlignment="1">
      <alignment horizontal="center"/>
    </xf>
    <xf numFmtId="0" fontId="50"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9" fillId="0" borderId="34" xfId="0" applyFont="1" applyBorder="1" applyAlignment="1">
      <alignment horizontal="center"/>
    </xf>
    <xf numFmtId="0" fontId="49" fillId="0" borderId="28" xfId="0" applyFont="1" applyBorder="1" applyAlignment="1">
      <alignment horizontal="center"/>
    </xf>
    <xf numFmtId="0" fontId="49" fillId="0" borderId="35" xfId="0" applyFont="1" applyBorder="1" applyAlignment="1">
      <alignment horizontal="center"/>
    </xf>
    <xf numFmtId="0" fontId="16" fillId="0" borderId="36" xfId="0" applyFont="1" applyBorder="1" applyAlignment="1">
      <alignment horizontal="center"/>
    </xf>
    <xf numFmtId="0" fontId="49" fillId="0" borderId="32" xfId="0" applyFont="1" applyBorder="1" applyAlignment="1">
      <alignment horizontal="center"/>
    </xf>
    <xf numFmtId="0" fontId="49" fillId="0" borderId="26" xfId="0" applyFont="1" applyBorder="1" applyAlignment="1">
      <alignment horizontal="center"/>
    </xf>
    <xf numFmtId="0" fontId="49" fillId="0" borderId="33" xfId="0" applyFont="1" applyBorder="1" applyAlignment="1">
      <alignment horizontal="center"/>
    </xf>
    <xf numFmtId="0" fontId="49" fillId="0" borderId="37" xfId="0" applyFont="1" applyBorder="1" applyAlignment="1">
      <alignment horizontal="center"/>
    </xf>
    <xf numFmtId="0" fontId="49" fillId="0" borderId="0" xfId="0" applyFont="1" applyAlignment="1">
      <alignment horizontal="center"/>
    </xf>
    <xf numFmtId="0" fontId="49"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5" fillId="0" borderId="6" xfId="0" applyFont="1" applyBorder="1" applyAlignment="1">
      <alignment horizontal="right"/>
    </xf>
    <xf numFmtId="0" fontId="35"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0" fillId="0" borderId="0" xfId="0" applyAlignment="1">
      <alignment vertical="center"/>
    </xf>
    <xf numFmtId="0" fontId="55" fillId="6" borderId="0" xfId="0" applyFont="1" applyFill="1"/>
    <xf numFmtId="0" fontId="17" fillId="7" borderId="0" xfId="0" applyFont="1" applyFill="1"/>
    <xf numFmtId="3" fontId="0" fillId="4" borderId="0" xfId="0" applyNumberFormat="1" applyFill="1"/>
    <xf numFmtId="0" fontId="17" fillId="4" borderId="0" xfId="0" applyFont="1" applyFill="1"/>
  </cellXfs>
  <cellStyles count="7">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s>
  <dxfs count="485">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4" tint="-0.24994659260841701"/>
      </font>
    </dxf>
    <dxf>
      <font>
        <color theme="5" tint="-0.24994659260841701"/>
      </font>
    </dxf>
    <dxf>
      <font>
        <color theme="5"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3.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8.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5478400"/>
        <c:axId val="105488384"/>
        <c:extLst/>
      </c:barChart>
      <c:catAx>
        <c:axId val="1054784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5488384"/>
        <c:crosses val="autoZero"/>
        <c:auto val="1"/>
        <c:lblAlgn val="ctr"/>
        <c:lblOffset val="100"/>
        <c:noMultiLvlLbl val="0"/>
      </c:catAx>
      <c:valAx>
        <c:axId val="1054883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547840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656512"/>
        <c:axId val="130670592"/>
        <c:extLst/>
      </c:barChart>
      <c:catAx>
        <c:axId val="1306565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670592"/>
        <c:crosses val="autoZero"/>
        <c:auto val="1"/>
        <c:lblAlgn val="ctr"/>
        <c:lblOffset val="100"/>
        <c:noMultiLvlLbl val="0"/>
      </c:catAx>
      <c:valAx>
        <c:axId val="1306705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65651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lastbilar'!$Q$37:$Q$65</c:f>
              <c:strCache>
                <c:ptCount val="29"/>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strCache>
            </c:strRef>
          </c:cat>
          <c:val>
            <c:numRef>
              <c:f>'B.1 Lätta lastbilar'!$R$37:$R$65</c:f>
              <c:numCache>
                <c:formatCode>0.0</c:formatCode>
                <c:ptCount val="29"/>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0709760"/>
        <c:axId val="130719744"/>
        <c:extLst/>
      </c:barChart>
      <c:catAx>
        <c:axId val="13070976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719744"/>
        <c:crosses val="autoZero"/>
        <c:auto val="1"/>
        <c:lblAlgn val="ctr"/>
        <c:lblOffset val="100"/>
        <c:noMultiLvlLbl val="0"/>
      </c:catAx>
      <c:valAx>
        <c:axId val="13071974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70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383</c:v>
                </c:pt>
                <c:pt idx="1">
                  <c:v>461</c:v>
                </c:pt>
                <c:pt idx="2">
                  <c:v>511</c:v>
                </c:pt>
                <c:pt idx="3">
                  <c:v>522</c:v>
                </c:pt>
                <c:pt idx="4">
                  <c:v>487</c:v>
                </c:pt>
                <c:pt idx="5">
                  <c:v>487</c:v>
                </c:pt>
                <c:pt idx="6">
                  <c:v>283</c:v>
                </c:pt>
                <c:pt idx="7">
                  <c:v>362</c:v>
                </c:pt>
                <c:pt idx="8">
                  <c:v>389</c:v>
                </c:pt>
                <c:pt idx="9">
                  <c:v>390</c:v>
                </c:pt>
                <c:pt idx="10">
                  <c:v>373</c:v>
                </c:pt>
                <c:pt idx="11">
                  <c:v>522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283</c:v>
                </c:pt>
                <c:pt idx="1">
                  <c:v>352</c:v>
                </c:pt>
                <c:pt idx="2">
                  <c:v>477</c:v>
                </c:pt>
                <c:pt idx="3">
                  <c:v>472</c:v>
                </c:pt>
                <c:pt idx="4">
                  <c:v>502</c:v>
                </c:pt>
                <c:pt idx="5">
                  <c:v>486</c:v>
                </c:pt>
                <c:pt idx="6">
                  <c:v>218</c:v>
                </c:pt>
                <c:pt idx="7">
                  <c:v>393</c:v>
                </c:pt>
                <c:pt idx="8">
                  <c:v>533</c:v>
                </c:pt>
                <c:pt idx="9">
                  <c:v>495</c:v>
                </c:pt>
                <c:pt idx="10">
                  <c:v>559</c:v>
                </c:pt>
                <c:pt idx="11">
                  <c:v>600</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446</c:v>
                </c:pt>
                <c:pt idx="1">
                  <c:v>504</c:v>
                </c:pt>
                <c:pt idx="2">
                  <c:v>615</c:v>
                </c:pt>
                <c:pt idx="3">
                  <c:v>508</c:v>
                </c:pt>
                <c:pt idx="4">
                  <c:v>629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445696"/>
        <c:axId val="130447232"/>
        <c:extLst/>
      </c:barChart>
      <c:catAx>
        <c:axId val="13044569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447232"/>
        <c:crosses val="autoZero"/>
        <c:auto val="1"/>
        <c:lblAlgn val="ctr"/>
        <c:lblOffset val="100"/>
        <c:noMultiLvlLbl val="0"/>
      </c:catAx>
      <c:valAx>
        <c:axId val="1304472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44569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lastbilar'!$Q$37:$Q$65</c:f>
              <c:strCache>
                <c:ptCount val="29"/>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strCache>
            </c:strRef>
          </c:cat>
          <c:val>
            <c:numRef>
              <c:f>'B.4 Tunga lastbilar'!$R$37:$R$65</c:f>
              <c:numCache>
                <c:formatCode>0.0</c:formatCode>
                <c:ptCount val="29"/>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-26.109660574412537</c:v>
                </c:pt>
                <c:pt idx="13">
                  <c:v>-23.644251626898047</c:v>
                </c:pt>
                <c:pt idx="14">
                  <c:v>-6.6536203522504884</c:v>
                </c:pt>
                <c:pt idx="15">
                  <c:v>-9.5785440613026829</c:v>
                </c:pt>
                <c:pt idx="16">
                  <c:v>3.0800821355236137</c:v>
                </c:pt>
                <c:pt idx="17">
                  <c:v>-0.20533880903490762</c:v>
                </c:pt>
                <c:pt idx="18">
                  <c:v>-22.968197879858657</c:v>
                </c:pt>
                <c:pt idx="19">
                  <c:v>8.5635359116022105</c:v>
                </c:pt>
                <c:pt idx="20">
                  <c:v>37.017994858611821</c:v>
                </c:pt>
                <c:pt idx="21">
                  <c:v>26.923076923076923</c:v>
                </c:pt>
                <c:pt idx="22">
                  <c:v>49.865951742627345</c:v>
                </c:pt>
                <c:pt idx="23">
                  <c:v>14.942528735632186</c:v>
                </c:pt>
                <c:pt idx="24">
                  <c:v>-100</c:v>
                </c:pt>
                <c:pt idx="25">
                  <c:v>-100</c:v>
                </c:pt>
                <c:pt idx="26">
                  <c:v>-100</c:v>
                </c:pt>
                <c:pt idx="27">
                  <c:v>7.6271186440677967</c:v>
                </c:pt>
                <c:pt idx="28">
                  <c:v>25.298804780876495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0806144"/>
        <c:axId val="130807680"/>
        <c:extLst/>
      </c:barChart>
      <c:catAx>
        <c:axId val="13080614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807680"/>
        <c:crosses val="autoZero"/>
        <c:auto val="1"/>
        <c:lblAlgn val="ctr"/>
        <c:lblOffset val="100"/>
        <c:noMultiLvlLbl val="0"/>
      </c:catAx>
      <c:valAx>
        <c:axId val="13080768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80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Personbilar'!$Q$37:$Q$65</c:f>
              <c:strCache>
                <c:ptCount val="29"/>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strCache>
            </c:strRef>
          </c:cat>
          <c:val>
            <c:numRef>
              <c:f>'A. Personbilar'!$R$37:$R$65</c:f>
              <c:numCache>
                <c:formatCode>#\ ##0.0</c:formatCode>
                <c:ptCount val="29"/>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6762496"/>
        <c:axId val="116764032"/>
        <c:extLst/>
      </c:barChart>
      <c:catAx>
        <c:axId val="11676249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6764032"/>
        <c:crosses val="autoZero"/>
        <c:auto val="1"/>
        <c:lblAlgn val="ctr"/>
        <c:lblOffset val="100"/>
        <c:noMultiLvlLbl val="0"/>
      </c:catAx>
      <c:valAx>
        <c:axId val="116764032"/>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676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Diesel</c:v>
                </c:pt>
                <c:pt idx="4">
                  <c:v>Elhybrid</c:v>
                </c:pt>
                <c:pt idx="5">
                  <c:v>Etanol</c:v>
                </c:pt>
                <c:pt idx="6">
                  <c:v>Gas</c:v>
                </c:pt>
              </c:strCache>
            </c:strRef>
          </c:cat>
          <c:val>
            <c:numRef>
              <c:f>'A.4 Drivmedel PB'!$M$32:$M$38</c:f>
              <c:numCache>
                <c:formatCode>0.0</c:formatCode>
                <c:ptCount val="7"/>
                <c:pt idx="0">
                  <c:v>36.914931482470195</c:v>
                </c:pt>
                <c:pt idx="1">
                  <c:v>20.759921694251645</c:v>
                </c:pt>
                <c:pt idx="2">
                  <c:v>21.878448122441714</c:v>
                </c:pt>
                <c:pt idx="3">
                  <c:v>9.2801210179747287</c:v>
                </c:pt>
                <c:pt idx="4">
                  <c:v>8.7257519131518073</c:v>
                </c:pt>
                <c:pt idx="5">
                  <c:v>1.7921338316426412</c:v>
                </c:pt>
                <c:pt idx="6">
                  <c:v>0.64869193806727177</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440768"/>
        <c:axId val="127442304"/>
        <c:extLst/>
      </c:barChart>
      <c:catAx>
        <c:axId val="1274407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442304"/>
        <c:crosses val="autoZero"/>
        <c:auto val="1"/>
        <c:lblAlgn val="ctr"/>
        <c:lblOffset val="100"/>
        <c:noMultiLvlLbl val="0"/>
      </c:catAx>
      <c:valAx>
        <c:axId val="127442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440768"/>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806720"/>
        <c:axId val="129808256"/>
        <c:extLst/>
      </c:barChart>
      <c:catAx>
        <c:axId val="1298067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808256"/>
        <c:crosses val="autoZero"/>
        <c:auto val="1"/>
        <c:lblAlgn val="ctr"/>
        <c:lblOffset val="100"/>
        <c:noMultiLvlLbl val="0"/>
      </c:catAx>
      <c:valAx>
        <c:axId val="1298082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806720"/>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pt idx="3">
                  <c:v>4549</c:v>
                </c:pt>
                <c:pt idx="4">
                  <c:v>5975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240832"/>
        <c:axId val="127259008"/>
        <c:extLst/>
      </c:barChart>
      <c:catAx>
        <c:axId val="1272408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259008"/>
        <c:crosses val="autoZero"/>
        <c:auto val="1"/>
        <c:lblAlgn val="ctr"/>
        <c:lblOffset val="100"/>
        <c:noMultiLvlLbl val="0"/>
      </c:catAx>
      <c:valAx>
        <c:axId val="1272590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24083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rgbClr val="FFC658"/>
              </a:solidFill>
              <a:ln>
                <a:noFill/>
              </a:ln>
              <a:effectLst/>
            </c:spPr>
            <c:extLst>
              <c:ext xmlns:c16="http://schemas.microsoft.com/office/drawing/2014/chart" uri="{C3380CC4-5D6E-409C-BE32-E72D297353CC}">
                <c16:uniqueId val="{00000001-012B-4390-AD5C-859BA2BA45B2}"/>
              </c:ext>
            </c:extLst>
          </c:dPt>
          <c:dPt>
            <c:idx val="1"/>
            <c:bubble3D val="0"/>
            <c:spPr>
              <a:solidFill>
                <a:srgbClr val="A66EFF"/>
              </a:solidFill>
              <a:ln>
                <a:noFill/>
              </a:ln>
              <a:effectLst/>
            </c:spPr>
            <c:extLst>
              <c:ext xmlns:c16="http://schemas.microsoft.com/office/drawing/2014/chart" uri="{C3380CC4-5D6E-409C-BE32-E72D297353CC}">
                <c16:uniqueId val="{00000003-012B-4390-AD5C-859BA2BA45B2}"/>
              </c:ext>
            </c:extLst>
          </c:dPt>
          <c:dPt>
            <c:idx val="2"/>
            <c:bubble3D val="0"/>
            <c:spPr>
              <a:solidFill>
                <a:srgbClr val="001489"/>
              </a:solidFill>
              <a:ln>
                <a:noFill/>
              </a:ln>
              <a:effectLst/>
            </c:spPr>
            <c:extLst>
              <c:ext xmlns:c16="http://schemas.microsoft.com/office/drawing/2014/chart" uri="{C3380CC4-5D6E-409C-BE32-E72D297353CC}">
                <c16:uniqueId val="{00000005-012B-4390-AD5C-859BA2BA45B2}"/>
              </c:ext>
            </c:extLst>
          </c:dPt>
          <c:dPt>
            <c:idx val="3"/>
            <c:bubble3D val="0"/>
            <c:spPr>
              <a:solidFill>
                <a:srgbClr val="66CCFF"/>
              </a:solidFill>
              <a:ln>
                <a:noFill/>
              </a:ln>
              <a:effectLst/>
            </c:spPr>
            <c:extLst>
              <c:ext xmlns:c16="http://schemas.microsoft.com/office/drawing/2014/chart" uri="{C3380CC4-5D6E-409C-BE32-E72D297353CC}">
                <c16:uniqueId val="{00000007-012B-4390-AD5C-859BA2BA45B2}"/>
              </c:ext>
            </c:extLst>
          </c:dPt>
          <c:dPt>
            <c:idx val="4"/>
            <c:bubble3D val="0"/>
            <c:spPr>
              <a:solidFill>
                <a:srgbClr val="48D597"/>
              </a:solidFill>
              <a:ln>
                <a:noFill/>
              </a:ln>
              <a:effectLst/>
            </c:spPr>
            <c:extLst>
              <c:ext xmlns:c16="http://schemas.microsoft.com/office/drawing/2014/chart" uri="{C3380CC4-5D6E-409C-BE32-E72D297353CC}">
                <c16:uniqueId val="{00000009-012B-4390-AD5C-859BA2BA45B2}"/>
              </c:ext>
            </c:extLst>
          </c:dPt>
          <c:dPt>
            <c:idx val="5"/>
            <c:bubble3D val="0"/>
            <c:spPr>
              <a:solidFill>
                <a:srgbClr val="B2B1B2"/>
              </a:solidFill>
              <a:ln>
                <a:noFill/>
              </a:ln>
              <a:effectLst/>
            </c:spPr>
            <c:extLst>
              <c:ext xmlns:c16="http://schemas.microsoft.com/office/drawing/2014/chart" uri="{C3380CC4-5D6E-409C-BE32-E72D297353CC}">
                <c16:uniqueId val="{0000000B-012B-4390-AD5C-859BA2BA45B2}"/>
              </c:ext>
            </c:extLst>
          </c:dPt>
          <c:dPt>
            <c:idx val="6"/>
            <c:bubble3D val="0"/>
            <c:spPr>
              <a:solidFill>
                <a:schemeClr val="tx1"/>
              </a:solidFill>
              <a:ln>
                <a:noFill/>
              </a:ln>
              <a:effectLst/>
            </c:spPr>
            <c:extLst>
              <c:ext xmlns:c16="http://schemas.microsoft.com/office/drawing/2014/chart" uri="{C3380CC4-5D6E-409C-BE32-E72D297353CC}">
                <c16:uniqueId val="{0000000D-012B-4390-AD5C-859BA2BA45B2}"/>
              </c:ext>
            </c:extLst>
          </c:dPt>
          <c:dLbls>
            <c:dLbl>
              <c:idx val="0"/>
              <c:layout>
                <c:manualLayout>
                  <c:x val="0.10021201814058957"/>
                  <c:y val="-1.73196180555555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5.1592743764172333E-2"/>
                  <c:y val="0.11432178819444444"/>
                </c:manualLayout>
              </c:layout>
              <c:showLegendKey val="0"/>
              <c:showVal val="0"/>
              <c:showCatName val="1"/>
              <c:showSerName val="0"/>
              <c:showPercent val="1"/>
              <c:showBubbleSize val="0"/>
              <c:extLst>
                <c:ext xmlns:c15="http://schemas.microsoft.com/office/drawing/2012/chart" uri="{CE6537A1-D6FC-4f65-9D91-7224C49458BB}">
                  <c15:layout>
                    <c:manualLayout>
                      <c:w val="7.6952040816326533E-2"/>
                      <c:h val="7.9562673611111093E-2"/>
                    </c:manualLayout>
                  </c15:layout>
                </c:ext>
                <c:ext xmlns:c16="http://schemas.microsoft.com/office/drawing/2014/chart" uri="{C3380CC4-5D6E-409C-BE32-E72D297353CC}">
                  <c16:uniqueId val="{00000003-012B-4390-AD5C-859BA2BA45B2}"/>
                </c:ext>
              </c:extLst>
            </c:dLbl>
            <c:dLbl>
              <c:idx val="2"/>
              <c:layout>
                <c:manualLayout>
                  <c:x val="-3.594546485260771E-2"/>
                  <c:y val="0.11198298611111111"/>
                </c:manualLayout>
              </c:layout>
              <c:showLegendKey val="0"/>
              <c:showVal val="0"/>
              <c:showCatName val="1"/>
              <c:showSerName val="0"/>
              <c:showPercent val="1"/>
              <c:showBubbleSize val="0"/>
              <c:extLst>
                <c:ext xmlns:c15="http://schemas.microsoft.com/office/drawing/2012/chart" uri="{CE6537A1-D6FC-4f65-9D91-7224C49458BB}">
                  <c15:layout>
                    <c:manualLayout>
                      <c:w val="8.3127664399092971E-2"/>
                      <c:h val="6.2152777777777779E-2"/>
                    </c:manualLayout>
                  </c15:layout>
                </c:ext>
                <c:ext xmlns:c16="http://schemas.microsoft.com/office/drawing/2014/chart" uri="{C3380CC4-5D6E-409C-BE32-E72D297353CC}">
                  <c16:uniqueId val="{00000005-012B-4390-AD5C-859BA2BA45B2}"/>
                </c:ext>
              </c:extLst>
            </c:dLbl>
            <c:dLbl>
              <c:idx val="3"/>
              <c:layout>
                <c:manualLayout>
                  <c:x val="-6.6136394557823136E-2"/>
                  <c:y val="0.1025029513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2B-4390-AD5C-859BA2BA45B2}"/>
                </c:ext>
              </c:extLst>
            </c:dLbl>
            <c:dLbl>
              <c:idx val="4"/>
              <c:layout>
                <c:manualLayout>
                  <c:x val="-8.0862585034013612E-2"/>
                  <c:y val="6.9363541666666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2B-4390-AD5C-859BA2BA45B2}"/>
                </c:ext>
              </c:extLst>
            </c:dLbl>
            <c:dLbl>
              <c:idx val="5"/>
              <c:layout>
                <c:manualLayout>
                  <c:x val="-9.0335487528344666E-2"/>
                  <c:y val="1.8992708333333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12B-4390-AD5C-859BA2BA45B2}"/>
                </c:ext>
              </c:extLst>
            </c:dLbl>
            <c:dLbl>
              <c:idx val="6"/>
              <c:layout>
                <c:manualLayout>
                  <c:x val="-8.6271995464852605E-2"/>
                  <c:y val="-8.0241493055555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12B-4390-AD5C-859BA2BA45B2}"/>
                </c:ext>
              </c:extLst>
            </c:dLbl>
            <c:numFmt formatCode="0.0%" sourceLinked="0"/>
            <c:spPr>
              <a:noFill/>
              <a:ln>
                <a:noFill/>
              </a:ln>
              <a:effectLst/>
            </c:spPr>
            <c:txPr>
              <a:bodyPr rot="0" spcFirstLastPara="1" vertOverflow="overflow" horzOverflow="overflow" vert="horz" wrap="square" lIns="39600" tIns="19050" rIns="38100" bIns="19050" anchor="ctr" anchorCtr="1">
                <a:spAutoFit/>
              </a:bodyPr>
              <a:lstStyle/>
              <a:p>
                <a:pPr>
                  <a:defRPr sz="1200" b="0" i="0" u="none" strike="noStrike" kern="1200" baseline="0">
                    <a:solidFill>
                      <a:srgbClr val="001489"/>
                    </a:solidFill>
                    <a:latin typeface="NEUEHAASDISPLAY-THIN" panose="020D0304030502050203" pitchFamily="34" charset="77"/>
                    <a:ea typeface="Arial"/>
                    <a:cs typeface="Arial"/>
                  </a:defRPr>
                </a:pPr>
                <a:endParaRPr lang="sv-S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'A.7 Koldioxidutsläpp PB'!$N$49:$N$55</c:f>
              <c:strCache>
                <c:ptCount val="7"/>
                <c:pt idx="0">
                  <c:v>Högst 50g</c:v>
                </c:pt>
                <c:pt idx="1">
                  <c:v>51-60 g</c:v>
                </c:pt>
                <c:pt idx="2">
                  <c:v>61-95 g</c:v>
                </c:pt>
                <c:pt idx="3">
                  <c:v>96-120 g</c:v>
                </c:pt>
                <c:pt idx="4">
                  <c:v>121-130 g</c:v>
                </c:pt>
                <c:pt idx="5">
                  <c:v>131-140 g</c:v>
                </c:pt>
                <c:pt idx="6">
                  <c:v>Över 140 g</c:v>
                </c:pt>
              </c:strCache>
            </c:strRef>
          </c:cat>
          <c:val>
            <c:numRef>
              <c:f>'A.7 Koldioxidutsläpp PB'!$O$49:$O$55</c:f>
              <c:numCache>
                <c:formatCode>0.0%</c:formatCode>
                <c:ptCount val="7"/>
                <c:pt idx="0">
                  <c:v>0.48004983093077058</c:v>
                </c:pt>
                <c:pt idx="1">
                  <c:v>1.3347570742124934E-3</c:v>
                </c:pt>
                <c:pt idx="2">
                  <c:v>1.5056059797116925E-2</c:v>
                </c:pt>
                <c:pt idx="3">
                  <c:v>0.11663107314468765</c:v>
                </c:pt>
                <c:pt idx="4">
                  <c:v>4.8834312155187763E-2</c:v>
                </c:pt>
                <c:pt idx="5">
                  <c:v>3.0379071009076348E-2</c:v>
                </c:pt>
                <c:pt idx="6">
                  <c:v>0.30771489588894824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personbilar fördelat på koldioxidutsläpp </a:t>
            </a:r>
          </a:p>
          <a:p>
            <a:pPr>
              <a:defRPr sz="2200">
                <a:solidFill>
                  <a:srgbClr val="001489"/>
                </a:solidFill>
                <a:latin typeface="Neue Haas Grotesk Display Pro" panose="020D0304030502050203" pitchFamily="34" charset="0"/>
              </a:defRPr>
            </a:pPr>
            <a:r>
              <a:rPr lang="sv-SE">
                <a:latin typeface="Neue Haas Grotesk Display Pro" panose="020D0304030502050203" pitchFamily="34" charset="0"/>
              </a:rPr>
              <a:t>(NEDC värden)</a:t>
            </a:r>
          </a:p>
        </c:rich>
      </c:tx>
      <c:layout>
        <c:manualLayout>
          <c:xMode val="edge"/>
          <c:yMode val="edge"/>
          <c:x val="0.16588775510204079"/>
          <c:y val="5.637365591397849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0.16964161381972911"/>
          <c:y val="0.3115838697710262"/>
          <c:w val="0.68518278177842362"/>
          <c:h val="0.50627962481470801"/>
        </c:manualLayout>
      </c:layout>
      <c:barChart>
        <c:barDir val="col"/>
        <c:grouping val="clustered"/>
        <c:varyColors val="0"/>
        <c:ser>
          <c:idx val="0"/>
          <c:order val="0"/>
          <c:tx>
            <c:strRef>
              <c:f>'A.7 Koldioxidutsläpp PB'!$P$73</c:f>
              <c:strCache>
                <c:ptCount val="1"/>
                <c:pt idx="0">
                  <c:v>Jan - dec 2022</c:v>
                </c:pt>
              </c:strCache>
            </c:strRef>
          </c:tx>
          <c:spPr>
            <a:solidFill>
              <a:srgbClr val="001489"/>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PB'!$P$74:$P$80</c:f>
              <c:numCache>
                <c:formatCode>#,##0</c:formatCode>
                <c:ptCount val="7"/>
                <c:pt idx="0">
                  <c:v>53416</c:v>
                </c:pt>
                <c:pt idx="1">
                  <c:v>379</c:v>
                </c:pt>
                <c:pt idx="2">
                  <c:v>2737</c:v>
                </c:pt>
                <c:pt idx="3">
                  <c:v>16484</c:v>
                </c:pt>
                <c:pt idx="4">
                  <c:v>7753</c:v>
                </c:pt>
                <c:pt idx="5">
                  <c:v>6333</c:v>
                </c:pt>
                <c:pt idx="6">
                  <c:v>30992</c:v>
                </c:pt>
              </c:numCache>
            </c:numRef>
          </c:val>
          <c:extLst xmlns:c15="http://schemas.microsoft.com/office/drawing/2012/chart">
            <c:ext xmlns:c16="http://schemas.microsoft.com/office/drawing/2014/chart" uri="{C3380CC4-5D6E-409C-BE32-E72D297353CC}">
              <c16:uniqueId val="{00000002-A4B5-4491-A0D4-3B31A94A2BAA}"/>
            </c:ext>
          </c:extLst>
        </c:ser>
        <c:ser>
          <c:idx val="1"/>
          <c:order val="1"/>
          <c:tx>
            <c:strRef>
              <c:f>'A.7 Koldioxidutsläpp PB'!$Q$73</c:f>
              <c:strCache>
                <c:ptCount val="1"/>
                <c:pt idx="0">
                  <c:v>Jan - maj 2023</c:v>
                </c:pt>
              </c:strCache>
            </c:strRef>
          </c:tx>
          <c:spPr>
            <a:solidFill>
              <a:srgbClr val="66CCFF"/>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PB'!$Q$74:$Q$80</c:f>
              <c:numCache>
                <c:formatCode>#,##0</c:formatCode>
                <c:ptCount val="7"/>
                <c:pt idx="0">
                  <c:v>53948</c:v>
                </c:pt>
                <c:pt idx="1">
                  <c:v>150</c:v>
                </c:pt>
                <c:pt idx="2">
                  <c:v>1692</c:v>
                </c:pt>
                <c:pt idx="3">
                  <c:v>13107</c:v>
                </c:pt>
                <c:pt idx="4">
                  <c:v>5488</c:v>
                </c:pt>
                <c:pt idx="5">
                  <c:v>3414</c:v>
                </c:pt>
                <c:pt idx="6">
                  <c:v>34581</c:v>
                </c:pt>
              </c:numCache>
            </c:numRef>
          </c:val>
          <c:extLst>
            <c:ext xmlns:c16="http://schemas.microsoft.com/office/drawing/2014/chart" uri="{C3380CC4-5D6E-409C-BE32-E72D297353CC}">
              <c16:uniqueId val="{00000000-A4B5-4491-A0D4-3B31A94A2BAA}"/>
            </c:ext>
          </c:extLst>
        </c:ser>
        <c:dLbls>
          <c:showLegendKey val="0"/>
          <c:showVal val="0"/>
          <c:showCatName val="0"/>
          <c:showSerName val="0"/>
          <c:showPercent val="0"/>
          <c:showBubbleSize val="0"/>
        </c:dLbls>
        <c:gapWidth val="219"/>
        <c:overlap val="-27"/>
        <c:axId val="130076032"/>
        <c:axId val="130102400"/>
        <c:extLst/>
      </c:barChart>
      <c:catAx>
        <c:axId val="13007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102400"/>
        <c:crosses val="autoZero"/>
        <c:auto val="1"/>
        <c:lblAlgn val="ctr"/>
        <c:lblOffset val="100"/>
        <c:noMultiLvlLbl val="0"/>
      </c:catAx>
      <c:valAx>
        <c:axId val="13010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0076032"/>
        <c:crosses val="autoZero"/>
        <c:crossBetween val="between"/>
      </c:valAx>
      <c:spPr>
        <a:noFill/>
        <a:ln>
          <a:noFill/>
        </a:ln>
        <a:effectLst/>
      </c:spPr>
    </c:plotArea>
    <c:legend>
      <c:legendPos val="b"/>
      <c:layout>
        <c:manualLayout>
          <c:xMode val="edge"/>
          <c:yMode val="edge"/>
          <c:x val="0.5539662131519274"/>
          <c:y val="0.22715483870967743"/>
          <c:w val="0.278851133786848"/>
          <c:h val="5.78849462365591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2021-2023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'A.7 Koldioxidutsläpp PB'!$O$108</c:f>
              <c:strCache>
                <c:ptCount val="1"/>
                <c:pt idx="0">
                  <c:v>2021</c:v>
                </c:pt>
              </c:strCache>
            </c:strRef>
          </c:tx>
          <c:spPr>
            <a:solidFill>
              <a:srgbClr val="001489"/>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PB'!$O$109:$O$121</c:f>
              <c:numCache>
                <c:formatCode>0.0</c:formatCode>
                <c:ptCount val="12"/>
                <c:pt idx="0">
                  <c:v>91.9</c:v>
                </c:pt>
                <c:pt idx="1">
                  <c:v>90</c:v>
                </c:pt>
                <c:pt idx="2">
                  <c:v>88.4</c:v>
                </c:pt>
                <c:pt idx="3">
                  <c:v>72.8</c:v>
                </c:pt>
                <c:pt idx="4">
                  <c:v>78.900000000000006</c:v>
                </c:pt>
                <c:pt idx="5">
                  <c:v>67</c:v>
                </c:pt>
                <c:pt idx="6">
                  <c:v>73.900000000000006</c:v>
                </c:pt>
                <c:pt idx="7">
                  <c:v>62.2</c:v>
                </c:pt>
                <c:pt idx="8">
                  <c:v>53</c:v>
                </c:pt>
                <c:pt idx="9">
                  <c:v>58.6</c:v>
                </c:pt>
                <c:pt idx="10">
                  <c:v>53.5</c:v>
                </c:pt>
                <c:pt idx="11">
                  <c:v>45.1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'A.7 Koldioxidutsläpp PB'!$P$108</c:f>
              <c:strCache>
                <c:ptCount val="1"/>
                <c:pt idx="0">
                  <c:v>2022</c:v>
                </c:pt>
              </c:strCache>
            </c:strRef>
          </c:tx>
          <c:spPr>
            <a:solidFill>
              <a:srgbClr val="FFC658"/>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PB'!$P$109:$P$121</c:f>
              <c:numCache>
                <c:formatCode>0.0</c:formatCode>
                <c:ptCount val="12"/>
                <c:pt idx="0">
                  <c:v>70.7</c:v>
                </c:pt>
                <c:pt idx="1">
                  <c:v>51.1</c:v>
                </c:pt>
                <c:pt idx="2">
                  <c:v>44.8</c:v>
                </c:pt>
                <c:pt idx="3">
                  <c:v>46.5</c:v>
                </c:pt>
                <c:pt idx="4">
                  <c:v>47.7</c:v>
                </c:pt>
                <c:pt idx="5">
                  <c:v>45.3</c:v>
                </c:pt>
                <c:pt idx="6" formatCode="General">
                  <c:v>42.9</c:v>
                </c:pt>
                <c:pt idx="7">
                  <c:v>32.5</c:v>
                </c:pt>
                <c:pt idx="8">
                  <c:v>30.3</c:v>
                </c:pt>
                <c:pt idx="9">
                  <c:v>30.3</c:v>
                </c:pt>
              </c:numCache>
            </c:numRef>
          </c:val>
          <c:extLst>
            <c:ext xmlns:c16="http://schemas.microsoft.com/office/drawing/2014/chart" uri="{C3380CC4-5D6E-409C-BE32-E72D297353CC}">
              <c16:uniqueId val="{00000001-DF09-4D38-A2F5-42CB03C6031A}"/>
            </c:ext>
          </c:extLst>
        </c:ser>
        <c:ser>
          <c:idx val="2"/>
          <c:order val="2"/>
          <c:tx>
            <c:strRef>
              <c:f>'A.7 Koldioxidutsläpp PB'!$Q$108</c:f>
              <c:strCache>
                <c:ptCount val="1"/>
                <c:pt idx="0">
                  <c:v>2023</c:v>
                </c:pt>
              </c:strCache>
            </c:strRef>
          </c:tx>
          <c:spPr>
            <a:solidFill>
              <a:srgbClr val="48D597"/>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PB'!$Q$109:$Q$121</c:f>
              <c:numCache>
                <c:formatCode>0.0</c:formatCode>
                <c:ptCount val="12"/>
                <c:pt idx="0">
                  <c:v>27.7</c:v>
                </c:pt>
                <c:pt idx="1">
                  <c:v>18.8</c:v>
                </c:pt>
                <c:pt idx="2">
                  <c:v>10.9</c:v>
                </c:pt>
                <c:pt idx="3">
                  <c:v>10</c:v>
                </c:pt>
                <c:pt idx="4">
                  <c:v>6.9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888832"/>
        <c:axId val="130890368"/>
        <c:extLst/>
      </c:barChart>
      <c:catAx>
        <c:axId val="1308888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90368"/>
        <c:crosses val="autoZero"/>
        <c:auto val="1"/>
        <c:lblAlgn val="ctr"/>
        <c:lblOffset val="100"/>
        <c:noMultiLvlLbl val="0"/>
      </c:catAx>
      <c:valAx>
        <c:axId val="1308903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8883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7.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9.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absoluteAnchor>
    <xdr:pos x="16625" y="6982689"/>
    <xdr:ext cx="8820000" cy="5760000"/>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313" y="13050980"/>
    <xdr:ext cx="8820000" cy="5580000"/>
    <xdr:graphicFrame macro="">
      <xdr:nvGraphicFramePr>
        <xdr:cNvPr id="3" name="Diagram 1">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108066</xdr:colOff>
      <xdr:row>0</xdr:row>
      <xdr:rowOff>99753</xdr:rowOff>
    </xdr:from>
    <xdr:to>
      <xdr:col>1</xdr:col>
      <xdr:colOff>460726</xdr:colOff>
      <xdr:row>1</xdr:row>
      <xdr:rowOff>224459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066" y="99753"/>
          <a:ext cx="1271909" cy="315899"/>
        </a:xfrm>
        <a:prstGeom prst="rect">
          <a:avLst/>
        </a:prstGeom>
      </xdr:spPr>
    </xdr:pic>
    <xdr:clientData/>
  </xdr:twoCellAnchor>
</xdr:wsDr>
</file>

<file path=xl/drawings/drawing17.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0.90279</cdr:y>
    </cdr:from>
    <cdr:to>
      <cdr:x>1</cdr:x>
      <cdr:y>0.95983</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200089"/>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maj  2023</a:t>
          </a:r>
        </a:p>
      </cdr:txBody>
    </cdr:sp>
  </cdr:relSizeAnchor>
  <cdr:relSizeAnchor xmlns:cdr="http://schemas.openxmlformats.org/drawingml/2006/chartDrawing">
    <cdr:from>
      <cdr:x>0.00054</cdr:x>
      <cdr:y>0.05758</cdr:y>
    </cdr:from>
    <cdr:to>
      <cdr:x>1</cdr:x>
      <cdr:y>0.12835</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31645"/>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Nyregistrerade</a:t>
          </a:r>
          <a:r>
            <a:rPr lang="sv-SE" sz="2400" b="0" i="0" baseline="0">
              <a:solidFill>
                <a:srgbClr val="15355B"/>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personbilar</a:t>
          </a:r>
          <a:r>
            <a:rPr lang="sv-SE" sz="2400" b="0" i="0" baseline="0">
              <a:solidFill>
                <a:srgbClr val="001489"/>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 drivmedel</a:t>
          </a:r>
          <a:endParaRPr lang="sv-SE" sz="2000" b="0" i="0">
            <a:solidFill>
              <a:srgbClr val="001489"/>
            </a:solidFill>
            <a:effectLst/>
            <a:latin typeface="Neue Haas Grotesk Display Pro" panose="020D0304030502050203" pitchFamily="34" charset="0"/>
            <a:cs typeface="Arial" panose="020B0604020202020204" pitchFamily="34" charset="0"/>
          </a:endParaRPr>
        </a:p>
        <a:p xmlns:a="http://schemas.openxmlformats.org/drawingml/2006/main">
          <a:endParaRPr lang="sv-SE" sz="11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0.01424</cdr:x>
      <cdr:y>0.02036</cdr:y>
    </cdr:from>
    <cdr:to>
      <cdr:x>0.15845</cdr:x>
      <cdr:y>0.07521</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5614" y="117302"/>
          <a:ext cx="1271909" cy="315899"/>
        </a:xfrm>
        <a:prstGeom xmlns:a="http://schemas.openxmlformats.org/drawingml/2006/main" prst="rect">
          <a:avLst/>
        </a:prstGeom>
      </cdr:spPr>
    </cdr:pic>
  </cdr:relSizeAnchor>
</c:userShapes>
</file>

<file path=xl/drawings/drawing18.xml><?xml version="1.0" encoding="utf-8"?>
<c:userShapes xmlns:c="http://schemas.openxmlformats.org/drawingml/2006/chart">
  <cdr:relSizeAnchor xmlns:cdr="http://schemas.openxmlformats.org/drawingml/2006/chartDrawing">
    <cdr:from>
      <cdr:x>0</cdr:x>
      <cdr:y>0.97573</cdr:y>
    </cdr:from>
    <cdr:to>
      <cdr:x>0.99938</cdr:x>
      <cdr:y>1</cdr:y>
    </cdr:to>
    <cdr:sp macro="" textlink="">
      <cdr:nvSpPr>
        <cdr:cNvPr id="2"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5"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6"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0.00953</cdr:x>
      <cdr:y>0.02251</cdr:y>
    </cdr:from>
    <cdr:to>
      <cdr:x>0.15374</cdr:x>
      <cdr:y>0.07912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050" y="125615"/>
          <a:ext cx="1271909" cy="315899"/>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4.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5.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9.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maj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078.51754976852" createdVersion="6" refreshedVersion="4" minRefreshableVersion="3" recordCount="50" xr:uid="{00000000-000A-0000-FFFF-FFFF05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2">
        <s v="Alfa Romeo"/>
        <s v="Fiat"/>
        <s v="Jeep"/>
        <s v="Jaguar"/>
        <s v="Land Rover"/>
        <s v="BMW"/>
        <s v="Mini"/>
        <s v="Cadillac"/>
        <s v="Alpine"/>
        <s v="BYD"/>
        <s v="Dacia"/>
        <s v="Ford"/>
        <s v="Hongqi"/>
        <s v="MG"/>
        <s v="Renault"/>
        <s v="Honda"/>
        <s v="Hyundai"/>
        <s v="ORA"/>
        <s v="Subaru"/>
        <s v="Iveco"/>
        <s v="Kia"/>
        <s v="Citroen"/>
        <s v="DS"/>
        <s v="Opel"/>
        <s v="Peugeot"/>
        <s v="Mitsubishi"/>
        <s v="LEVC"/>
        <s v="Suzuki"/>
        <s v="Lynk &amp; Co"/>
        <s v="Mazda"/>
        <s v="Mercedes"/>
        <s v="Mercedes AMG"/>
        <s v="Smart"/>
        <s v="Nio"/>
        <s v="Nissan"/>
        <s v="Polestar"/>
        <s v="Maxus"/>
        <s v="Tesla"/>
        <s v="Lexus"/>
        <s v="Toyota"/>
        <s v="Audi"/>
        <s v="CUPRA"/>
        <s v="Porsche"/>
        <s v="Seat"/>
        <s v="Skoda"/>
        <s v="Volkswagen"/>
        <s v="Volvo"/>
        <s v="Xpeng"/>
        <s v="Övriga"/>
        <s v="NEVS" u="1"/>
        <s v="SsangYong" u="1"/>
        <s v="Polestar 2" u="1"/>
      </sharedItems>
    </cacheField>
    <cacheField name="antalPerioden" numFmtId="0">
      <sharedItems containsSemiMixedTypes="0" containsString="0" containsNumber="1" containsInteger="1" minValue="0" maxValue="4549"/>
    </cacheField>
    <cacheField name="antalFGPeriod" numFmtId="0">
      <sharedItems containsSemiMixedTypes="0" containsString="0" containsNumber="1" containsInteger="1" minValue="0" maxValue="3670"/>
    </cacheField>
    <cacheField name="antalÅret" numFmtId="0">
      <sharedItems containsSemiMixedTypes="0" containsString="0" containsNumber="1" containsInteger="1" minValue="0" maxValue="16925"/>
    </cacheField>
    <cacheField name="antalFGAr" numFmtId="0">
      <sharedItems containsSemiMixedTypes="0" containsString="0" containsNumber="1" containsInteger="1" minValue="0" maxValue="19433"/>
    </cacheField>
    <cacheField name="changePeriod" numFmtId="0">
      <sharedItems containsSemiMixedTypes="0" containsString="0" containsNumber="1" minValue="-100" maxValue="775"/>
    </cacheField>
    <cacheField name="changeAret" numFmtId="0">
      <sharedItems containsSemiMixedTypes="0" containsString="0" containsNumber="1" minValue="-100" maxValue="432.26"/>
    </cacheField>
    <cacheField name="shrPeriod" numFmtId="0">
      <sharedItems containsSemiMixedTypes="0" containsString="0" containsNumber="1" minValue="0" maxValue="15.97"/>
    </cacheField>
    <cacheField name="shrYear" numFmtId="0">
      <sharedItems containsSemiMixedTypes="0" containsString="0" containsNumber="1" minValue="0" maxValue="15.06"/>
    </cacheField>
    <cacheField name="shrPrevPeriod" numFmtId="0">
      <sharedItems containsSemiMixedTypes="0" containsString="0" containsNumber="1" minValue="0" maxValue="13.89"/>
    </cacheField>
    <cacheField name="shrPrevYear" numFmtId="0">
      <sharedItems containsSemiMixedTypes="0" containsString="0" containsNumber="1" minValue="0" maxValue="16.46"/>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78.517551736113" createdVersion="6" refreshedVersion="4" minRefreshableVersion="3" recordCount="16" xr:uid="{00000000-000A-0000-FFFF-FFFF07000000}">
  <cacheSource type="external" connectionId="18"/>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67" count="10">
        <n v="1"/>
        <n v="2"/>
        <n v="0"/>
        <n v="11"/>
        <n v="5"/>
        <n v="6"/>
        <n v="32"/>
        <n v="35"/>
        <n v="67"/>
        <n v="51"/>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78.517560069442" createdVersion="6" refreshedVersion="4" minRefreshableVersion="3" recordCount="4" xr:uid="{00000000-000A-0000-FFFF-FFFF09000000}">
  <cacheSource type="external" connectionId="7"/>
  <cacheFields count="11">
    <cacheField name="klass" numFmtId="0">
      <sharedItems count="4">
        <s v="Högst  3,5 ton"/>
        <s v="3,5 -  6,0 ton"/>
        <s v="6,0 - 16,0 ton"/>
        <s v="Över  16,0 ton"/>
      </sharedItems>
    </cacheField>
    <cacheField name="antalPerioden" numFmtId="0">
      <sharedItems containsSemiMixedTypes="0" containsString="0" containsNumber="1" containsInteger="1" minValue="18" maxValue="3919" count="4">
        <n v="3919"/>
        <n v="18"/>
        <n v="28"/>
        <n v="629"/>
      </sharedItems>
    </cacheField>
    <cacheField name="antalPeriodenFG" numFmtId="0">
      <sharedItems containsSemiMixedTypes="0" containsString="0" containsNumber="1" containsInteger="1" minValue="23" maxValue="2983" count="4">
        <n v="2983"/>
        <n v="23"/>
        <n v="35"/>
        <n v="502"/>
      </sharedItems>
    </cacheField>
    <cacheField name="antalAret" numFmtId="0">
      <sharedItems containsSemiMixedTypes="0" containsString="0" containsNumber="1" containsInteger="1" minValue="79" maxValue="16115" count="4">
        <n v="16115"/>
        <n v="79"/>
        <n v="163"/>
        <n v="2702"/>
      </sharedItems>
    </cacheField>
    <cacheField name="antalAretFG" numFmtId="0">
      <sharedItems containsSemiMixedTypes="0" containsString="0" containsNumber="1" containsInteger="1" minValue="88" maxValue="14046" count="4">
        <n v="14046"/>
        <n v="88"/>
        <n v="148"/>
        <n v="2086"/>
      </sharedItems>
    </cacheField>
    <cacheField name="chgPerioden" numFmtId="0">
      <sharedItems containsSemiMixedTypes="0" containsString="0" containsNumber="1" minValue="-21.7" maxValue="31.4" count="4">
        <n v="31.4"/>
        <n v="-21.7"/>
        <n v="-20"/>
        <n v="25.3"/>
      </sharedItems>
    </cacheField>
    <cacheField name="chgAret" numFmtId="0">
      <sharedItems containsSemiMixedTypes="0" containsString="0" containsNumber="1" minValue="-10.199999999999999" maxValue="29.5" count="4">
        <n v="14.7"/>
        <n v="-10.199999999999999"/>
        <n v="10.1"/>
        <n v="29.5"/>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x v="0"/>
    <x v="0"/>
    <x v="0"/>
    <x v="0"/>
    <x v="0"/>
    <x v="0"/>
    <x v="0"/>
    <x v="0"/>
    <x v="0"/>
    <x v="0"/>
  </r>
  <r>
    <x v="1"/>
    <x v="1"/>
    <x v="0"/>
    <x v="0"/>
    <x v="0"/>
    <x v="0"/>
    <x v="0"/>
    <x v="0"/>
    <x v="0"/>
    <x v="0"/>
    <x v="0"/>
    <x v="0"/>
    <x v="0"/>
    <x v="0"/>
    <x v="0"/>
  </r>
  <r>
    <x v="1"/>
    <x v="0"/>
    <x v="1"/>
    <x v="0"/>
    <x v="1"/>
    <x v="0"/>
    <x v="1"/>
    <x v="1"/>
    <x v="0"/>
    <x v="0"/>
    <x v="0"/>
    <x v="0"/>
    <x v="0"/>
    <x v="0"/>
    <x v="0"/>
  </r>
  <r>
    <x v="2"/>
    <x v="0"/>
    <x v="2"/>
    <x v="0"/>
    <x v="0"/>
    <x v="0"/>
    <x v="0"/>
    <x v="1"/>
    <x v="0"/>
    <x v="0"/>
    <x v="0"/>
    <x v="1"/>
    <x v="0"/>
    <x v="0"/>
    <x v="0"/>
  </r>
  <r>
    <x v="3"/>
    <x v="1"/>
    <x v="3"/>
    <x v="0"/>
    <x v="2"/>
    <x v="0"/>
    <x v="2"/>
    <x v="0"/>
    <x v="0"/>
    <x v="0"/>
    <x v="0"/>
    <x v="0"/>
    <x v="0"/>
    <x v="0"/>
    <x v="0"/>
  </r>
  <r>
    <x v="3"/>
    <x v="0"/>
    <x v="4"/>
    <x v="1"/>
    <x v="0"/>
    <x v="1"/>
    <x v="1"/>
    <x v="0"/>
    <x v="1"/>
    <x v="1"/>
    <x v="0"/>
    <x v="0"/>
    <x v="1"/>
    <x v="0"/>
    <x v="0"/>
  </r>
  <r>
    <x v="4"/>
    <x v="1"/>
    <x v="5"/>
    <x v="0"/>
    <x v="0"/>
    <x v="2"/>
    <x v="3"/>
    <x v="1"/>
    <x v="0"/>
    <x v="0"/>
    <x v="0"/>
    <x v="0"/>
    <x v="0"/>
    <x v="0"/>
    <x v="0"/>
  </r>
  <r>
    <x v="4"/>
    <x v="0"/>
    <x v="1"/>
    <x v="1"/>
    <x v="0"/>
    <x v="0"/>
    <x v="0"/>
    <x v="0"/>
    <x v="0"/>
    <x v="0"/>
    <x v="0"/>
    <x v="1"/>
    <x v="0"/>
    <x v="0"/>
    <x v="0"/>
  </r>
  <r>
    <x v="5"/>
    <x v="1"/>
    <x v="3"/>
    <x v="2"/>
    <x v="3"/>
    <x v="3"/>
    <x v="1"/>
    <x v="2"/>
    <x v="0"/>
    <x v="0"/>
    <x v="0"/>
    <x v="0"/>
    <x v="0"/>
    <x v="0"/>
    <x v="0"/>
  </r>
  <r>
    <x v="5"/>
    <x v="0"/>
    <x v="0"/>
    <x v="0"/>
    <x v="0"/>
    <x v="0"/>
    <x v="1"/>
    <x v="1"/>
    <x v="0"/>
    <x v="0"/>
    <x v="0"/>
    <x v="0"/>
    <x v="0"/>
    <x v="1"/>
    <x v="1"/>
  </r>
  <r>
    <x v="6"/>
    <x v="1"/>
    <x v="6"/>
    <x v="3"/>
    <x v="4"/>
    <x v="4"/>
    <x v="4"/>
    <x v="2"/>
    <x v="0"/>
    <x v="0"/>
    <x v="0"/>
    <x v="0"/>
    <x v="0"/>
    <x v="0"/>
    <x v="0"/>
  </r>
  <r>
    <x v="6"/>
    <x v="0"/>
    <x v="7"/>
    <x v="4"/>
    <x v="5"/>
    <x v="2"/>
    <x v="5"/>
    <x v="3"/>
    <x v="2"/>
    <x v="2"/>
    <x v="1"/>
    <x v="0"/>
    <x v="1"/>
    <x v="2"/>
    <x v="2"/>
  </r>
  <r>
    <x v="7"/>
    <x v="1"/>
    <x v="5"/>
    <x v="0"/>
    <x v="6"/>
    <x v="3"/>
    <x v="6"/>
    <x v="1"/>
    <x v="0"/>
    <x v="0"/>
    <x v="0"/>
    <x v="0"/>
    <x v="0"/>
    <x v="0"/>
    <x v="0"/>
  </r>
  <r>
    <x v="7"/>
    <x v="0"/>
    <x v="4"/>
    <x v="1"/>
    <x v="1"/>
    <x v="3"/>
    <x v="0"/>
    <x v="4"/>
    <x v="0"/>
    <x v="0"/>
    <x v="2"/>
    <x v="0"/>
    <x v="2"/>
    <x v="3"/>
    <x v="3"/>
  </r>
  <r>
    <x v="8"/>
    <x v="1"/>
    <x v="8"/>
    <x v="5"/>
    <x v="7"/>
    <x v="5"/>
    <x v="7"/>
    <x v="3"/>
    <x v="0"/>
    <x v="0"/>
    <x v="0"/>
    <x v="0"/>
    <x v="0"/>
    <x v="0"/>
    <x v="0"/>
  </r>
  <r>
    <x v="8"/>
    <x v="0"/>
    <x v="9"/>
    <x v="5"/>
    <x v="8"/>
    <x v="6"/>
    <x v="8"/>
    <x v="5"/>
    <x v="3"/>
    <x v="3"/>
    <x v="3"/>
    <x v="2"/>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5"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3">
        <item x="0"/>
        <item x="40"/>
        <item x="5"/>
        <item x="21"/>
        <item x="10"/>
        <item x="22"/>
        <item x="1"/>
        <item x="11"/>
        <item x="15"/>
        <item x="16"/>
        <item x="19"/>
        <item x="3"/>
        <item x="2"/>
        <item x="20"/>
        <item x="4"/>
        <item x="38"/>
        <item x="36"/>
        <item x="29"/>
        <item x="30"/>
        <item x="31"/>
        <item x="6"/>
        <item x="25"/>
        <item m="1" x="49"/>
        <item x="34"/>
        <item x="23"/>
        <item x="24"/>
        <item x="35"/>
        <item x="42"/>
        <item x="14"/>
        <item x="43"/>
        <item x="44"/>
        <item x="32"/>
        <item x="18"/>
        <item x="27"/>
        <item x="37"/>
        <item x="39"/>
        <item x="45"/>
        <item x="46"/>
        <item x="48"/>
        <item x="7"/>
        <item x="28"/>
        <item m="1" x="51"/>
        <item x="8"/>
        <item x="13"/>
        <item m="1" x="50"/>
        <item x="26"/>
        <item x="47"/>
        <item x="9"/>
        <item x="17"/>
        <item x="33"/>
        <item x="41"/>
        <item x="1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8">
    <i>
      <x/>
    </i>
    <i r="1">
      <x/>
    </i>
    <i r="1">
      <x v="6"/>
    </i>
    <i r="1">
      <x v="12"/>
    </i>
    <i>
      <x v="1"/>
    </i>
    <i r="1">
      <x v="11"/>
    </i>
    <i r="1">
      <x v="14"/>
    </i>
    <i>
      <x v="3"/>
    </i>
    <i r="1">
      <x v="2"/>
    </i>
    <i r="1">
      <x v="20"/>
    </i>
    <i>
      <x v="5"/>
    </i>
    <i r="1">
      <x v="39"/>
    </i>
    <i>
      <x v="8"/>
    </i>
    <i r="1">
      <x v="4"/>
    </i>
    <i r="1">
      <x v="7"/>
    </i>
    <i r="1">
      <x v="28"/>
    </i>
    <i r="1">
      <x v="42"/>
    </i>
    <i r="1">
      <x v="43"/>
    </i>
    <i r="1">
      <x v="47"/>
    </i>
    <i r="1">
      <x v="51"/>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6"/>
    </i>
    <i r="1">
      <x v="46"/>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48">
      <pivotArea type="all" dataOnly="0" outline="0" fieldPosition="0"/>
    </format>
    <format dxfId="447">
      <pivotArea outline="0" collapsedLevelsAreSubtotals="1" fieldPosition="0"/>
    </format>
    <format dxfId="446">
      <pivotArea field="0" type="button" dataOnly="0" labelOnly="1" outline="0" axis="axisRow" fieldPosition="0"/>
    </format>
    <format dxfId="445">
      <pivotArea dataOnly="0" labelOnly="1" fieldPosition="0">
        <references count="1">
          <reference field="0" count="0"/>
        </references>
      </pivotArea>
    </format>
    <format dxfId="444">
      <pivotArea dataOnly="0" labelOnly="1" grandRow="1" outline="0" fieldPosition="0"/>
    </format>
    <format dxfId="443">
      <pivotArea dataOnly="0" labelOnly="1" fieldPosition="0">
        <references count="2">
          <reference field="0" count="1" selected="0">
            <x v="1"/>
          </reference>
          <reference field="1" count="2">
            <x v="11"/>
            <x v="14"/>
          </reference>
        </references>
      </pivotArea>
    </format>
    <format dxfId="442">
      <pivotArea dataOnly="0" labelOnly="1" fieldPosition="0">
        <references count="2">
          <reference field="0" count="1" selected="0">
            <x v="2"/>
          </reference>
          <reference field="1" count="3">
            <x v="0"/>
            <x v="6"/>
            <x v="12"/>
          </reference>
        </references>
      </pivotArea>
    </format>
    <format dxfId="441">
      <pivotArea dataOnly="0" labelOnly="1" fieldPosition="0">
        <references count="2">
          <reference field="0" count="1" selected="0">
            <x v="3"/>
          </reference>
          <reference field="1" count="2">
            <x v="2"/>
            <x v="20"/>
          </reference>
        </references>
      </pivotArea>
    </format>
    <format dxfId="440">
      <pivotArea dataOnly="0" labelOnly="1" fieldPosition="0">
        <references count="2">
          <reference field="0" count="1" selected="0">
            <x v="5"/>
          </reference>
          <reference field="1" count="1">
            <x v="39"/>
          </reference>
        </references>
      </pivotArea>
    </format>
    <format dxfId="439">
      <pivotArea dataOnly="0" labelOnly="1" fieldPosition="0">
        <references count="2">
          <reference field="0" count="1" selected="0">
            <x v="7"/>
          </reference>
          <reference field="1" count="1">
            <x v="43"/>
          </reference>
        </references>
      </pivotArea>
    </format>
    <format dxfId="438">
      <pivotArea dataOnly="0" labelOnly="1" fieldPosition="0">
        <references count="2">
          <reference field="0" count="1" selected="0">
            <x v="9"/>
          </reference>
          <reference field="1" count="1">
            <x v="7"/>
          </reference>
        </references>
      </pivotArea>
    </format>
    <format dxfId="437">
      <pivotArea dataOnly="0" labelOnly="1" fieldPosition="0">
        <references count="2">
          <reference field="0" count="1" selected="0">
            <x v="10"/>
          </reference>
          <reference field="1" count="1">
            <x v="8"/>
          </reference>
        </references>
      </pivotArea>
    </format>
    <format dxfId="436">
      <pivotArea dataOnly="0" labelOnly="1" fieldPosition="0">
        <references count="2">
          <reference field="0" count="1" selected="0">
            <x v="11"/>
          </reference>
          <reference field="1" count="1">
            <x v="9"/>
          </reference>
        </references>
      </pivotArea>
    </format>
    <format dxfId="435">
      <pivotArea dataOnly="0" labelOnly="1" fieldPosition="0">
        <references count="2">
          <reference field="0" count="1" selected="0">
            <x v="13"/>
          </reference>
          <reference field="1" count="1">
            <x v="10"/>
          </reference>
        </references>
      </pivotArea>
    </format>
    <format dxfId="434">
      <pivotArea dataOnly="0" labelOnly="1" fieldPosition="0">
        <references count="2">
          <reference field="0" count="1" selected="0">
            <x v="14"/>
          </reference>
          <reference field="1" count="1">
            <x v="13"/>
          </reference>
        </references>
      </pivotArea>
    </format>
    <format dxfId="433">
      <pivotArea dataOnly="0" labelOnly="1" fieldPosition="0">
        <references count="2">
          <reference field="0" count="1" selected="0">
            <x v="15"/>
          </reference>
          <reference field="1" count="4">
            <x v="3"/>
            <x v="5"/>
            <x v="24"/>
            <x v="25"/>
          </reference>
        </references>
      </pivotArea>
    </format>
    <format dxfId="432">
      <pivotArea dataOnly="0" labelOnly="1" fieldPosition="0">
        <references count="2">
          <reference field="0" count="1" selected="0">
            <x v="16"/>
          </reference>
          <reference field="1" count="1">
            <x v="21"/>
          </reference>
        </references>
      </pivotArea>
    </format>
    <format dxfId="431">
      <pivotArea dataOnly="0" labelOnly="1" fieldPosition="0">
        <references count="2">
          <reference field="0" count="1" selected="0">
            <x v="18"/>
          </reference>
          <reference field="1" count="1">
            <x v="33"/>
          </reference>
        </references>
      </pivotArea>
    </format>
    <format dxfId="430">
      <pivotArea dataOnly="0" labelOnly="1" fieldPosition="0">
        <references count="2">
          <reference field="0" count="1" selected="0">
            <x v="19"/>
          </reference>
          <reference field="1" count="1">
            <x v="40"/>
          </reference>
        </references>
      </pivotArea>
    </format>
    <format dxfId="429">
      <pivotArea dataOnly="0" labelOnly="1" fieldPosition="0">
        <references count="2">
          <reference field="0" count="1" selected="0">
            <x v="20"/>
          </reference>
          <reference field="1" count="1">
            <x v="17"/>
          </reference>
        </references>
      </pivotArea>
    </format>
    <format dxfId="428">
      <pivotArea dataOnly="0" labelOnly="1" fieldPosition="0">
        <references count="2">
          <reference field="0" count="1" selected="0">
            <x v="21"/>
          </reference>
          <reference field="1" count="2">
            <x v="18"/>
            <x v="19"/>
          </reference>
        </references>
      </pivotArea>
    </format>
    <format dxfId="427">
      <pivotArea dataOnly="0" labelOnly="1" fieldPosition="0">
        <references count="2">
          <reference field="0" count="1" selected="0">
            <x v="22"/>
          </reference>
          <reference field="1" count="1">
            <x v="22"/>
          </reference>
        </references>
      </pivotArea>
    </format>
    <format dxfId="426">
      <pivotArea dataOnly="0" labelOnly="1" fieldPosition="0">
        <references count="2">
          <reference field="0" count="1" selected="0">
            <x v="24"/>
          </reference>
          <reference field="1" count="1">
            <x v="23"/>
          </reference>
        </references>
      </pivotArea>
    </format>
    <format dxfId="425">
      <pivotArea dataOnly="0" labelOnly="1" fieldPosition="0">
        <references count="2">
          <reference field="0" count="1" selected="0">
            <x v="25"/>
          </reference>
          <reference field="1" count="1">
            <x v="26"/>
          </reference>
        </references>
      </pivotArea>
    </format>
    <format dxfId="424">
      <pivotArea dataOnly="0" labelOnly="1" fieldPosition="0">
        <references count="2">
          <reference field="0" count="1" selected="0">
            <x v="26"/>
          </reference>
          <reference field="1" count="3">
            <x v="4"/>
            <x v="28"/>
            <x v="42"/>
          </reference>
        </references>
      </pivotArea>
    </format>
    <format dxfId="423">
      <pivotArea dataOnly="0" labelOnly="1" fieldPosition="0">
        <references count="2">
          <reference field="0" count="1" selected="0">
            <x v="28"/>
          </reference>
          <reference field="1" count="1">
            <x v="16"/>
          </reference>
        </references>
      </pivotArea>
    </format>
    <format dxfId="422">
      <pivotArea dataOnly="0" labelOnly="1" fieldPosition="0">
        <references count="2">
          <reference field="0" count="1" selected="0">
            <x v="30"/>
          </reference>
          <reference field="1" count="1">
            <x v="32"/>
          </reference>
        </references>
      </pivotArea>
    </format>
    <format dxfId="421">
      <pivotArea dataOnly="0" labelOnly="1" fieldPosition="0">
        <references count="2">
          <reference field="0" count="1" selected="0">
            <x v="32"/>
          </reference>
          <reference field="1" count="1">
            <x v="34"/>
          </reference>
        </references>
      </pivotArea>
    </format>
    <format dxfId="420">
      <pivotArea dataOnly="0" labelOnly="1" fieldPosition="0">
        <references count="2">
          <reference field="0" count="1" selected="0">
            <x v="33"/>
          </reference>
          <reference field="1" count="2">
            <x v="15"/>
            <x v="35"/>
          </reference>
        </references>
      </pivotArea>
    </format>
    <format dxfId="419">
      <pivotArea dataOnly="0" labelOnly="1" fieldPosition="0">
        <references count="2">
          <reference field="0" count="1" selected="0">
            <x v="34"/>
          </reference>
          <reference field="1" count="5">
            <x v="1"/>
            <x v="27"/>
            <x v="29"/>
            <x v="30"/>
            <x v="36"/>
          </reference>
        </references>
      </pivotArea>
    </format>
    <format dxfId="418">
      <pivotArea dataOnly="0" labelOnly="1" fieldPosition="0">
        <references count="2">
          <reference field="0" count="1" selected="0">
            <x v="35"/>
          </reference>
          <reference field="1" count="2">
            <x v="26"/>
            <x v="37"/>
          </reference>
        </references>
      </pivotArea>
    </format>
    <format dxfId="417">
      <pivotArea dataOnly="0" labelOnly="1" fieldPosition="0">
        <references count="2">
          <reference field="0" count="1" selected="0">
            <x v="37"/>
          </reference>
          <reference field="1" count="1">
            <x v="38"/>
          </reference>
        </references>
      </pivotArea>
    </format>
    <format dxfId="416">
      <pivotArea dataOnly="0" labelOnly="1" outline="0" fieldPosition="0">
        <references count="1">
          <reference field="4294967294" count="8">
            <x v="0"/>
            <x v="1"/>
            <x v="2"/>
            <x v="3"/>
            <x v="4"/>
            <x v="5"/>
            <x v="6"/>
            <x v="7"/>
          </reference>
        </references>
      </pivotArea>
    </format>
    <format dxfId="415">
      <pivotArea type="all" dataOnly="0" outline="0" fieldPosition="0"/>
    </format>
    <format dxfId="414">
      <pivotArea outline="0" collapsedLevelsAreSubtotals="1" fieldPosition="0"/>
    </format>
    <format dxfId="413">
      <pivotArea field="0" type="button" dataOnly="0" labelOnly="1" outline="0" axis="axisRow" fieldPosition="0"/>
    </format>
    <format dxfId="412">
      <pivotArea dataOnly="0" labelOnly="1" fieldPosition="0">
        <references count="1">
          <reference field="0" count="0"/>
        </references>
      </pivotArea>
    </format>
    <format dxfId="411">
      <pivotArea dataOnly="0" labelOnly="1" grandRow="1" outline="0" fieldPosition="0"/>
    </format>
    <format dxfId="410">
      <pivotArea dataOnly="0" labelOnly="1" fieldPosition="0">
        <references count="2">
          <reference field="0" count="1" selected="0">
            <x v="1"/>
          </reference>
          <reference field="1" count="2">
            <x v="11"/>
            <x v="14"/>
          </reference>
        </references>
      </pivotArea>
    </format>
    <format dxfId="409">
      <pivotArea dataOnly="0" labelOnly="1" fieldPosition="0">
        <references count="2">
          <reference field="0" count="1" selected="0">
            <x v="2"/>
          </reference>
          <reference field="1" count="3">
            <x v="0"/>
            <x v="6"/>
            <x v="12"/>
          </reference>
        </references>
      </pivotArea>
    </format>
    <format dxfId="408">
      <pivotArea dataOnly="0" labelOnly="1" fieldPosition="0">
        <references count="2">
          <reference field="0" count="1" selected="0">
            <x v="3"/>
          </reference>
          <reference field="1" count="2">
            <x v="2"/>
            <x v="20"/>
          </reference>
        </references>
      </pivotArea>
    </format>
    <format dxfId="407">
      <pivotArea dataOnly="0" labelOnly="1" fieldPosition="0">
        <references count="2">
          <reference field="0" count="1" selected="0">
            <x v="5"/>
          </reference>
          <reference field="1" count="1">
            <x v="39"/>
          </reference>
        </references>
      </pivotArea>
    </format>
    <format dxfId="406">
      <pivotArea dataOnly="0" labelOnly="1" fieldPosition="0">
        <references count="2">
          <reference field="0" count="1" selected="0">
            <x v="7"/>
          </reference>
          <reference field="1" count="1">
            <x v="43"/>
          </reference>
        </references>
      </pivotArea>
    </format>
    <format dxfId="405">
      <pivotArea dataOnly="0" labelOnly="1" fieldPosition="0">
        <references count="2">
          <reference field="0" count="1" selected="0">
            <x v="9"/>
          </reference>
          <reference field="1" count="1">
            <x v="7"/>
          </reference>
        </references>
      </pivotArea>
    </format>
    <format dxfId="404">
      <pivotArea dataOnly="0" labelOnly="1" fieldPosition="0">
        <references count="2">
          <reference field="0" count="1" selected="0">
            <x v="10"/>
          </reference>
          <reference field="1" count="1">
            <x v="8"/>
          </reference>
        </references>
      </pivotArea>
    </format>
    <format dxfId="403">
      <pivotArea dataOnly="0" labelOnly="1" fieldPosition="0">
        <references count="2">
          <reference field="0" count="1" selected="0">
            <x v="11"/>
          </reference>
          <reference field="1" count="1">
            <x v="9"/>
          </reference>
        </references>
      </pivotArea>
    </format>
    <format dxfId="402">
      <pivotArea dataOnly="0" labelOnly="1" fieldPosition="0">
        <references count="2">
          <reference field="0" count="1" selected="0">
            <x v="13"/>
          </reference>
          <reference field="1" count="1">
            <x v="10"/>
          </reference>
        </references>
      </pivotArea>
    </format>
    <format dxfId="401">
      <pivotArea dataOnly="0" labelOnly="1" fieldPosition="0">
        <references count="2">
          <reference field="0" count="1" selected="0">
            <x v="14"/>
          </reference>
          <reference field="1" count="1">
            <x v="13"/>
          </reference>
        </references>
      </pivotArea>
    </format>
    <format dxfId="400">
      <pivotArea dataOnly="0" labelOnly="1" fieldPosition="0">
        <references count="2">
          <reference field="0" count="1" selected="0">
            <x v="15"/>
          </reference>
          <reference field="1" count="4">
            <x v="3"/>
            <x v="5"/>
            <x v="24"/>
            <x v="25"/>
          </reference>
        </references>
      </pivotArea>
    </format>
    <format dxfId="399">
      <pivotArea dataOnly="0" labelOnly="1" fieldPosition="0">
        <references count="2">
          <reference field="0" count="1" selected="0">
            <x v="16"/>
          </reference>
          <reference field="1" count="1">
            <x v="21"/>
          </reference>
        </references>
      </pivotArea>
    </format>
    <format dxfId="398">
      <pivotArea dataOnly="0" labelOnly="1" fieldPosition="0">
        <references count="2">
          <reference field="0" count="1" selected="0">
            <x v="18"/>
          </reference>
          <reference field="1" count="1">
            <x v="33"/>
          </reference>
        </references>
      </pivotArea>
    </format>
    <format dxfId="397">
      <pivotArea dataOnly="0" labelOnly="1" fieldPosition="0">
        <references count="2">
          <reference field="0" count="1" selected="0">
            <x v="19"/>
          </reference>
          <reference field="1" count="1">
            <x v="40"/>
          </reference>
        </references>
      </pivotArea>
    </format>
    <format dxfId="396">
      <pivotArea dataOnly="0" labelOnly="1" fieldPosition="0">
        <references count="2">
          <reference field="0" count="1" selected="0">
            <x v="20"/>
          </reference>
          <reference field="1" count="1">
            <x v="17"/>
          </reference>
        </references>
      </pivotArea>
    </format>
    <format dxfId="395">
      <pivotArea dataOnly="0" labelOnly="1" fieldPosition="0">
        <references count="2">
          <reference field="0" count="1" selected="0">
            <x v="21"/>
          </reference>
          <reference field="1" count="2">
            <x v="18"/>
            <x v="19"/>
          </reference>
        </references>
      </pivotArea>
    </format>
    <format dxfId="394">
      <pivotArea dataOnly="0" labelOnly="1" fieldPosition="0">
        <references count="2">
          <reference field="0" count="1" selected="0">
            <x v="22"/>
          </reference>
          <reference field="1" count="1">
            <x v="22"/>
          </reference>
        </references>
      </pivotArea>
    </format>
    <format dxfId="393">
      <pivotArea dataOnly="0" labelOnly="1" fieldPosition="0">
        <references count="2">
          <reference field="0" count="1" selected="0">
            <x v="24"/>
          </reference>
          <reference field="1" count="1">
            <x v="23"/>
          </reference>
        </references>
      </pivotArea>
    </format>
    <format dxfId="392">
      <pivotArea dataOnly="0" labelOnly="1" fieldPosition="0">
        <references count="2">
          <reference field="0" count="1" selected="0">
            <x v="25"/>
          </reference>
          <reference field="1" count="1">
            <x v="26"/>
          </reference>
        </references>
      </pivotArea>
    </format>
    <format dxfId="391">
      <pivotArea dataOnly="0" labelOnly="1" fieldPosition="0">
        <references count="2">
          <reference field="0" count="1" selected="0">
            <x v="26"/>
          </reference>
          <reference field="1" count="3">
            <x v="4"/>
            <x v="28"/>
            <x v="42"/>
          </reference>
        </references>
      </pivotArea>
    </format>
    <format dxfId="390">
      <pivotArea dataOnly="0" labelOnly="1" fieldPosition="0">
        <references count="2">
          <reference field="0" count="1" selected="0">
            <x v="28"/>
          </reference>
          <reference field="1" count="1">
            <x v="16"/>
          </reference>
        </references>
      </pivotArea>
    </format>
    <format dxfId="389">
      <pivotArea dataOnly="0" labelOnly="1" fieldPosition="0">
        <references count="2">
          <reference field="0" count="1" selected="0">
            <x v="30"/>
          </reference>
          <reference field="1" count="1">
            <x v="32"/>
          </reference>
        </references>
      </pivotArea>
    </format>
    <format dxfId="388">
      <pivotArea dataOnly="0" labelOnly="1" fieldPosition="0">
        <references count="2">
          <reference field="0" count="1" selected="0">
            <x v="32"/>
          </reference>
          <reference field="1" count="1">
            <x v="34"/>
          </reference>
        </references>
      </pivotArea>
    </format>
    <format dxfId="387">
      <pivotArea dataOnly="0" labelOnly="1" fieldPosition="0">
        <references count="2">
          <reference field="0" count="1" selected="0">
            <x v="33"/>
          </reference>
          <reference field="1" count="2">
            <x v="15"/>
            <x v="35"/>
          </reference>
        </references>
      </pivotArea>
    </format>
    <format dxfId="386">
      <pivotArea dataOnly="0" labelOnly="1" fieldPosition="0">
        <references count="2">
          <reference field="0" count="1" selected="0">
            <x v="34"/>
          </reference>
          <reference field="1" count="5">
            <x v="1"/>
            <x v="27"/>
            <x v="29"/>
            <x v="30"/>
            <x v="36"/>
          </reference>
        </references>
      </pivotArea>
    </format>
    <format dxfId="385">
      <pivotArea dataOnly="0" labelOnly="1" fieldPosition="0">
        <references count="2">
          <reference field="0" count="1" selected="0">
            <x v="35"/>
          </reference>
          <reference field="1" count="2">
            <x v="26"/>
            <x v="37"/>
          </reference>
        </references>
      </pivotArea>
    </format>
    <format dxfId="384">
      <pivotArea dataOnly="0" labelOnly="1" fieldPosition="0">
        <references count="2">
          <reference field="0" count="1" selected="0">
            <x v="37"/>
          </reference>
          <reference field="1" count="1">
            <x v="38"/>
          </reference>
        </references>
      </pivotArea>
    </format>
    <format dxfId="383">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2"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2"/>
          </reference>
        </references>
      </pivotArea>
    </format>
    <format dxfId="195">
      <pivotArea dataOnly="0" labelOnly="1" fieldPosition="0">
        <references count="1">
          <reference field="0" count="1">
            <x v="2"/>
          </reference>
        </references>
      </pivotArea>
    </format>
    <format dxfId="194">
      <pivotArea collapsedLevelsAreSubtotals="1" fieldPosition="0">
        <references count="1">
          <reference field="0" count="1">
            <x v="3"/>
          </reference>
        </references>
      </pivotArea>
    </format>
    <format dxfId="193">
      <pivotArea dataOnly="0" labelOnly="1" fieldPosition="0">
        <references count="1">
          <reference field="0" count="1">
            <x v="3"/>
          </reference>
        </references>
      </pivotArea>
    </format>
    <format dxfId="192">
      <pivotArea collapsedLevelsAreSubtotals="1" fieldPosition="0">
        <references count="1">
          <reference field="0" count="1">
            <x v="3"/>
          </reference>
        </references>
      </pivotArea>
    </format>
    <format dxfId="191">
      <pivotArea dataOnly="0" labelOnly="1" fieldPosition="0">
        <references count="1">
          <reference field="0" count="1">
            <x v="3"/>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1"/>
          </reference>
        </references>
      </pivotArea>
    </format>
    <format dxfId="182">
      <pivotArea dataOnly="0" labelOnly="1" fieldPosition="0">
        <references count="1">
          <reference field="0" count="1">
            <x v="2"/>
          </reference>
        </references>
      </pivotArea>
    </format>
    <format dxfId="181">
      <pivotArea collapsedLevelsAreSubtotals="1" fieldPosition="0">
        <references count="2">
          <reference field="4294967294" count="1" selected="0">
            <x v="0"/>
          </reference>
          <reference field="0" count="1">
            <x v="1"/>
          </reference>
        </references>
      </pivotArea>
    </format>
    <format dxfId="180">
      <pivotArea collapsedLevelsAreSubtotals="1" fieldPosition="0">
        <references count="2">
          <reference field="4294967294" count="1" selected="0">
            <x v="0"/>
          </reference>
          <reference field="0" count="1">
            <x v="2"/>
          </reference>
        </references>
      </pivotArea>
    </format>
    <format dxfId="179">
      <pivotArea collapsedLevelsAreSubtotals="1" fieldPosition="0">
        <references count="2">
          <reference field="4294967294" count="1" selected="0">
            <x v="1"/>
          </reference>
          <reference field="0" count="1">
            <x v="1"/>
          </reference>
        </references>
      </pivotArea>
    </format>
    <format dxfId="178">
      <pivotArea collapsedLevelsAreSubtotals="1" fieldPosition="0">
        <references count="2">
          <reference field="4294967294" count="1" selected="0">
            <x v="2"/>
          </reference>
          <reference field="0" count="1">
            <x v="1"/>
          </reference>
        </references>
      </pivotArea>
    </format>
    <format dxfId="177">
      <pivotArea collapsedLevelsAreSubtotals="1" fieldPosition="0">
        <references count="2">
          <reference field="4294967294" count="1" selected="0">
            <x v="3"/>
          </reference>
          <reference field="0" count="1">
            <x v="1"/>
          </reference>
        </references>
      </pivotArea>
    </format>
    <format dxfId="176">
      <pivotArea collapsedLevelsAreSubtotals="1" fieldPosition="0">
        <references count="2">
          <reference field="4294967294" count="3" selected="0">
            <x v="1"/>
            <x v="2"/>
            <x v="3"/>
          </reference>
          <reference field="0" count="1">
            <x v="2"/>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1"/>
          </reference>
        </references>
      </pivotArea>
    </format>
    <format dxfId="173">
      <pivotArea collapsedLevelsAreSubtotals="1" fieldPosition="0">
        <references count="2">
          <reference field="4294967294" count="1" selected="0">
            <x v="5"/>
          </reference>
          <reference field="0" count="1">
            <x v="1"/>
          </reference>
        </references>
      </pivotArea>
    </format>
    <format dxfId="172">
      <pivotArea collapsedLevelsAreSubtotals="1" fieldPosition="0">
        <references count="2">
          <reference field="4294967294" count="1" selected="0">
            <x v="4"/>
          </reference>
          <reference field="0" count="1">
            <x v="2"/>
          </reference>
        </references>
      </pivotArea>
    </format>
    <format dxfId="171">
      <pivotArea collapsedLevelsAreSubtotals="1" fieldPosition="0">
        <references count="2">
          <reference field="4294967294" count="1" selected="0">
            <x v="5"/>
          </reference>
          <reference field="0" count="1">
            <x v="2"/>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1"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9"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3"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6"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 getAggPBCO2Emissions" backgroundRefresh="0" growShrinkType="overwriteClear" adjustColumnWidth="0" connectionId="11" xr16:uid="{00000000-0016-0000-0A00-000007000000}" autoFormatId="16" applyNumberFormats="0" applyBorderFormats="0" applyFontFormats="0" applyPatternFormats="0" applyAlignmentFormats="0" applyWidthHeightFormats="0">
  <queryTableRefresh nextId="13" unboundColumnsRight="4">
    <queryTableFields count="10">
      <queryTableField id="2" name="antalPerioden" tableColumnId="2"/>
      <queryTableField id="3" name="antalPeriodenFG" tableColumnId="3"/>
      <queryTableField id="7" dataBound="0" tableColumnId="7"/>
      <queryTableField id="6" dataBound="0" tableColumnId="6"/>
      <queryTableField id="4" name="antalAret" tableColumnId="4"/>
      <queryTableField id="5" name="antalAretFG" tableColumnId="5"/>
      <queryTableField id="9" dataBound="0" tableColumnId="8"/>
      <queryTableField id="8" dataBound="0" tableColumnId="9"/>
      <queryTableField id="11" dataBound="0" tableColumnId="11"/>
      <queryTableField id="12" dataBound="0" tableColumnId="12"/>
    </queryTableFields>
    <queryTableDeletedFields count="1">
      <deletedField name="co2utsläpp"/>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2"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7"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84" dataDxfId="483">
  <tableColumns count="4">
    <tableColumn id="1" xr3:uid="{00000000-0010-0000-0000-000001000000}" uniqueName="1" name="Grupp" queryTableFieldId="1" dataDxfId="482"/>
    <tableColumn id="2" xr3:uid="{00000000-0010-0000-0000-000002000000}" uniqueName="2" name="År" queryTableFieldId="2" headerRowDxfId="481" dataDxfId="480"/>
    <tableColumn id="3" xr3:uid="{00000000-0010-0000-0000-000003000000}" uniqueName="3" name="Månaden" queryTableFieldId="3" headerRowDxfId="479" dataDxfId="478"/>
    <tableColumn id="4" xr3:uid="{00000000-0010-0000-0000-000004000000}" uniqueName="4" name="YTD" queryTableFieldId="4" headerRowDxfId="477" dataDxfId="4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5" tableType="queryTable" totalsRowCount="1" headerRowDxfId="236" dataDxfId="235" totalsRowDxfId="234">
  <autoFilter ref="A8:Q64"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0" tableType="queryTable" totalsRowCount="1" headerRowDxfId="164" dataDxfId="163" totalsRowDxfId="162">
  <autoFilter ref="A7:I29"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6"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41" tableType="queryTable" totalsRowCount="1" headerRowDxfId="475" dataDxfId="474" totalsRowDxfId="473">
  <tableColumns count="12">
    <tableColumn id="1" xr3:uid="{00000000-0010-0000-0100-000001000000}" uniqueName="1" name="no" queryTableFieldId="1" dataDxfId="472" totalsRowDxfId="471"/>
    <tableColumn id="2" xr3:uid="{00000000-0010-0000-0100-000002000000}" uniqueName="2" name="modell" totalsRowLabel="Totalt" queryTableFieldId="2" dataDxfId="470" totalsRowDxfId="469"/>
    <tableColumn id="3" xr3:uid="{00000000-0010-0000-0100-000003000000}" uniqueName="3" name="antalPerioden" totalsRowFunction="sum" queryTableFieldId="3" dataDxfId="468" totalsRowDxfId="467"/>
    <tableColumn id="4" xr3:uid="{00000000-0010-0000-0100-000004000000}" uniqueName="4" name="antalFGPeriod" totalsRowFunction="sum" queryTableFieldId="4" dataDxfId="466" totalsRowDxfId="465"/>
    <tableColumn id="5" xr3:uid="{00000000-0010-0000-0100-000005000000}" uniqueName="5" name="antalÅret" totalsRowFunction="sum" queryTableFieldId="5" dataDxfId="464" totalsRowDxfId="463"/>
    <tableColumn id="6" xr3:uid="{00000000-0010-0000-0100-000006000000}" uniqueName="6" name="antalFGAr" totalsRowFunction="sum" queryTableFieldId="6" dataDxfId="462" totalsRowDxfId="461"/>
    <tableColumn id="7" xr3:uid="{00000000-0010-0000-0100-000007000000}" uniqueName="7" name="changePeriod" totalsRowFunction="custom" queryTableFieldId="7" dataDxfId="460" totalsRowDxfId="459">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58" totalsRowDxfId="457">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56" totalsRowDxfId="455">
      <totalsRowFormula>TEXT(100,"0,00")</totalsRowFormula>
    </tableColumn>
    <tableColumn id="10" xr3:uid="{00000000-0010-0000-0100-00000A000000}" uniqueName="10" name="shrYear" totalsRowFunction="custom" queryTableFieldId="10" dataDxfId="454" totalsRowDxfId="453">
      <totalsRowFormula>TEXT(100,"0,00")</totalsRowFormula>
    </tableColumn>
    <tableColumn id="11" xr3:uid="{00000000-0010-0000-0100-00000B000000}" uniqueName="11" name="shrPrevPeriod" totalsRowFunction="custom" queryTableFieldId="11" dataDxfId="452" totalsRowDxfId="451">
      <totalsRowFormula>TEXT(100,"0,00")</totalsRowFormula>
    </tableColumn>
    <tableColumn id="12" xr3:uid="{00000000-0010-0000-0100-00000C000000}" uniqueName="12" name="shrPrevYear" totalsRowFunction="custom" queryTableFieldId="12" dataDxfId="450" totalsRowDxfId="449">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82" dataDxfId="381" totalsRowDxfId="379" tableBorderDxfId="380" totalsRowBorderDxfId="378">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77" totalsRowDxfId="376"/>
    <tableColumn id="2" xr3:uid="{00000000-0010-0000-0200-000002000000}" uniqueName="2" name="antalPerioden" totalsRowFunction="sum" queryTableFieldId="2" dataDxfId="375" totalsRowDxfId="374"/>
    <tableColumn id="3" xr3:uid="{00000000-0010-0000-0200-000003000000}" uniqueName="3" name="antalPeriodenFG" totalsRowFunction="sum" queryTableFieldId="3" dataDxfId="373" totalsRowDxfId="372"/>
    <tableColumn id="6" xr3:uid="{00000000-0010-0000-0200-000006000000}" uniqueName="6" name="Column1" totalsRowFunction="sum" queryTableFieldId="6" dataDxfId="371" totalsRowDxfId="370">
      <calculatedColumnFormula>IF(getAggPBFuelTypes[[#This Row],[antalPerioden]]&gt;0,((B8/getAggPBFuelTypes[[#Totals],[antalPerioden]]) * 100),0)</calculatedColumnFormula>
    </tableColumn>
    <tableColumn id="7" xr3:uid="{00000000-0010-0000-0200-000007000000}" uniqueName="7" name="Column2" totalsRowFunction="custom" queryTableFieldId="7" dataDxfId="369" totalsRowDxfId="368">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67" totalsRowDxfId="366"/>
    <tableColumn id="5" xr3:uid="{00000000-0010-0000-0200-000005000000}" uniqueName="5" name="antalAretFG" totalsRowFunction="sum" queryTableFieldId="5" dataDxfId="365" totalsRowDxfId="364"/>
    <tableColumn id="8" xr3:uid="{00000000-0010-0000-0200-000008000000}" uniqueName="8" name="Column3" totalsRowFunction="custom" queryTableFieldId="9" dataDxfId="363" totalsRowDxfId="362">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61" totalsRowDxfId="360">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59" totalsRowDxfId="358">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57" tableType="queryTable" totalsRowCount="1" headerRowDxfId="357" dataDxfId="356" totalsRowDxfId="355">
  <autoFilter ref="A41:M256" xr:uid="{00000000-0009-0000-0100-000004000000}"/>
  <tableColumns count="13">
    <tableColumn id="1" xr3:uid="{00000000-0010-0000-0300-000001000000}" uniqueName="1" name="no" queryTableFieldId="1" dataDxfId="354" totalsRowDxfId="353"/>
    <tableColumn id="2" xr3:uid="{00000000-0010-0000-0300-000002000000}" uniqueName="2" name="modben" totalsRowLabel="Totalt" queryTableFieldId="2" dataDxfId="352" totalsRowDxfId="351"/>
    <tableColumn id="3" xr3:uid="{00000000-0010-0000-0300-000003000000}" uniqueName="3" name="miljoklass" queryTableFieldId="3" dataDxfId="350" totalsRowDxfId="349"/>
    <tableColumn id="4" xr3:uid="{00000000-0010-0000-0300-000004000000}" uniqueName="4" name="antalPerioden" totalsRowFunction="sum" queryTableFieldId="4" dataDxfId="348" totalsRowDxfId="347"/>
    <tableColumn id="5" xr3:uid="{00000000-0010-0000-0300-000005000000}" uniqueName="5" name="antalFGPeriod" totalsRowFunction="sum" queryTableFieldId="5" dataDxfId="346" totalsRowDxfId="345"/>
    <tableColumn id="6" xr3:uid="{00000000-0010-0000-0300-000006000000}" uniqueName="6" name="antalÅret" totalsRowFunction="sum" queryTableFieldId="6" dataDxfId="344" totalsRowDxfId="343"/>
    <tableColumn id="7" xr3:uid="{00000000-0010-0000-0300-000007000000}" uniqueName="7" name="antalFGAr" totalsRowFunction="sum" queryTableFieldId="7" dataDxfId="342" totalsRowDxfId="341"/>
    <tableColumn id="8" xr3:uid="{00000000-0010-0000-0300-000008000000}" uniqueName="8" name="changePeriod" totalsRowFunction="custom" queryTableFieldId="8" dataDxfId="340" totalsRowDxfId="339">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38" totalsRowDxfId="337">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36" totalsRowDxfId="335">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34" totalsRowDxfId="333">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32" totalsRowDxfId="331">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30" totalsRowDxfId="329">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55" tableType="queryTable" totalsRowCount="1" headerRowDxfId="328" dataDxfId="327" totalsRowDxfId="326">
  <autoFilter ref="A39:M254"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54">
    <sortCondition descending="1" ref="F40"/>
  </sortState>
  <tableColumns count="13">
    <tableColumn id="1" xr3:uid="{00000000-0010-0000-0400-000001000000}" uniqueName="1" name="no" queryTableFieldId="1" dataDxfId="325" totalsRowDxfId="324"/>
    <tableColumn id="2" xr3:uid="{00000000-0010-0000-0400-000002000000}" uniqueName="2" name="modben" totalsRowLabel="Totalt" queryTableFieldId="2" dataDxfId="323" totalsRowDxfId="322"/>
    <tableColumn id="3" xr3:uid="{00000000-0010-0000-0400-000003000000}" uniqueName="3" name="miljoklass" queryTableFieldId="3" dataDxfId="321" totalsRowDxfId="320"/>
    <tableColumn id="4" xr3:uid="{00000000-0010-0000-0400-000004000000}" uniqueName="4" name="antalPerioden" totalsRowFunction="sum" queryTableFieldId="4" dataDxfId="319" totalsRowDxfId="318"/>
    <tableColumn id="5" xr3:uid="{00000000-0010-0000-0400-000005000000}" uniqueName="5" name="antalFGPeriod" totalsRowFunction="sum" queryTableFieldId="5" dataDxfId="317" totalsRowDxfId="316"/>
    <tableColumn id="6" xr3:uid="{00000000-0010-0000-0400-000006000000}" uniqueName="6" name="antalÅret" totalsRowFunction="sum" queryTableFieldId="6" dataDxfId="315" totalsRowDxfId="314"/>
    <tableColumn id="7" xr3:uid="{00000000-0010-0000-0400-000007000000}" uniqueName="7" name="antalFGAr" totalsRowFunction="sum" queryTableFieldId="7" dataDxfId="313" totalsRowDxfId="312"/>
    <tableColumn id="8" xr3:uid="{00000000-0010-0000-0400-000008000000}" uniqueName="8" name="changePeriod" totalsRowFunction="custom" queryTableFieldId="8" dataDxfId="311" totalsRowDxfId="310">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309" totalsRowDxfId="308">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307" totalsRowDxfId="306">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305" totalsRowDxfId="304">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303" totalsRowDxfId="302">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301" totalsRowDxfId="300">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56" tableType="queryTable" totalsRowCount="1" headerRowDxfId="299" dataDxfId="298" totalsRowDxfId="297">
  <autoFilter ref="A40:M255"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55">
    <sortCondition descending="1" ref="F43"/>
  </sortState>
  <tableColumns count="13">
    <tableColumn id="1" xr3:uid="{00000000-0010-0000-0500-000001000000}" uniqueName="1" name="no" queryTableFieldId="1" dataDxfId="296" totalsRowDxfId="295"/>
    <tableColumn id="2" xr3:uid="{00000000-0010-0000-0500-000002000000}" uniqueName="2" name="modben" totalsRowLabel="Totalt" queryTableFieldId="2" dataDxfId="294" totalsRowDxfId="293"/>
    <tableColumn id="3" xr3:uid="{00000000-0010-0000-0500-000003000000}" uniqueName="3" name="miljoklass" queryTableFieldId="3" dataDxfId="292" totalsRowDxfId="291"/>
    <tableColumn id="4" xr3:uid="{00000000-0010-0000-0500-000004000000}" uniqueName="4" name="antalPerioden" totalsRowFunction="sum" queryTableFieldId="4" dataDxfId="290" totalsRowDxfId="289"/>
    <tableColumn id="5" xr3:uid="{00000000-0010-0000-0500-000005000000}" uniqueName="5" name="antalFGPeriod" totalsRowFunction="sum" queryTableFieldId="5" dataDxfId="288" totalsRowDxfId="287"/>
    <tableColumn id="6" xr3:uid="{00000000-0010-0000-0500-000006000000}" uniqueName="6" name="antalÅret" totalsRowFunction="sum" queryTableFieldId="6" dataDxfId="286" totalsRowDxfId="285"/>
    <tableColumn id="7" xr3:uid="{00000000-0010-0000-0500-000007000000}" uniqueName="7" name="antalFGAr" totalsRowFunction="sum" queryTableFieldId="7" dataDxfId="284" totalsRowDxfId="283"/>
    <tableColumn id="8" xr3:uid="{00000000-0010-0000-0500-000008000000}" uniqueName="8" name="changePeriod" totalsRowFunction="custom" queryTableFieldId="8" dataDxfId="282" totalsRowDxfId="281">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80" totalsRowDxfId="279">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78" totalsRowDxfId="277">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76" totalsRowDxfId="275">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74" totalsRowDxfId="273">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72" totalsRowDxfId="271">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getAggPBCO2Emissions" displayName="getAggPBCO2Emissions" ref="B7:K14" tableType="queryTable" totalsRowShown="0" headerRowDxfId="270" dataDxfId="269">
  <tableColumns count="10">
    <tableColumn id="2" xr3:uid="{00000000-0010-0000-0700-000002000000}" uniqueName="2" name="antalPerioden" queryTableFieldId="2" dataDxfId="268"/>
    <tableColumn id="3" xr3:uid="{00000000-0010-0000-0700-000003000000}" uniqueName="3" name="antalPeriodenFG" queryTableFieldId="3" dataDxfId="267"/>
    <tableColumn id="7" xr3:uid="{00000000-0010-0000-0700-000007000000}" uniqueName="7" name="Column2" queryTableFieldId="7" dataDxfId="266">
      <calculatedColumnFormula>(getAggPBCO2Emissions[[#This Row],[antalPerioden]]/$B$15)*100</calculatedColumnFormula>
    </tableColumn>
    <tableColumn id="6" xr3:uid="{00000000-0010-0000-0700-000006000000}" uniqueName="6" name="Column1" queryTableFieldId="6" dataDxfId="265">
      <calculatedColumnFormula>(getAggPBCO2Emissions[[#This Row],[antalPeriodenFG]]/$C$15)*100</calculatedColumnFormula>
    </tableColumn>
    <tableColumn id="4" xr3:uid="{00000000-0010-0000-0700-000004000000}" uniqueName="4" name="antalAret" queryTableFieldId="4" dataDxfId="264"/>
    <tableColumn id="5" xr3:uid="{00000000-0010-0000-0700-000005000000}" uniqueName="5" name="antalAretFG" queryTableFieldId="5" dataDxfId="263"/>
    <tableColumn id="8" xr3:uid="{00000000-0010-0000-0700-000008000000}" uniqueName="8" name="Column3" queryTableFieldId="9" dataDxfId="262">
      <calculatedColumnFormula>(getAggPBCO2Emissions[[#This Row],[antalAret]]/$F$15)*100</calculatedColumnFormula>
    </tableColumn>
    <tableColumn id="9" xr3:uid="{00000000-0010-0000-0700-000009000000}" uniqueName="9" name="Column4" queryTableFieldId="8" dataDxfId="261">
      <calculatedColumnFormula>(getAggPBCO2Emissions[[#This Row],[antalAretFG]]/$G$15)*100</calculatedColumnFormula>
    </tableColumn>
    <tableColumn id="11" xr3:uid="{00000000-0010-0000-0700-00000B000000}" uniqueName="11" name="Column5" queryTableFieldId="11" dataDxfId="260">
      <calculatedColumnFormula>((( getAggPBCO2Emissions[[#This Row],[antalPerioden]]  / getAggPBCO2Emissions[[#This Row],[antalPeriodenFG]]) - 1) * 100)</calculatedColumnFormula>
    </tableColumn>
    <tableColumn id="12" xr3:uid="{00000000-0010-0000-0700-00000C000000}" uniqueName="12" name="Column6" queryTableFieldId="12" dataDxfId="259">
      <calculatedColumnFormula>((( getAggPBCO2Emissions[[#This Row],[antalAret]]  / getAggPBCO2Emissions[[#This Row],[antalAretFG]])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27:K35"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(B28/$B$36)*100</calculatedColumnFormula>
    </tableColumn>
    <tableColumn id="7" xr3:uid="{00000000-0010-0000-0800-000007000000}" uniqueName="7" name="Column2" queryTableFieldId="7" dataDxfId="248" totalsRowDxfId="247">
      <calculatedColumnFormula>(C28/$C$36)*100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(F28/$F$36)*100</calculatedColumnFormula>
    </tableColumn>
    <tableColumn id="9" xr3:uid="{00000000-0010-0000-0800-000009000000}" uniqueName="9" name="Column4" queryTableFieldId="9" dataDxfId="241">
      <calculatedColumnFormula>(G28/$G$36)*100</calculatedColumnFormula>
    </tableColumn>
    <tableColumn id="10" xr3:uid="{00000000-0010-0000-0800-00000A000000}" uniqueName="10" name="Column5" queryTableFieldId="10" dataDxfId="240">
      <calculatedColumnFormula>((( B28  / C28) - 1) * 100)</calculatedColumnFormula>
    </tableColumn>
    <tableColumn id="11" xr3:uid="{00000000-0010-0000-0800-00000B000000}" uniqueName="11" name="Column6" queryTableFieldId="11" dataDxfId="239">
      <calculatedColumnFormula>((( F28  / G28) - 1) * 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152:B154"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5" Type="http://schemas.openxmlformats.org/officeDocument/2006/relationships/table" Target="../tables/table9.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3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printerSettings" Target="../printerSettings/printerSettings18.bin"/><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3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I46" sqref="I46"/>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7"/>
      <c r="B7" s="60" t="s">
        <v>493</v>
      </c>
      <c r="C7" s="60"/>
      <c r="D7" s="60"/>
      <c r="E7" s="60"/>
      <c r="F7" s="60"/>
      <c r="G7" s="60"/>
      <c r="H7" s="185" t="s">
        <v>1240</v>
      </c>
      <c r="I7" s="60"/>
    </row>
    <row r="8" spans="1:17">
      <c r="A8" s="27"/>
      <c r="B8" s="41"/>
      <c r="C8" s="27"/>
      <c r="D8" s="27"/>
      <c r="E8" s="27"/>
      <c r="F8" s="27"/>
      <c r="G8" s="27"/>
      <c r="H8" s="27"/>
      <c r="I8" s="27"/>
      <c r="J8" s="27"/>
    </row>
    <row r="9" spans="1:17">
      <c r="A9" s="27"/>
      <c r="B9" s="41"/>
      <c r="C9" s="27"/>
      <c r="D9" s="27"/>
      <c r="E9" s="27"/>
      <c r="F9" s="27"/>
      <c r="G9" s="27"/>
      <c r="H9" s="27"/>
      <c r="I9" s="27"/>
      <c r="J9" s="27"/>
    </row>
    <row r="10" spans="1:17" ht="18">
      <c r="A10" s="27"/>
      <c r="B10" s="27"/>
      <c r="C10" s="243" t="s">
        <v>609</v>
      </c>
      <c r="D10" s="243"/>
      <c r="E10" s="243"/>
      <c r="F10" s="243"/>
      <c r="G10" s="243"/>
      <c r="H10" s="243"/>
      <c r="I10" s="243"/>
      <c r="J10" s="53"/>
    </row>
    <row r="11" spans="1:17" ht="14" customHeight="1">
      <c r="A11" s="27"/>
      <c r="B11" s="27"/>
      <c r="C11" s="27"/>
      <c r="D11" s="27"/>
      <c r="E11" s="27"/>
      <c r="F11" s="27"/>
      <c r="G11" s="27"/>
      <c r="H11" s="27"/>
      <c r="I11" s="27"/>
      <c r="J11" s="27"/>
    </row>
    <row r="12" spans="1:17" ht="14" customHeight="1">
      <c r="A12" s="27"/>
      <c r="B12" s="42"/>
      <c r="C12" s="42"/>
      <c r="D12" s="42"/>
      <c r="E12" s="27"/>
      <c r="F12" s="43" t="str">
        <f>D79</f>
        <v xml:space="preserve"> 2023-05</v>
      </c>
      <c r="G12" s="43" t="str">
        <f>D80</f>
        <v xml:space="preserve"> 2022-05</v>
      </c>
      <c r="H12" s="244" t="s">
        <v>1036</v>
      </c>
      <c r="I12" s="244"/>
    </row>
    <row r="13" spans="1:17" ht="14" customHeight="1">
      <c r="A13" s="27"/>
      <c r="B13" s="42" t="s">
        <v>606</v>
      </c>
      <c r="C13" s="27"/>
      <c r="D13" s="27"/>
      <c r="E13" s="27"/>
      <c r="F13" s="27"/>
      <c r="G13" s="27"/>
      <c r="H13" s="188" t="s">
        <v>364</v>
      </c>
      <c r="I13" s="188" t="s">
        <v>559</v>
      </c>
      <c r="P13" s="232"/>
      <c r="Q13" s="232"/>
    </row>
    <row r="14" spans="1:17" ht="14" customHeight="1">
      <c r="A14" s="27"/>
      <c r="B14" s="45" t="s">
        <v>1025</v>
      </c>
      <c r="C14" s="27"/>
      <c r="D14" s="27"/>
      <c r="E14" s="27"/>
      <c r="F14" s="27">
        <f>INDEX('A.4 Drivmedel PB'!$B$8:$B$16,MATCH("El",'A.4 Drivmedel PB'!$A$8:$A$16,0))</f>
        <v>11657</v>
      </c>
      <c r="G14" s="27">
        <f>INDEX('A.4 Drivmedel PB'!$C$8:$C$16,MATCH("El",'A.4 Drivmedel PB'!$A$8:$A$16,0))</f>
        <v>6383</v>
      </c>
      <c r="H14" s="46">
        <f t="shared" ref="H14:H19" si="0">IF(G14=0,"",SUM(((F14-G14)/G14)))</f>
        <v>0.82625724580918058</v>
      </c>
      <c r="I14" s="46">
        <f>INDEX('A.4 Drivmedel PB'!$J$8:$J$16,MATCH("El",'A.4 Drivmedel PB'!$A$8:$A$16,0))</f>
        <v>0.31623199441588934</v>
      </c>
      <c r="P14" s="232"/>
      <c r="Q14" s="232"/>
    </row>
    <row r="15" spans="1:17" ht="14" customHeight="1">
      <c r="A15" s="27"/>
      <c r="B15" s="45" t="s">
        <v>1026</v>
      </c>
      <c r="C15" s="27"/>
      <c r="D15" s="27"/>
      <c r="E15" s="27"/>
      <c r="F15" s="27">
        <f>INDEX('A.4 Drivmedel PB'!$B$8:$B$16,MATCH("Laddhybrid",'A.4 Drivmedel PB'!$A$8:$A$16,0))</f>
        <v>5975</v>
      </c>
      <c r="G15" s="27">
        <f>INDEX('A.4 Drivmedel PB'!$C$8:$C$16,MATCH("Laddhybrid",'A.4 Drivmedel PB'!$A$8:$A$16,0))</f>
        <v>6138</v>
      </c>
      <c r="H15" s="46">
        <f t="shared" si="0"/>
        <v>-2.6555881394591072E-2</v>
      </c>
      <c r="I15" s="46">
        <f>INDEX('A.4 Drivmedel PB'!$J$8:$J$16,MATCH("Laddhybrid",'A.4 Drivmedel PB'!$A$8:$A$16,0))</f>
        <v>-0.19415564229214879</v>
      </c>
      <c r="P15" s="232"/>
      <c r="Q15" s="232"/>
    </row>
    <row r="16" spans="1:17" ht="14" customHeight="1">
      <c r="A16" s="27"/>
      <c r="B16" s="230" t="s">
        <v>1030</v>
      </c>
      <c r="C16" s="231"/>
      <c r="D16" s="231"/>
      <c r="E16" s="231"/>
      <c r="F16" s="239">
        <f>INDEX('A.4 Drivmedel PB'!$D$8:$D$16,MATCH("El",'A.4 Drivmedel PB'!$A$8:$A$16,0))</f>
        <v>40.916110916110917</v>
      </c>
      <c r="G16" s="239">
        <f>INDEX('A.4 Drivmedel PB'!$E$8:$E$16,MATCH("El",'A.4 Drivmedel PB'!$A$8:$A$16,0))</f>
        <v>24.166130314617799</v>
      </c>
      <c r="H16" s="232">
        <f t="shared" si="0"/>
        <v>0.69311802855591065</v>
      </c>
      <c r="I16" s="237">
        <f>INDEX('A.4 Drivmedel PB'!$D$8:$D$16,MATCH("El",'A.4 Drivmedel PB'!$A$8:$A$16,0))</f>
        <v>40.916110916110917</v>
      </c>
      <c r="L16" s="236"/>
    </row>
    <row r="17" spans="1:15" ht="14" customHeight="1">
      <c r="A17" s="27"/>
      <c r="B17" s="230" t="s">
        <v>1031</v>
      </c>
      <c r="C17" s="231"/>
      <c r="D17" s="231"/>
      <c r="E17" s="231"/>
      <c r="F17" s="239">
        <f>INDEX('A.4 Drivmedel PB'!$D$8:$D$16,MATCH("Laddhybrid",'A.4 Drivmedel PB'!$A$8:$A$16,0))</f>
        <v>20.972270972270973</v>
      </c>
      <c r="G17" s="239">
        <f>INDEX('A.4 Drivmedel PB'!$E$8:$E$16,MATCH("Laddhybrid",'A.4 Drivmedel PB'!$A$8:$A$16,0))</f>
        <v>23.238556771286866</v>
      </c>
      <c r="H17" s="232">
        <f t="shared" si="0"/>
        <v>-9.7522656906821104E-2</v>
      </c>
      <c r="I17" s="237">
        <f>INDEX('A.4 Drivmedel PB'!$D$8:$D$16,MATCH("Laddhybrid",'A.4 Drivmedel PB'!$A$8:$A$16,0))</f>
        <v>20.972270972270973</v>
      </c>
    </row>
    <row r="18" spans="1:15" ht="14" customHeight="1">
      <c r="A18" s="27"/>
      <c r="B18" s="230" t="s">
        <v>1032</v>
      </c>
      <c r="C18" s="231"/>
      <c r="D18" s="231"/>
      <c r="E18" s="231"/>
      <c r="F18" s="239">
        <f>F16+F17</f>
        <v>61.888381888381886</v>
      </c>
      <c r="G18" s="239">
        <f>(G16+G17)</f>
        <v>47.404687085904669</v>
      </c>
      <c r="H18" s="232">
        <f t="shared" si="0"/>
        <v>0.30553296926589785</v>
      </c>
      <c r="I18" s="233">
        <f>AndelLaddbaraYTD/100</f>
        <v>7.2001455243009049E-2</v>
      </c>
    </row>
    <row r="19" spans="1:15" ht="14" customHeight="1">
      <c r="A19" s="27"/>
      <c r="B19" s="47" t="s">
        <v>604</v>
      </c>
      <c r="C19" s="48"/>
      <c r="D19" s="48"/>
      <c r="E19" s="48"/>
      <c r="F19" s="235">
        <f>getAggModelsPB[[#Totals],[antalPerioden]]</f>
        <v>28490</v>
      </c>
      <c r="G19" s="49">
        <f>getAggModelsPB[[#Totals],[antalFGPeriod]]</f>
        <v>26413</v>
      </c>
      <c r="H19" s="50">
        <f t="shared" si="0"/>
        <v>7.8635520387687882E-2</v>
      </c>
      <c r="I19" s="46">
        <f>IF(AntalTotaltYTDFGAR=0,"",((AntalTotaltYTD-AntalTotaltYTDFGAR)/AntalTotaltYTDFGAR))</f>
        <v>-4.8385184683387809E-2</v>
      </c>
    </row>
    <row r="20" spans="1:15" ht="14" customHeight="1">
      <c r="A20" s="27"/>
      <c r="B20" s="27"/>
      <c r="C20" s="27"/>
      <c r="D20" s="27"/>
      <c r="E20" s="27"/>
      <c r="F20" s="27"/>
      <c r="G20" s="27"/>
      <c r="H20" s="27"/>
      <c r="I20" s="27"/>
    </row>
    <row r="21" spans="1:15" ht="14" customHeight="1">
      <c r="A21" s="27"/>
      <c r="B21" s="42" t="s">
        <v>607</v>
      </c>
      <c r="C21" s="27"/>
      <c r="D21" s="27"/>
      <c r="E21" s="27"/>
      <c r="F21" s="27"/>
      <c r="G21" s="27"/>
      <c r="H21" s="27"/>
      <c r="I21" s="27"/>
    </row>
    <row r="22" spans="1:15" ht="14" customHeight="1">
      <c r="A22" s="27"/>
      <c r="B22" s="45" t="s">
        <v>1029</v>
      </c>
      <c r="C22" s="27"/>
      <c r="D22" s="27"/>
      <c r="E22" s="27"/>
      <c r="F22" s="27">
        <f>GETPIVOTDATA("Sum of antalPerioden",'B. Lastbilar'!$A$7,"klass","Över  16,0 ton")</f>
        <v>629</v>
      </c>
      <c r="G22" s="27">
        <f>GETPIVOTDATA("Sum of antalPeriodenFG",'B. Lastbilar'!$A$7,"klass","Över  16,0 ton")</f>
        <v>502</v>
      </c>
      <c r="H22" s="46">
        <f>IF(G22=0,"",SUM(((F22-G22)/G22)))</f>
        <v>0.25298804780876494</v>
      </c>
      <c r="I22" s="46">
        <f>IF(AntalTLBYTDFGAR=0,"",((AntalTLBYTD-AntalTLBYTDFGAR)/AntalTLBYTDFGAR))</f>
        <v>0.29530201342281881</v>
      </c>
    </row>
    <row r="23" spans="1:15" ht="14" customHeight="1">
      <c r="A23" s="27"/>
      <c r="B23" s="45" t="s">
        <v>1027</v>
      </c>
      <c r="C23" s="27"/>
      <c r="D23" s="27"/>
      <c r="E23" s="27"/>
      <c r="F23" s="27">
        <f>GETPIVOTDATA("Sum of antalPerioden",'B. Lastbilar'!$A$7,"klass","Högst  3,5 ton")</f>
        <v>3919</v>
      </c>
      <c r="G23" s="27">
        <f>GETPIVOTDATA("Sum of antalPeriodenFG",'B. Lastbilar'!$A$7,"klass","Högst  3,5 ton")</f>
        <v>2983</v>
      </c>
      <c r="H23" s="46">
        <f t="shared" ref="H23:H24" si="1">IF(G23=0,"",SUM(((F23-G23)/G23)))</f>
        <v>0.31377807576265504</v>
      </c>
      <c r="I23" s="46">
        <f>IF(AntalLLBYTDFGAR=0,"",((AntalLLBYTD-AntalLLBYTDFGAR)/AntalLLBYTDFGAR))</f>
        <v>0.14730172291043714</v>
      </c>
    </row>
    <row r="24" spans="1:15" ht="14" customHeight="1">
      <c r="A24" s="27"/>
      <c r="B24" s="45" t="s">
        <v>1028</v>
      </c>
      <c r="C24" s="27"/>
      <c r="D24" s="27"/>
      <c r="E24" s="27"/>
      <c r="F24" s="27">
        <f>AntalLLBEL</f>
        <v>686</v>
      </c>
      <c r="G24" s="27">
        <f>AntalLLBELFGAR</f>
        <v>269</v>
      </c>
      <c r="H24" s="46">
        <f t="shared" si="1"/>
        <v>1.550185873605948</v>
      </c>
      <c r="I24" s="46">
        <f>ChangeLLBELYTD/100</f>
        <v>0.75791022810890363</v>
      </c>
    </row>
    <row r="25" spans="1:15" ht="14" customHeight="1">
      <c r="A25" s="27"/>
      <c r="B25" s="230" t="s">
        <v>1033</v>
      </c>
      <c r="C25" s="231"/>
      <c r="D25" s="231"/>
      <c r="E25" s="231"/>
      <c r="F25" s="232">
        <f>(F24/F23)</f>
        <v>0.1750446542485328</v>
      </c>
      <c r="G25" s="232">
        <f>(G24/G23)</f>
        <v>9.0177673483070736E-2</v>
      </c>
      <c r="H25" s="232">
        <f>IF(G25=0,"",SUM(((F25-G25)/G25)))</f>
        <v>0.94110856365566298</v>
      </c>
      <c r="I25" s="233"/>
      <c r="O25" s="234"/>
    </row>
    <row r="26" spans="1:15" ht="14" customHeight="1">
      <c r="A26" s="27"/>
      <c r="B26" s="47" t="s">
        <v>1035</v>
      </c>
      <c r="C26" s="48"/>
      <c r="D26" s="48"/>
      <c r="E26" s="48"/>
      <c r="F26" s="235">
        <f>GETPIVOTDATA("Sum of antalPerioden",'B. Lastbilar'!$A$7)</f>
        <v>4594</v>
      </c>
      <c r="G26" s="49">
        <f>GETPIVOTDATA("Sum of antalPeriodenFG",'B. Lastbilar'!$A$7)</f>
        <v>3543</v>
      </c>
      <c r="H26" s="50">
        <f>IF(G26=0,"",SUM(((F26-G26)/G26)))</f>
        <v>0.29664126446514255</v>
      </c>
      <c r="I26" s="46">
        <f>IF(antalLBTotaltYTDFGAR=0,"",((AntalLBTotaltYTD-antalLBTotaltYTDFGAR)/antalLBTotaltYTDFGAR))</f>
        <v>0.16440615835777125</v>
      </c>
    </row>
    <row r="27" spans="1:15" ht="14" customHeight="1">
      <c r="A27" s="27"/>
      <c r="B27" s="27"/>
      <c r="C27" s="27"/>
      <c r="D27" s="27"/>
      <c r="E27" s="27"/>
      <c r="F27" s="27"/>
      <c r="G27" s="27"/>
      <c r="H27" s="27"/>
      <c r="I27" s="27"/>
    </row>
    <row r="28" spans="1:15" ht="14" customHeight="1">
      <c r="A28" s="27"/>
      <c r="B28" s="42" t="s">
        <v>608</v>
      </c>
      <c r="C28" s="27"/>
      <c r="D28" s="27"/>
      <c r="E28" s="27"/>
      <c r="F28" s="27"/>
      <c r="G28" s="27"/>
      <c r="H28" s="27"/>
      <c r="I28" s="27"/>
    </row>
    <row r="29" spans="1:15" ht="14" customHeight="1">
      <c r="A29" s="27"/>
      <c r="B29" s="45" t="s">
        <v>1024</v>
      </c>
      <c r="C29" s="27"/>
      <c r="D29" s="27"/>
      <c r="E29" s="27"/>
      <c r="F29" s="27">
        <f>AntalELBUSS</f>
        <v>44</v>
      </c>
      <c r="G29" s="27">
        <f>AntalELBUSSFGAR</f>
        <v>36</v>
      </c>
      <c r="H29" s="46">
        <f>IF(G29=0,"",SUM(((F29-G29)/G29)))</f>
        <v>0.22222222222222221</v>
      </c>
      <c r="I29" s="46">
        <f>ChangeBUSSELYTD/100</f>
        <v>0.48749999999999999</v>
      </c>
      <c r="K29" s="45"/>
    </row>
    <row r="30" spans="1:15" ht="14" customHeight="1">
      <c r="A30" s="27"/>
      <c r="B30" s="230" t="s">
        <v>1034</v>
      </c>
      <c r="C30" s="231"/>
      <c r="D30" s="231"/>
      <c r="E30" s="231"/>
      <c r="F30" s="232">
        <f>(F29/F31)</f>
        <v>0.51764705882352946</v>
      </c>
      <c r="G30" s="232">
        <f>(G29/G31)</f>
        <v>0.13846153846153847</v>
      </c>
      <c r="H30" s="232">
        <f>IF(G30=0,"",SUM(((F30-G30)/G30)))</f>
        <v>2.738562091503268</v>
      </c>
      <c r="I30" s="233"/>
    </row>
    <row r="31" spans="1:15" ht="14" customHeight="1">
      <c r="A31" s="27"/>
      <c r="B31" s="47" t="s">
        <v>605</v>
      </c>
      <c r="C31" s="47"/>
      <c r="D31" s="47"/>
      <c r="E31" s="47"/>
      <c r="F31" s="98">
        <f>getAggBussAll[[#Totals],[antalPerioden]]</f>
        <v>85</v>
      </c>
      <c r="G31" s="48">
        <f>getAggBussAll[[#Totals],[antalPeriodenFG]]</f>
        <v>260</v>
      </c>
      <c r="H31" s="50">
        <f>IF(G31=0,"",SUM(((F31-G31)/G31)))</f>
        <v>-0.67307692307692313</v>
      </c>
      <c r="I31" s="46">
        <f>IF(AntalBUSSYTDFGAR=0,"",((AntalBUSSYTD-AntalBUSSYTDFGAR)/AntalBUSSYTDFGAR))</f>
        <v>-0.3401360544217687</v>
      </c>
    </row>
    <row r="32" spans="1:15">
      <c r="A32" s="27"/>
      <c r="B32" s="45"/>
      <c r="C32" s="27"/>
      <c r="D32" s="27"/>
      <c r="E32" s="27"/>
      <c r="F32" s="27"/>
      <c r="G32" s="46"/>
      <c r="H32" s="27"/>
      <c r="I32" s="27"/>
      <c r="J32" s="27"/>
    </row>
    <row r="33" spans="1:11">
      <c r="A33" s="27"/>
      <c r="B33" s="45"/>
      <c r="C33" s="27"/>
      <c r="D33" s="27"/>
      <c r="E33" s="27"/>
      <c r="F33" s="27"/>
      <c r="G33" s="46"/>
      <c r="H33" s="27"/>
      <c r="I33" s="27"/>
      <c r="J33" s="27"/>
    </row>
    <row r="34" spans="1:11">
      <c r="A34" s="27"/>
      <c r="B34" s="27" t="s">
        <v>0</v>
      </c>
      <c r="C34" s="27"/>
      <c r="D34" s="27"/>
      <c r="E34" s="27"/>
      <c r="F34" s="27"/>
      <c r="G34" s="27"/>
      <c r="H34" s="27"/>
      <c r="I34" s="27"/>
      <c r="J34" s="27"/>
    </row>
    <row r="35" spans="1:11">
      <c r="A35" s="27"/>
      <c r="B35" s="27"/>
      <c r="C35" s="27"/>
      <c r="D35" s="27"/>
      <c r="E35" s="27"/>
      <c r="F35" s="27"/>
      <c r="G35" s="27"/>
      <c r="H35" s="27"/>
      <c r="I35" s="27"/>
      <c r="J35" s="27"/>
    </row>
    <row r="36" spans="1:11" ht="18">
      <c r="A36" s="27"/>
      <c r="B36" s="51" t="s">
        <v>463</v>
      </c>
      <c r="C36" s="51"/>
      <c r="D36" s="52"/>
      <c r="E36" s="52"/>
      <c r="F36" s="52"/>
      <c r="G36" s="27"/>
      <c r="H36" s="27"/>
      <c r="I36" s="27"/>
      <c r="J36" s="27"/>
    </row>
    <row r="37" spans="1:11" ht="18">
      <c r="A37" s="27"/>
      <c r="B37" s="53"/>
      <c r="C37" s="51" t="s">
        <v>464</v>
      </c>
      <c r="D37" s="52"/>
      <c r="E37" s="52"/>
      <c r="F37" s="52"/>
      <c r="G37" s="27"/>
      <c r="H37" s="27"/>
      <c r="I37" s="27"/>
      <c r="J37" s="27"/>
    </row>
    <row r="38" spans="1:11" ht="18">
      <c r="A38" s="27"/>
      <c r="B38" s="53"/>
      <c r="C38" s="51" t="s">
        <v>551</v>
      </c>
      <c r="D38" s="52"/>
      <c r="E38" s="52"/>
      <c r="F38" s="52"/>
      <c r="G38" s="27"/>
      <c r="H38" s="27"/>
      <c r="I38" s="27"/>
      <c r="J38" s="27"/>
    </row>
    <row r="39" spans="1:11" ht="18">
      <c r="A39" s="27"/>
      <c r="B39" s="53"/>
      <c r="C39" s="51" t="s">
        <v>483</v>
      </c>
      <c r="D39" s="52"/>
      <c r="E39" s="52"/>
      <c r="F39" s="52"/>
      <c r="G39" s="27"/>
      <c r="H39" s="27"/>
      <c r="I39" s="27"/>
      <c r="J39" s="27"/>
    </row>
    <row r="40" spans="1:11" ht="18">
      <c r="A40" s="27"/>
      <c r="B40" s="53"/>
      <c r="C40" s="51" t="s">
        <v>468</v>
      </c>
      <c r="D40" s="52"/>
      <c r="E40" s="52"/>
      <c r="F40" s="52"/>
      <c r="G40" s="27"/>
      <c r="H40" s="27"/>
      <c r="I40" s="27"/>
      <c r="J40" s="27"/>
    </row>
    <row r="41" spans="1:11" ht="18">
      <c r="A41" s="27"/>
      <c r="B41" s="53"/>
      <c r="C41" s="51" t="s">
        <v>469</v>
      </c>
      <c r="D41" s="52"/>
      <c r="E41" s="52"/>
      <c r="F41" s="52"/>
      <c r="G41" s="27"/>
      <c r="H41" s="27"/>
      <c r="I41" s="27"/>
      <c r="J41" s="27"/>
    </row>
    <row r="42" spans="1:11" ht="18">
      <c r="A42" s="27"/>
      <c r="B42" s="53"/>
      <c r="C42" s="51" t="s">
        <v>644</v>
      </c>
      <c r="D42" s="52"/>
      <c r="E42" s="52"/>
      <c r="F42" s="52"/>
      <c r="G42" s="27"/>
      <c r="H42" s="27"/>
      <c r="I42" s="27"/>
      <c r="J42" s="27"/>
    </row>
    <row r="43" spans="1:11" ht="18">
      <c r="A43" s="27"/>
      <c r="B43" s="53"/>
      <c r="C43" s="51" t="s">
        <v>645</v>
      </c>
      <c r="D43" s="52"/>
      <c r="E43" s="52"/>
      <c r="F43" s="52"/>
      <c r="G43" s="27"/>
      <c r="H43" s="27"/>
      <c r="I43" s="27"/>
      <c r="J43" s="27"/>
    </row>
    <row r="44" spans="1:11" ht="18">
      <c r="A44" s="27"/>
      <c r="B44" s="54"/>
      <c r="C44" s="51" t="s">
        <v>470</v>
      </c>
      <c r="D44" s="52"/>
      <c r="E44" s="52"/>
      <c r="F44" s="52" t="s">
        <v>1307</v>
      </c>
      <c r="G44" s="27"/>
      <c r="H44" s="27"/>
      <c r="I44" s="27"/>
      <c r="J44" s="27"/>
    </row>
    <row r="45" spans="1:11" ht="18">
      <c r="A45" s="27"/>
      <c r="B45" s="54"/>
      <c r="C45" s="51" t="s">
        <v>556</v>
      </c>
      <c r="D45" s="52"/>
      <c r="E45" s="52"/>
      <c r="F45" s="52"/>
      <c r="G45" s="52"/>
      <c r="H45" s="52"/>
      <c r="I45" s="52"/>
      <c r="J45" s="27"/>
    </row>
    <row r="46" spans="1:11" ht="18">
      <c r="A46" s="27"/>
      <c r="B46" s="54"/>
      <c r="C46" s="51" t="s">
        <v>557</v>
      </c>
      <c r="D46" s="52"/>
      <c r="E46" s="52"/>
      <c r="F46" s="52"/>
      <c r="G46" s="27"/>
      <c r="H46" s="27"/>
      <c r="I46" s="27"/>
      <c r="J46" s="27"/>
    </row>
    <row r="47" spans="1:11" ht="18">
      <c r="A47" s="27"/>
      <c r="B47" s="54"/>
      <c r="C47" s="54"/>
      <c r="D47" s="52"/>
      <c r="E47" s="52"/>
      <c r="F47" s="27"/>
      <c r="G47" s="27"/>
      <c r="H47" s="27"/>
      <c r="I47" s="27"/>
      <c r="J47" s="27"/>
    </row>
    <row r="48" spans="1:11" ht="18">
      <c r="A48" s="27"/>
      <c r="B48" s="51" t="s">
        <v>465</v>
      </c>
      <c r="C48" s="51"/>
      <c r="D48" s="51"/>
      <c r="E48" s="51"/>
      <c r="F48" s="51"/>
      <c r="G48" s="55"/>
      <c r="H48" s="55"/>
      <c r="I48" s="55"/>
      <c r="J48" s="55"/>
      <c r="K48" s="18"/>
    </row>
    <row r="49" spans="1:11" ht="18">
      <c r="A49" s="27"/>
      <c r="B49" s="54"/>
      <c r="C49" s="51" t="s">
        <v>552</v>
      </c>
      <c r="D49" s="51"/>
      <c r="E49" s="51"/>
      <c r="F49" s="51"/>
      <c r="G49" s="55"/>
      <c r="H49" s="55"/>
      <c r="I49" s="55"/>
      <c r="J49" s="55"/>
      <c r="K49" s="18"/>
    </row>
    <row r="50" spans="1:11" ht="18">
      <c r="A50" s="27"/>
      <c r="B50" s="54"/>
      <c r="C50" s="51" t="s">
        <v>386</v>
      </c>
      <c r="D50" s="51"/>
      <c r="E50" s="51"/>
      <c r="F50" s="51"/>
      <c r="G50" s="55"/>
      <c r="H50" s="55"/>
      <c r="I50" s="55"/>
      <c r="J50" s="55"/>
      <c r="K50" s="18"/>
    </row>
    <row r="51" spans="1:11" ht="18">
      <c r="A51" s="27"/>
      <c r="B51" s="54"/>
      <c r="C51" s="51" t="s">
        <v>315</v>
      </c>
      <c r="D51" s="51"/>
      <c r="E51" s="51"/>
      <c r="F51" s="51"/>
      <c r="G51" s="55"/>
      <c r="H51" s="55"/>
      <c r="I51" s="55"/>
      <c r="J51" s="55"/>
      <c r="K51" s="18"/>
    </row>
    <row r="52" spans="1:11" ht="18">
      <c r="A52" s="27"/>
      <c r="B52" s="54"/>
      <c r="C52" s="51" t="s">
        <v>553</v>
      </c>
      <c r="D52" s="51"/>
      <c r="E52" s="51"/>
      <c r="F52" s="51"/>
      <c r="G52" s="55"/>
      <c r="H52" s="55"/>
      <c r="I52" s="55"/>
      <c r="J52" s="55"/>
      <c r="K52" s="18"/>
    </row>
    <row r="53" spans="1:11" ht="18">
      <c r="A53" s="27"/>
      <c r="B53" s="54"/>
      <c r="C53" s="51" t="s">
        <v>368</v>
      </c>
      <c r="D53" s="51"/>
      <c r="E53" s="51"/>
      <c r="F53" s="51"/>
      <c r="G53" s="27"/>
      <c r="H53" s="27"/>
      <c r="I53" s="27"/>
      <c r="J53" s="27"/>
    </row>
    <row r="54" spans="1:11" ht="18">
      <c r="A54" s="27"/>
      <c r="B54" s="56"/>
      <c r="C54" s="54"/>
      <c r="D54" s="51"/>
      <c r="E54" s="51"/>
      <c r="F54" s="53"/>
      <c r="G54" s="27"/>
      <c r="H54" s="27"/>
      <c r="I54" s="27"/>
      <c r="J54" s="27"/>
    </row>
    <row r="55" spans="1:11" ht="18">
      <c r="A55" s="27"/>
      <c r="B55" s="51" t="s">
        <v>466</v>
      </c>
      <c r="C55" s="51"/>
      <c r="D55" s="51"/>
      <c r="E55" s="51"/>
      <c r="F55" s="51"/>
      <c r="G55" s="27"/>
      <c r="H55" s="27"/>
      <c r="I55" s="27"/>
      <c r="J55" s="27"/>
    </row>
    <row r="56" spans="1:11" ht="18">
      <c r="A56" s="27"/>
      <c r="B56" s="54"/>
      <c r="C56" s="51" t="s">
        <v>316</v>
      </c>
      <c r="D56" s="51"/>
      <c r="E56" s="51"/>
      <c r="F56" s="51"/>
      <c r="G56" s="27"/>
      <c r="H56" s="27"/>
      <c r="I56" s="27"/>
      <c r="J56" s="27"/>
    </row>
    <row r="57" spans="1:11" ht="18">
      <c r="A57" s="27"/>
      <c r="B57" s="27"/>
      <c r="C57" s="51" t="s">
        <v>550</v>
      </c>
      <c r="D57" s="52"/>
      <c r="E57" s="52"/>
      <c r="F57" s="52"/>
      <c r="G57" s="27"/>
      <c r="H57" s="27"/>
      <c r="I57" s="27"/>
      <c r="J57" s="27"/>
    </row>
    <row r="58" spans="1:11" ht="18">
      <c r="A58" s="27"/>
      <c r="B58" s="27"/>
      <c r="C58" s="51"/>
      <c r="D58" s="27"/>
      <c r="E58" s="27"/>
      <c r="F58" s="27"/>
      <c r="G58" s="27"/>
      <c r="H58" s="27"/>
      <c r="I58" s="27"/>
      <c r="J58" s="27"/>
    </row>
    <row r="59" spans="1:11">
      <c r="A59" s="27"/>
      <c r="B59" s="57" t="s">
        <v>702</v>
      </c>
      <c r="C59" s="27"/>
      <c r="D59" s="27"/>
      <c r="E59" s="27"/>
      <c r="F59" s="27"/>
      <c r="G59" s="27"/>
      <c r="H59" s="27"/>
      <c r="I59" s="27"/>
      <c r="J59" s="27"/>
    </row>
    <row r="60" spans="1:11">
      <c r="A60" s="27"/>
      <c r="B60" s="58"/>
      <c r="C60" s="27"/>
      <c r="D60" s="27"/>
      <c r="E60" s="27"/>
      <c r="F60" s="27"/>
      <c r="G60" s="27"/>
      <c r="H60" s="27"/>
      <c r="I60" s="27"/>
      <c r="J60" s="27"/>
    </row>
    <row r="61" spans="1:11">
      <c r="A61" s="27"/>
      <c r="B61" s="59" t="s">
        <v>706</v>
      </c>
      <c r="C61" s="52"/>
      <c r="D61" s="52"/>
      <c r="E61" s="52"/>
      <c r="F61" s="52"/>
      <c r="G61" s="27"/>
      <c r="H61" s="27"/>
      <c r="I61" s="27"/>
      <c r="J61" s="27"/>
    </row>
    <row r="62" spans="1:11">
      <c r="A62" s="27"/>
      <c r="B62" s="59" t="s">
        <v>554</v>
      </c>
      <c r="C62" s="27"/>
      <c r="D62" s="27"/>
      <c r="E62" s="27"/>
      <c r="F62" s="27"/>
      <c r="G62" s="27"/>
      <c r="H62" s="27"/>
      <c r="I62" s="27"/>
      <c r="J62" s="27"/>
    </row>
    <row r="63" spans="1:11">
      <c r="A63" s="27"/>
      <c r="B63" s="55"/>
      <c r="C63" s="27"/>
      <c r="D63" s="27"/>
      <c r="E63" s="27"/>
      <c r="F63" s="27"/>
      <c r="G63" s="27"/>
      <c r="H63" s="27"/>
      <c r="I63" s="27"/>
      <c r="J63" s="27"/>
    </row>
    <row r="64" spans="1:11">
      <c r="A64" s="27"/>
      <c r="B64" s="22" t="s">
        <v>555</v>
      </c>
      <c r="C64" s="55"/>
      <c r="D64" s="55"/>
      <c r="E64" s="55"/>
      <c r="F64" s="55"/>
      <c r="G64" s="27"/>
      <c r="H64" s="27"/>
      <c r="I64" s="27"/>
      <c r="J64" s="27"/>
    </row>
    <row r="65" spans="1:10">
      <c r="A65" s="27"/>
      <c r="B65" s="8" t="s">
        <v>703</v>
      </c>
      <c r="C65" s="55"/>
      <c r="D65" s="55"/>
      <c r="E65" s="55"/>
      <c r="F65" s="55"/>
      <c r="G65" s="27"/>
      <c r="H65" s="27"/>
      <c r="I65" s="27"/>
      <c r="J65" s="27"/>
    </row>
    <row r="66" spans="1:10">
      <c r="A66" s="27"/>
      <c r="B66" s="8" t="s">
        <v>497</v>
      </c>
      <c r="C66" s="55"/>
      <c r="D66" s="55"/>
      <c r="E66" s="55"/>
      <c r="F66" s="55"/>
      <c r="G66" s="27"/>
      <c r="H66" s="27"/>
      <c r="I66" s="27"/>
      <c r="J66" s="27"/>
    </row>
    <row r="67" spans="1:10">
      <c r="A67" s="27"/>
      <c r="B67" s="8" t="s">
        <v>498</v>
      </c>
      <c r="C67" s="55"/>
      <c r="D67" s="55"/>
      <c r="E67" s="55"/>
      <c r="F67" s="55"/>
      <c r="G67" s="27"/>
      <c r="H67" s="27"/>
      <c r="I67" s="27"/>
      <c r="J67" s="27"/>
    </row>
    <row r="68" spans="1:10">
      <c r="A68" s="27"/>
      <c r="B68" s="8" t="s">
        <v>704</v>
      </c>
      <c r="C68" s="55"/>
      <c r="D68" s="55"/>
      <c r="E68" s="55"/>
      <c r="F68" s="55"/>
      <c r="G68" s="27"/>
      <c r="H68" s="27"/>
      <c r="I68" s="27"/>
      <c r="J68" s="27"/>
    </row>
    <row r="69" spans="1:10">
      <c r="A69" s="27"/>
      <c r="B69" s="8" t="s">
        <v>467</v>
      </c>
      <c r="C69" s="27"/>
      <c r="D69" s="27"/>
      <c r="E69" s="27"/>
      <c r="F69" s="27"/>
      <c r="G69" s="27"/>
      <c r="H69" s="27"/>
      <c r="I69" s="27"/>
      <c r="J69" s="27"/>
    </row>
    <row r="70" spans="1:10">
      <c r="A70" s="27"/>
      <c r="B70" s="27"/>
      <c r="C70" s="27"/>
      <c r="D70" s="27"/>
      <c r="E70" s="27"/>
      <c r="F70" s="27"/>
      <c r="G70" s="27"/>
      <c r="H70" s="27"/>
      <c r="I70" s="27"/>
      <c r="J70" s="27"/>
    </row>
    <row r="71" spans="1:10">
      <c r="A71" s="27"/>
      <c r="B71" s="27"/>
      <c r="C71" s="27"/>
      <c r="D71" s="27"/>
      <c r="E71" s="27"/>
      <c r="F71" s="27"/>
      <c r="G71" s="27"/>
      <c r="H71" s="27"/>
      <c r="I71" s="27"/>
      <c r="J71" s="27"/>
    </row>
    <row r="72" spans="1:10" hidden="1">
      <c r="A72" s="27"/>
      <c r="B72" s="27"/>
      <c r="C72" s="27"/>
      <c r="D72" s="27"/>
      <c r="E72" s="27"/>
      <c r="F72" s="27"/>
      <c r="G72" s="27"/>
      <c r="H72" s="27"/>
      <c r="I72" s="27"/>
      <c r="J72" s="27"/>
    </row>
    <row r="73" spans="1:10" hidden="1"/>
    <row r="74" spans="1:10" hidden="1">
      <c r="A74" t="s">
        <v>374</v>
      </c>
      <c r="D74" s="186" t="s">
        <v>6</v>
      </c>
    </row>
    <row r="75" spans="1:10" hidden="1">
      <c r="A75" t="s">
        <v>364</v>
      </c>
      <c r="D75" s="186" t="s">
        <v>6</v>
      </c>
    </row>
    <row r="76" spans="1:10" hidden="1">
      <c r="A76" t="s">
        <v>365</v>
      </c>
      <c r="D76" s="186" t="s">
        <v>1241</v>
      </c>
    </row>
    <row r="77" spans="1:10" hidden="1">
      <c r="A77" t="s">
        <v>362</v>
      </c>
      <c r="D77" s="186" t="s">
        <v>1103</v>
      </c>
    </row>
    <row r="78" spans="1:10" hidden="1">
      <c r="A78" t="s">
        <v>363</v>
      </c>
      <c r="D78" s="186" t="s">
        <v>683</v>
      </c>
    </row>
    <row r="79" spans="1:10" hidden="1">
      <c r="A79" t="s">
        <v>358</v>
      </c>
      <c r="D79" s="186" t="s">
        <v>1242</v>
      </c>
    </row>
    <row r="80" spans="1:10" hidden="1">
      <c r="A80" t="s">
        <v>359</v>
      </c>
      <c r="D80" s="186" t="s">
        <v>1243</v>
      </c>
    </row>
    <row r="81" spans="1:4" hidden="1">
      <c r="A81" t="s">
        <v>360</v>
      </c>
      <c r="D81" s="186" t="s">
        <v>1104</v>
      </c>
    </row>
    <row r="82" spans="1:4" hidden="1">
      <c r="A82" t="s">
        <v>361</v>
      </c>
      <c r="D82" s="186" t="s">
        <v>684</v>
      </c>
    </row>
    <row r="83" spans="1:4" hidden="1">
      <c r="D83" s="27"/>
    </row>
    <row r="84" spans="1:4" hidden="1">
      <c r="A84" t="s">
        <v>361</v>
      </c>
      <c r="D84" s="186" t="s">
        <v>1245</v>
      </c>
    </row>
    <row r="85" spans="1:4" hidden="1">
      <c r="A85" t="s">
        <v>360</v>
      </c>
      <c r="D85" s="186" t="s">
        <v>1244</v>
      </c>
    </row>
    <row r="86" spans="1:4" hidden="1">
      <c r="D86" s="27"/>
    </row>
    <row r="87" spans="1:4" hidden="1">
      <c r="A87" t="s">
        <v>375</v>
      </c>
      <c r="D87" s="186" t="s">
        <v>1246</v>
      </c>
    </row>
    <row r="88" spans="1:4" hidden="1"/>
    <row r="89" spans="1:4" hidden="1"/>
    <row r="90" spans="1:4" hidden="1"/>
    <row r="98" spans="2:2">
      <c r="B98" s="4"/>
    </row>
    <row r="99" spans="2:2">
      <c r="B99" s="4"/>
    </row>
  </sheetData>
  <mergeCells count="2">
    <mergeCell ref="C10:I10"/>
    <mergeCell ref="H12:I12"/>
  </mergeCells>
  <conditionalFormatting sqref="H16:I31 I14:I17">
    <cfRule type="cellIs" dxfId="14" priority="5" operator="lessThan">
      <formula>0</formula>
    </cfRule>
  </conditionalFormatting>
  <conditionalFormatting sqref="P13:Q15">
    <cfRule type="cellIs" dxfId="13" priority="4" operator="lessThan">
      <formula>0</formula>
    </cfRule>
  </conditionalFormatting>
  <conditionalFormatting sqref="F25:G25">
    <cfRule type="cellIs" dxfId="12" priority="3" operator="lessThan">
      <formula>0</formula>
    </cfRule>
  </conditionalFormatting>
  <conditionalFormatting sqref="F30:G30">
    <cfRule type="cellIs" dxfId="11" priority="2" operator="lessThan">
      <formula>0</formula>
    </cfRule>
  </conditionalFormatting>
  <conditionalFormatting sqref="H14:H15">
    <cfRule type="cellIs" dxfId="10" priority="1"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157"/>
  <sheetViews>
    <sheetView workbookViewId="0">
      <selection activeCell="K2" sqref="K2"/>
    </sheetView>
  </sheetViews>
  <sheetFormatPr baseColWidth="10" defaultColWidth="8.83203125" defaultRowHeight="15"/>
  <cols>
    <col min="1" max="1" width="12.5" style="5" customWidth="1"/>
    <col min="2" max="2" width="9.83203125" customWidth="1"/>
    <col min="3" max="3" width="16.33203125" style="5" customWidth="1"/>
    <col min="4" max="4" width="10.33203125" style="5" customWidth="1"/>
    <col min="5" max="5" width="12.5" style="13" customWidth="1"/>
    <col min="6" max="6" width="10.6640625" style="13" customWidth="1"/>
    <col min="7" max="8" width="10.6640625" style="5" customWidth="1"/>
    <col min="9" max="11" width="10.6640625" style="9"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9.25" customHeight="1" thickBot="1">
      <c r="A2" s="150"/>
      <c r="B2" s="150"/>
      <c r="C2" s="60" t="s">
        <v>348</v>
      </c>
      <c r="D2" s="60"/>
      <c r="E2" s="60"/>
      <c r="F2" s="60"/>
      <c r="G2" s="60"/>
      <c r="H2" s="60"/>
      <c r="I2" s="60"/>
      <c r="J2" s="150"/>
      <c r="O2" s="2"/>
    </row>
    <row r="3" spans="1:15" ht="15.75" customHeight="1"/>
    <row r="4" spans="1:15" ht="15.75" customHeight="1">
      <c r="G4" s="274" t="s">
        <v>473</v>
      </c>
      <c r="H4" s="274"/>
      <c r="I4" s="274"/>
      <c r="J4" s="274"/>
      <c r="K4" s="274"/>
    </row>
    <row r="5" spans="1:15">
      <c r="A5" s="135"/>
      <c r="B5" s="280" t="s">
        <v>560</v>
      </c>
      <c r="C5" s="281"/>
      <c r="D5" s="282" t="s">
        <v>562</v>
      </c>
      <c r="E5" s="283"/>
      <c r="F5" s="136" t="s">
        <v>560</v>
      </c>
      <c r="G5" s="137"/>
      <c r="H5" s="284" t="s">
        <v>562</v>
      </c>
      <c r="I5" s="285"/>
      <c r="J5" s="284" t="s">
        <v>561</v>
      </c>
      <c r="K5" s="285"/>
      <c r="L5" s="27"/>
    </row>
    <row r="6" spans="1:15">
      <c r="A6" s="122"/>
      <c r="B6" s="138" t="str">
        <f>Innehåll!D79</f>
        <v xml:space="preserve"> 2023-05</v>
      </c>
      <c r="C6" s="138" t="str">
        <f>Innehåll!D80</f>
        <v xml:space="preserve"> 2022-05</v>
      </c>
      <c r="D6" s="139" t="str">
        <f>B6</f>
        <v xml:space="preserve"> 2023-05</v>
      </c>
      <c r="E6" s="140" t="str">
        <f>C6</f>
        <v xml:space="preserve"> 2022-05</v>
      </c>
      <c r="F6" s="138" t="str">
        <f>Innehåll!D81</f>
        <v>YTD  2023</v>
      </c>
      <c r="G6" s="138" t="str">
        <f>Innehåll!D82</f>
        <v>YTD  2022</v>
      </c>
      <c r="H6" s="141" t="str">
        <f>F6</f>
        <v>YTD  2023</v>
      </c>
      <c r="I6" s="142" t="str">
        <f>G6</f>
        <v>YTD  2022</v>
      </c>
      <c r="J6" s="143" t="str">
        <f>B6</f>
        <v xml:space="preserve"> 2023-05</v>
      </c>
      <c r="K6" s="141" t="str">
        <f>F6</f>
        <v>YTD  2023</v>
      </c>
      <c r="L6" s="27"/>
    </row>
    <row r="7" spans="1:15" ht="15" hidden="1" customHeight="1">
      <c r="A7" s="66" t="s">
        <v>354</v>
      </c>
      <c r="B7" s="66" t="s">
        <v>35</v>
      </c>
      <c r="C7" s="66" t="s">
        <v>308</v>
      </c>
      <c r="D7" s="86" t="s">
        <v>344</v>
      </c>
      <c r="E7" s="86" t="s">
        <v>343</v>
      </c>
      <c r="F7" s="66" t="s">
        <v>309</v>
      </c>
      <c r="G7" s="66" t="s">
        <v>310</v>
      </c>
      <c r="H7" s="63" t="s">
        <v>345</v>
      </c>
      <c r="I7" s="63" t="s">
        <v>346</v>
      </c>
      <c r="J7" s="63" t="s">
        <v>347</v>
      </c>
      <c r="K7" s="63" t="s">
        <v>355</v>
      </c>
      <c r="L7" s="27"/>
    </row>
    <row r="8" spans="1:15">
      <c r="A8" s="5" t="s">
        <v>1007</v>
      </c>
      <c r="B8" s="66">
        <v>14936</v>
      </c>
      <c r="C8" s="66">
        <v>11176</v>
      </c>
      <c r="D8" s="86">
        <f>(getAggPBCO2Emissions[[#This Row],[antalPerioden]]/$B$15)*100</f>
        <v>52.425412425412418</v>
      </c>
      <c r="E8" s="86">
        <f>(getAggPBCO2Emissions[[#This Row],[antalPeriodenFG]]/$C$15)*100</f>
        <v>42.312497633740961</v>
      </c>
      <c r="F8" s="66">
        <v>53948</v>
      </c>
      <c r="G8" s="66">
        <v>53416</v>
      </c>
      <c r="H8" s="63">
        <f>(getAggPBCO2Emissions[[#This Row],[antalAret]]/$F$15)*100</f>
        <v>48.004983093077058</v>
      </c>
      <c r="I8" s="63">
        <f>(getAggPBCO2Emissions[[#This Row],[antalAretFG]]/$G$15)*100</f>
        <v>45.23176452656358</v>
      </c>
      <c r="J8" s="63">
        <f>((( getAggPBCO2Emissions[[#This Row],[antalPerioden]]  / getAggPBCO2Emissions[[#This Row],[antalPeriodenFG]]) - 1) * 100)</f>
        <v>33.643521832498216</v>
      </c>
      <c r="K8" s="63">
        <f>((( getAggPBCO2Emissions[[#This Row],[antalAret]]  / getAggPBCO2Emissions[[#This Row],[antalAretFG]]) - 1) * 100)</f>
        <v>0.99595626778492541</v>
      </c>
      <c r="L8" s="27"/>
    </row>
    <row r="9" spans="1:15">
      <c r="A9" s="87" t="s">
        <v>1018</v>
      </c>
      <c r="B9" s="66">
        <v>16</v>
      </c>
      <c r="C9" s="66">
        <v>79</v>
      </c>
      <c r="D9" s="86">
        <f>(getAggPBCO2Emissions[[#This Row],[antalPerioden]]/$B$15)*100</f>
        <v>5.6160056160056163E-2</v>
      </c>
      <c r="E9" s="86">
        <f>(getAggPBCO2Emissions[[#This Row],[antalPeriodenFG]]/$C$15)*100</f>
        <v>0.29909514254344449</v>
      </c>
      <c r="F9" s="66">
        <v>150</v>
      </c>
      <c r="G9" s="66">
        <v>379</v>
      </c>
      <c r="H9" s="63">
        <f>(getAggPBCO2Emissions[[#This Row],[antalAret]]/$F$15)*100</f>
        <v>0.13347570742124934</v>
      </c>
      <c r="I9" s="63">
        <f>(getAggPBCO2Emissions[[#This Row],[antalAretFG]]/$G$15)*100</f>
        <v>0.32093078395176722</v>
      </c>
      <c r="J9" s="63">
        <f>((( getAggPBCO2Emissions[[#This Row],[antalPerioden]]  / getAggPBCO2Emissions[[#This Row],[antalPeriodenFG]]) - 1) * 100)</f>
        <v>-79.74683544303798</v>
      </c>
      <c r="K9" s="63">
        <f>((( getAggPBCO2Emissions[[#This Row],[antalAret]]  / getAggPBCO2Emissions[[#This Row],[antalAretFG]]) - 1) * 100)</f>
        <v>-60.422163588390497</v>
      </c>
      <c r="L9" s="27"/>
    </row>
    <row r="10" spans="1:15">
      <c r="A10" s="88" t="s">
        <v>349</v>
      </c>
      <c r="B10" s="66">
        <v>422</v>
      </c>
      <c r="C10" s="66">
        <v>371</v>
      </c>
      <c r="D10" s="86">
        <f>(getAggPBCO2Emissions[[#This Row],[antalPerioden]]/$B$15)*100</f>
        <v>1.4812214812214812</v>
      </c>
      <c r="E10" s="86">
        <f>(getAggPBCO2Emissions[[#This Row],[antalPeriodenFG]]/$C$15)*100</f>
        <v>1.4046113656154167</v>
      </c>
      <c r="F10" s="66">
        <v>1692</v>
      </c>
      <c r="G10" s="66">
        <v>2737</v>
      </c>
      <c r="H10" s="63">
        <f>(getAggPBCO2Emissions[[#This Row],[antalAret]]/$F$15)*100</f>
        <v>1.5056059797116925</v>
      </c>
      <c r="I10" s="63">
        <f>(getAggPBCO2Emissions[[#This Row],[antalAretFG]]/$G$15)*100</f>
        <v>2.3176452656358495</v>
      </c>
      <c r="J10" s="63">
        <f>((( getAggPBCO2Emissions[[#This Row],[antalPerioden]]  / getAggPBCO2Emissions[[#This Row],[antalPeriodenFG]]) - 1) * 100)</f>
        <v>13.74663072776281</v>
      </c>
      <c r="K10" s="63">
        <f>((( getAggPBCO2Emissions[[#This Row],[antalAret]]  / getAggPBCO2Emissions[[#This Row],[antalAretFG]]) - 1) * 100)</f>
        <v>-38.180489587139199</v>
      </c>
      <c r="L10" s="27"/>
    </row>
    <row r="11" spans="1:15">
      <c r="A11" s="87" t="s">
        <v>350</v>
      </c>
      <c r="B11" s="66">
        <v>3112</v>
      </c>
      <c r="C11" s="66">
        <v>3911</v>
      </c>
      <c r="D11" s="86">
        <f>(getAggPBCO2Emissions[[#This Row],[antalPerioden]]/$B$15)*100</f>
        <v>10.923130923130923</v>
      </c>
      <c r="E11" s="86">
        <f>(getAggPBCO2Emissions[[#This Row],[antalPeriodenFG]]/$C$15)*100</f>
        <v>14.807102563131791</v>
      </c>
      <c r="F11" s="66">
        <v>13107</v>
      </c>
      <c r="G11" s="66">
        <v>16484</v>
      </c>
      <c r="H11" s="63">
        <f>(getAggPBCO2Emissions[[#This Row],[antalAret]]/$F$15)*100</f>
        <v>11.663107314468766</v>
      </c>
      <c r="I11" s="63">
        <f>(getAggPBCO2Emissions[[#This Row],[antalAretFG]]/$G$15)*100</f>
        <v>13.958372144224093</v>
      </c>
      <c r="J11" s="63">
        <f>((( getAggPBCO2Emissions[[#This Row],[antalPerioden]]  / getAggPBCO2Emissions[[#This Row],[antalPeriodenFG]]) - 1) * 100)</f>
        <v>-20.429557657888008</v>
      </c>
      <c r="K11" s="63">
        <f>((( getAggPBCO2Emissions[[#This Row],[antalAret]]  / getAggPBCO2Emissions[[#This Row],[antalAretFG]]) - 1) * 100)</f>
        <v>-20.48653239504975</v>
      </c>
      <c r="L11" s="27"/>
    </row>
    <row r="12" spans="1:15">
      <c r="A12" s="88" t="s">
        <v>351</v>
      </c>
      <c r="B12" s="66">
        <v>1172</v>
      </c>
      <c r="C12" s="66">
        <v>1916</v>
      </c>
      <c r="D12" s="86">
        <f>(getAggPBCO2Emissions[[#This Row],[antalPerioden]]/$B$15)*100</f>
        <v>4.1137241137241141</v>
      </c>
      <c r="E12" s="86">
        <f>(getAggPBCO2Emissions[[#This Row],[antalPeriodenFG]]/$C$15)*100</f>
        <v>7.2540037102941737</v>
      </c>
      <c r="F12" s="66">
        <v>5488</v>
      </c>
      <c r="G12" s="66">
        <v>7753</v>
      </c>
      <c r="H12" s="63">
        <f>(getAggPBCO2Emissions[[#This Row],[antalAret]]/$F$15)*100</f>
        <v>4.883431215518776</v>
      </c>
      <c r="I12" s="63">
        <f>(getAggPBCO2Emissions[[#This Row],[antalAretFG]]/$G$15)*100</f>
        <v>6.5651091503378662</v>
      </c>
      <c r="J12" s="63">
        <f>((( getAggPBCO2Emissions[[#This Row],[antalPerioden]]  / getAggPBCO2Emissions[[#This Row],[antalPeriodenFG]]) - 1) * 100)</f>
        <v>-38.830897703549063</v>
      </c>
      <c r="K12" s="63">
        <f>((( getAggPBCO2Emissions[[#This Row],[antalAret]]  / getAggPBCO2Emissions[[#This Row],[antalAretFG]]) - 1) * 100)</f>
        <v>-29.214497613826907</v>
      </c>
      <c r="L12" s="27"/>
    </row>
    <row r="13" spans="1:15">
      <c r="A13" s="87" t="s">
        <v>352</v>
      </c>
      <c r="B13" s="66">
        <v>856</v>
      </c>
      <c r="C13" s="66">
        <v>1567</v>
      </c>
      <c r="D13" s="86">
        <f>(getAggPBCO2Emissions[[#This Row],[antalPerioden]]/$B$15)*100</f>
        <v>3.0045630045630043</v>
      </c>
      <c r="E13" s="86">
        <f>(getAggPBCO2Emissions[[#This Row],[antalPeriodenFG]]/$C$15)*100</f>
        <v>5.9326846628554124</v>
      </c>
      <c r="F13" s="66">
        <v>3414</v>
      </c>
      <c r="G13" s="66">
        <v>6333</v>
      </c>
      <c r="H13" s="63">
        <f>(getAggPBCO2Emissions[[#This Row],[antalAret]]/$F$15)*100</f>
        <v>3.0379071009076348</v>
      </c>
      <c r="I13" s="63">
        <f>(getAggPBCO2Emissions[[#This Row],[antalAretFG]]/$G$15)*100</f>
        <v>5.3626771893576306</v>
      </c>
      <c r="J13" s="63">
        <f>((( getAggPBCO2Emissions[[#This Row],[antalPerioden]]  / getAggPBCO2Emissions[[#This Row],[antalPeriodenFG]]) - 1) * 100)</f>
        <v>-45.373324824505424</v>
      </c>
      <c r="K13" s="63">
        <f>((( getAggPBCO2Emissions[[#This Row],[antalAret]]  / getAggPBCO2Emissions[[#This Row],[antalAretFG]]) - 1) * 100)</f>
        <v>-46.091899573661777</v>
      </c>
      <c r="L13" s="27"/>
    </row>
    <row r="14" spans="1:15">
      <c r="A14" s="88" t="s">
        <v>32</v>
      </c>
      <c r="B14" s="163">
        <v>7976</v>
      </c>
      <c r="C14" s="163">
        <v>7393</v>
      </c>
      <c r="D14" s="172">
        <f>(getAggPBCO2Emissions[[#This Row],[antalPerioden]]/$B$15)*100</f>
        <v>27.995787995787996</v>
      </c>
      <c r="E14" s="172">
        <f>(getAggPBCO2Emissions[[#This Row],[antalPeriodenFG]]/$C$15)*100</f>
        <v>27.990004921818802</v>
      </c>
      <c r="F14" s="163">
        <v>34581</v>
      </c>
      <c r="G14" s="163">
        <v>30992</v>
      </c>
      <c r="H14" s="164">
        <f>(getAggPBCO2Emissions[[#This Row],[antalAret]]/$F$15)*100</f>
        <v>30.771489588894823</v>
      </c>
      <c r="I14" s="164">
        <f>(getAggPBCO2Emissions[[#This Row],[antalAretFG]]/$G$15)*100</f>
        <v>26.243500939929209</v>
      </c>
      <c r="J14" s="164">
        <f>((( getAggPBCO2Emissions[[#This Row],[antalPerioden]]  / getAggPBCO2Emissions[[#This Row],[antalPeriodenFG]]) - 1) * 100)</f>
        <v>7.8858379548221391</v>
      </c>
      <c r="K14" s="164">
        <f>((( getAggPBCO2Emissions[[#This Row],[antalAret]]  / getAggPBCO2Emissions[[#This Row],[antalAretFG]]) - 1) * 100)</f>
        <v>11.580407847186368</v>
      </c>
      <c r="L14" s="27"/>
    </row>
    <row r="15" spans="1:15" s="6" customFormat="1">
      <c r="A15" s="89" t="s">
        <v>475</v>
      </c>
      <c r="B15" s="89">
        <f t="shared" ref="B15:I15" si="0">SUM(B8:B14)</f>
        <v>28490</v>
      </c>
      <c r="C15" s="89">
        <f t="shared" si="0"/>
        <v>26413</v>
      </c>
      <c r="D15" s="90">
        <f t="shared" si="0"/>
        <v>100</v>
      </c>
      <c r="E15" s="90">
        <f t="shared" si="0"/>
        <v>100</v>
      </c>
      <c r="F15" s="89">
        <f t="shared" si="0"/>
        <v>112380</v>
      </c>
      <c r="G15" s="89">
        <f t="shared" si="0"/>
        <v>118094</v>
      </c>
      <c r="H15" s="90">
        <f t="shared" si="0"/>
        <v>100</v>
      </c>
      <c r="I15" s="90">
        <f t="shared" si="0"/>
        <v>99.999999999999986</v>
      </c>
      <c r="J15" s="91">
        <f>((( B15  / C15) - 1) * 100)</f>
        <v>7.8635520387687841</v>
      </c>
      <c r="K15" s="91">
        <f>((( F15  / G15) - 1) * 100)</f>
        <v>-4.8385184683387816</v>
      </c>
      <c r="L15" s="42"/>
    </row>
    <row r="16" spans="1:15">
      <c r="A16" s="66"/>
      <c r="B16" s="27"/>
      <c r="C16" s="66"/>
      <c r="D16" s="66"/>
      <c r="E16" s="86"/>
      <c r="F16" s="86"/>
      <c r="G16" s="66"/>
      <c r="H16" s="66"/>
      <c r="I16" s="63"/>
      <c r="J16" s="79"/>
      <c r="K16" s="63"/>
      <c r="L16" s="27"/>
    </row>
    <row r="17" spans="1:15">
      <c r="A17" s="66"/>
      <c r="B17" s="27"/>
      <c r="C17" s="66"/>
      <c r="D17" s="66"/>
      <c r="E17" s="86"/>
      <c r="F17" s="86"/>
      <c r="G17" s="66"/>
      <c r="H17" s="66"/>
      <c r="I17" s="63"/>
      <c r="J17" s="63"/>
      <c r="K17" s="63"/>
      <c r="L17" s="27"/>
    </row>
    <row r="18" spans="1:15">
      <c r="A18" s="59" t="s">
        <v>712</v>
      </c>
      <c r="B18" s="27"/>
      <c r="C18" s="66"/>
      <c r="D18" s="66"/>
      <c r="E18" s="86"/>
      <c r="F18" s="86"/>
      <c r="G18" s="66"/>
      <c r="H18" s="66"/>
      <c r="I18" s="63"/>
      <c r="J18" s="63"/>
      <c r="K18" s="63"/>
      <c r="L18" s="27"/>
    </row>
    <row r="19" spans="1:15">
      <c r="A19" s="59" t="s">
        <v>353</v>
      </c>
      <c r="B19" s="27"/>
      <c r="C19" s="66"/>
      <c r="D19" s="66"/>
      <c r="E19" s="86"/>
      <c r="F19" s="86"/>
      <c r="G19" s="66"/>
      <c r="H19" s="66"/>
      <c r="I19" s="63"/>
      <c r="J19" s="63"/>
      <c r="K19" s="63"/>
      <c r="L19" s="27"/>
    </row>
    <row r="22" spans="1:15" ht="19.25" customHeight="1" thickBot="1">
      <c r="A22" s="60" t="s">
        <v>372</v>
      </c>
      <c r="B22" s="60"/>
      <c r="C22" s="60"/>
      <c r="D22" s="60"/>
      <c r="E22" s="60"/>
      <c r="F22" s="60"/>
      <c r="G22"/>
    </row>
    <row r="24" spans="1:15">
      <c r="A24" s="66"/>
      <c r="B24" s="27"/>
      <c r="C24" s="66"/>
      <c r="D24" s="66"/>
      <c r="E24" s="86"/>
      <c r="F24" s="92"/>
      <c r="G24" s="274" t="s">
        <v>473</v>
      </c>
      <c r="H24" s="274"/>
      <c r="I24" s="274"/>
      <c r="J24" s="274"/>
      <c r="K24" s="274"/>
      <c r="L24" s="27"/>
    </row>
    <row r="25" spans="1:15">
      <c r="A25" s="110"/>
      <c r="B25" s="280" t="s">
        <v>560</v>
      </c>
      <c r="C25" s="281"/>
      <c r="D25" s="282" t="s">
        <v>562</v>
      </c>
      <c r="E25" s="283"/>
      <c r="F25" s="136" t="s">
        <v>560</v>
      </c>
      <c r="G25" s="137"/>
      <c r="H25" s="284" t="s">
        <v>562</v>
      </c>
      <c r="I25" s="285"/>
      <c r="J25" s="284" t="s">
        <v>561</v>
      </c>
      <c r="K25" s="285"/>
      <c r="L25" s="27"/>
    </row>
    <row r="26" spans="1:15">
      <c r="A26" s="110"/>
      <c r="B26" s="138" t="str">
        <f>Innehåll!D79</f>
        <v xml:space="preserve"> 2023-05</v>
      </c>
      <c r="C26" s="138" t="str">
        <f>Innehåll!D80</f>
        <v xml:space="preserve"> 2022-05</v>
      </c>
      <c r="D26" s="139" t="str">
        <f>B26</f>
        <v xml:space="preserve"> 2023-05</v>
      </c>
      <c r="E26" s="140" t="str">
        <f>C26</f>
        <v xml:space="preserve"> 2022-05</v>
      </c>
      <c r="F26" s="138" t="str">
        <f>Innehåll!D81</f>
        <v>YTD  2023</v>
      </c>
      <c r="G26" s="138" t="str">
        <f>Innehåll!D82</f>
        <v>YTD  2022</v>
      </c>
      <c r="H26" s="141" t="str">
        <f>F26</f>
        <v>YTD  2023</v>
      </c>
      <c r="I26" s="142" t="str">
        <f>G26</f>
        <v>YTD  2022</v>
      </c>
      <c r="J26" s="143" t="str">
        <f>B26</f>
        <v xml:space="preserve"> 2023-05</v>
      </c>
      <c r="K26" s="141" t="str">
        <f>F26</f>
        <v>YTD  2023</v>
      </c>
      <c r="L26" s="27"/>
    </row>
    <row r="27" spans="1:15" ht="15" hidden="1" customHeight="1">
      <c r="A27" s="66" t="s">
        <v>342</v>
      </c>
      <c r="B27" s="66" t="s">
        <v>35</v>
      </c>
      <c r="C27" s="66" t="s">
        <v>308</v>
      </c>
      <c r="D27" s="66" t="s">
        <v>343</v>
      </c>
      <c r="E27" s="66" t="s">
        <v>344</v>
      </c>
      <c r="F27" s="66" t="s">
        <v>309</v>
      </c>
      <c r="G27" s="66" t="s">
        <v>310</v>
      </c>
      <c r="H27" s="66" t="s">
        <v>345</v>
      </c>
      <c r="I27" s="66" t="s">
        <v>346</v>
      </c>
      <c r="J27" s="66" t="s">
        <v>347</v>
      </c>
      <c r="K27" s="66" t="s">
        <v>355</v>
      </c>
      <c r="L27" s="66"/>
      <c r="M27" s="9"/>
      <c r="N27" s="9"/>
      <c r="O27" s="9"/>
    </row>
    <row r="28" spans="1:15">
      <c r="A28" s="66" t="s">
        <v>1007</v>
      </c>
      <c r="B28" s="66">
        <v>17813</v>
      </c>
      <c r="C28" s="66">
        <v>12715</v>
      </c>
      <c r="D28" s="86">
        <f t="shared" ref="D28:D35" si="1">(B28/$B$36)*100</f>
        <v>62.523692523692517</v>
      </c>
      <c r="E28" s="86">
        <f t="shared" ref="E28:E35" si="2">(C28/$C$36)*100</f>
        <v>48.139173891644269</v>
      </c>
      <c r="F28" s="66">
        <v>65014</v>
      </c>
      <c r="G28" s="66">
        <v>60202</v>
      </c>
      <c r="H28" s="86">
        <f t="shared" ref="H28:H35" si="3">(F28/$F$36)*100</f>
        <v>57.851930948567365</v>
      </c>
      <c r="I28" s="86">
        <f t="shared" ref="I28:I35" si="4">(G28/$G$36)*100</f>
        <v>50.978034447135336</v>
      </c>
      <c r="J28" s="63">
        <f t="shared" ref="J28:J35" si="5">((( B28  / C28) - 1) * 100)</f>
        <v>40.094376720408967</v>
      </c>
      <c r="K28" s="63">
        <f t="shared" ref="K28:K35" si="6">((( F28  / G28) - 1) * 100)</f>
        <v>7.9930899305670877</v>
      </c>
      <c r="L28" s="66"/>
      <c r="M28" s="9"/>
      <c r="N28" s="9"/>
      <c r="O28" s="9"/>
    </row>
    <row r="29" spans="1:15">
      <c r="A29" s="66" t="s">
        <v>1008</v>
      </c>
      <c r="B29" s="66">
        <v>43</v>
      </c>
      <c r="C29" s="66">
        <v>157</v>
      </c>
      <c r="D29" s="86">
        <f t="shared" si="1"/>
        <v>0.15093015093015094</v>
      </c>
      <c r="E29" s="63">
        <f t="shared" si="2"/>
        <v>0.59440427062431378</v>
      </c>
      <c r="F29" s="66">
        <v>331</v>
      </c>
      <c r="G29" s="66">
        <v>1041</v>
      </c>
      <c r="H29" s="63">
        <f t="shared" si="3"/>
        <v>0.29453639437622353</v>
      </c>
      <c r="I29" s="63">
        <f t="shared" si="4"/>
        <v>0.88150117702846875</v>
      </c>
      <c r="J29" s="63">
        <f t="shared" si="5"/>
        <v>-72.611464968152873</v>
      </c>
      <c r="K29" s="63">
        <f t="shared" si="6"/>
        <v>-68.203650336215176</v>
      </c>
      <c r="L29" s="66"/>
      <c r="M29" s="9"/>
      <c r="N29" s="9"/>
      <c r="O29" s="9"/>
    </row>
    <row r="30" spans="1:15">
      <c r="A30" s="66" t="s">
        <v>613</v>
      </c>
      <c r="B30" s="66">
        <v>3</v>
      </c>
      <c r="C30" s="66">
        <v>13</v>
      </c>
      <c r="D30" s="86">
        <f t="shared" si="1"/>
        <v>1.053001053001053E-2</v>
      </c>
      <c r="E30" s="63">
        <f t="shared" si="2"/>
        <v>4.9218188013478208E-2</v>
      </c>
      <c r="F30" s="66">
        <v>45</v>
      </c>
      <c r="G30" s="66">
        <v>115</v>
      </c>
      <c r="H30" s="63">
        <f t="shared" si="3"/>
        <v>4.0042712226374795E-2</v>
      </c>
      <c r="I30" s="63">
        <f t="shared" si="4"/>
        <v>9.7380053177976864E-2</v>
      </c>
      <c r="J30" s="63">
        <f t="shared" si="5"/>
        <v>-76.92307692307692</v>
      </c>
      <c r="K30" s="63">
        <f t="shared" si="6"/>
        <v>-60.869565217391312</v>
      </c>
      <c r="L30" s="66"/>
      <c r="M30" s="9"/>
      <c r="N30" s="9"/>
      <c r="O30" s="9"/>
    </row>
    <row r="31" spans="1:15">
      <c r="A31" s="66" t="s">
        <v>614</v>
      </c>
      <c r="B31" s="66">
        <v>483</v>
      </c>
      <c r="C31" s="66">
        <v>189</v>
      </c>
      <c r="D31" s="86">
        <f t="shared" si="1"/>
        <v>1.6953316953316953</v>
      </c>
      <c r="E31" s="63">
        <f t="shared" si="2"/>
        <v>0.71555673342672166</v>
      </c>
      <c r="F31" s="66">
        <v>1719</v>
      </c>
      <c r="G31" s="66">
        <v>1149</v>
      </c>
      <c r="H31" s="63">
        <f t="shared" si="3"/>
        <v>1.5296316070475173</v>
      </c>
      <c r="I31" s="63">
        <f t="shared" si="4"/>
        <v>0.97295374870865581</v>
      </c>
      <c r="J31" s="63">
        <f t="shared" si="5"/>
        <v>155.55555555555554</v>
      </c>
      <c r="K31" s="63">
        <f t="shared" si="6"/>
        <v>49.608355091383814</v>
      </c>
      <c r="L31" s="66"/>
      <c r="M31" s="9"/>
      <c r="N31" s="9"/>
      <c r="O31" s="9"/>
    </row>
    <row r="32" spans="1:15">
      <c r="A32" s="66" t="s">
        <v>615</v>
      </c>
      <c r="B32" s="66">
        <v>1796</v>
      </c>
      <c r="C32" s="66">
        <v>2430</v>
      </c>
      <c r="D32" s="86">
        <f t="shared" si="1"/>
        <v>6.3039663039663045</v>
      </c>
      <c r="E32" s="63">
        <f t="shared" si="2"/>
        <v>9.2000151440578506</v>
      </c>
      <c r="F32" s="66">
        <v>8950</v>
      </c>
      <c r="G32" s="66">
        <v>10742</v>
      </c>
      <c r="H32" s="63">
        <f t="shared" si="3"/>
        <v>7.9640505428012096</v>
      </c>
      <c r="I32" s="63">
        <f t="shared" si="4"/>
        <v>9.0961437498941518</v>
      </c>
      <c r="J32" s="63">
        <f t="shared" si="5"/>
        <v>-26.090534979423865</v>
      </c>
      <c r="K32" s="63">
        <f t="shared" si="6"/>
        <v>-16.682182088996466</v>
      </c>
      <c r="L32" s="66"/>
      <c r="M32" s="9"/>
      <c r="N32" s="9"/>
      <c r="O32" s="9"/>
    </row>
    <row r="33" spans="1:18">
      <c r="A33" s="66" t="s">
        <v>351</v>
      </c>
      <c r="B33" s="66">
        <v>1785</v>
      </c>
      <c r="C33" s="66">
        <v>1593</v>
      </c>
      <c r="D33" s="86">
        <f t="shared" si="1"/>
        <v>6.2653562653562656</v>
      </c>
      <c r="E33" s="63">
        <f t="shared" si="2"/>
        <v>6.0311210388823682</v>
      </c>
      <c r="F33" s="66">
        <v>7378</v>
      </c>
      <c r="G33" s="66">
        <v>7041</v>
      </c>
      <c r="H33" s="63">
        <f t="shared" si="3"/>
        <v>6.5652251290265164</v>
      </c>
      <c r="I33" s="63">
        <f t="shared" si="4"/>
        <v>5.9621996037055229</v>
      </c>
      <c r="J33" s="63">
        <f t="shared" si="5"/>
        <v>12.052730696798486</v>
      </c>
      <c r="K33" s="63">
        <f t="shared" si="6"/>
        <v>4.7862519528476088</v>
      </c>
      <c r="L33" s="66"/>
      <c r="M33" s="9"/>
      <c r="N33" s="9"/>
      <c r="O33" s="9"/>
    </row>
    <row r="34" spans="1:18">
      <c r="A34" s="66" t="s">
        <v>352</v>
      </c>
      <c r="B34" s="66">
        <v>2118</v>
      </c>
      <c r="C34" s="66">
        <v>2141</v>
      </c>
      <c r="D34" s="86">
        <f t="shared" si="1"/>
        <v>7.4341874341874341</v>
      </c>
      <c r="E34" s="63">
        <f t="shared" si="2"/>
        <v>8.1058569643736043</v>
      </c>
      <c r="F34" s="66">
        <v>9191</v>
      </c>
      <c r="G34" s="66">
        <v>8957</v>
      </c>
      <c r="H34" s="63">
        <f t="shared" si="3"/>
        <v>8.1785015127246847</v>
      </c>
      <c r="I34" s="63">
        <f t="shared" si="4"/>
        <v>7.5846359679577287</v>
      </c>
      <c r="J34" s="63">
        <f t="shared" si="5"/>
        <v>-1.0742643624474524</v>
      </c>
      <c r="K34" s="63">
        <f t="shared" si="6"/>
        <v>2.6124818577648812</v>
      </c>
      <c r="L34" s="66"/>
      <c r="M34" s="9"/>
      <c r="N34" s="9"/>
      <c r="O34" s="9"/>
    </row>
    <row r="35" spans="1:18">
      <c r="A35" s="163" t="s">
        <v>32</v>
      </c>
      <c r="B35" s="163">
        <v>4449</v>
      </c>
      <c r="C35" s="163">
        <v>7175</v>
      </c>
      <c r="D35" s="172">
        <f t="shared" si="1"/>
        <v>15.616005616005616</v>
      </c>
      <c r="E35" s="164">
        <f t="shared" si="2"/>
        <v>27.164653768977399</v>
      </c>
      <c r="F35" s="163">
        <v>19752</v>
      </c>
      <c r="G35" s="163">
        <v>28847</v>
      </c>
      <c r="H35" s="164">
        <f t="shared" si="3"/>
        <v>17.57608115323011</v>
      </c>
      <c r="I35" s="164">
        <f t="shared" si="4"/>
        <v>24.427151252392161</v>
      </c>
      <c r="J35" s="164">
        <f t="shared" si="5"/>
        <v>-37.99303135888502</v>
      </c>
      <c r="K35" s="164">
        <f t="shared" si="6"/>
        <v>-31.528408500017335</v>
      </c>
      <c r="L35" s="66"/>
      <c r="M35" s="9"/>
      <c r="N35" s="9"/>
      <c r="O35" s="9"/>
    </row>
    <row r="36" spans="1:18">
      <c r="A36" s="93" t="s">
        <v>475</v>
      </c>
      <c r="B36" s="93">
        <f>SUM(B28:B35)</f>
        <v>28490</v>
      </c>
      <c r="C36" s="227">
        <f>SUM(C28:C35)</f>
        <v>26413</v>
      </c>
      <c r="D36" s="94">
        <f t="shared" ref="D36" si="7">(B36/$B$36)*100</f>
        <v>100</v>
      </c>
      <c r="E36" s="94">
        <f t="shared" ref="E36" si="8">(C36/$C$36)*100</f>
        <v>100</v>
      </c>
      <c r="F36" s="227">
        <f>SUM(F28:F35)</f>
        <v>112380</v>
      </c>
      <c r="G36" s="227">
        <f>SUM(G28:G35)</f>
        <v>118094</v>
      </c>
      <c r="H36" s="94">
        <f t="shared" ref="H36" si="9">(F36/$F$36)*100</f>
        <v>100</v>
      </c>
      <c r="I36" s="94">
        <f t="shared" ref="I36" si="10">(G36/$G$36)*100</f>
        <v>100</v>
      </c>
      <c r="J36" s="95">
        <f>((( B36  / C36) - 1) * 100)</f>
        <v>7.8635520387687841</v>
      </c>
      <c r="K36" s="95">
        <f>((( F36  / G36) - 1) * 100)</f>
        <v>-4.8385184683387816</v>
      </c>
      <c r="L36" s="86"/>
      <c r="M36" s="5"/>
      <c r="N36" s="5"/>
      <c r="O36" s="9"/>
      <c r="P36" s="9"/>
      <c r="Q36" s="9"/>
    </row>
    <row r="37" spans="1:18">
      <c r="Q37" s="16"/>
    </row>
    <row r="39" spans="1:18">
      <c r="Q39" s="16"/>
    </row>
    <row r="44" spans="1:18" ht="19.25" customHeight="1" thickBot="1">
      <c r="N44" s="72" t="s">
        <v>367</v>
      </c>
      <c r="O44" s="61"/>
      <c r="P44" s="61"/>
      <c r="Q44" s="61"/>
      <c r="R44" s="127"/>
    </row>
    <row r="45" spans="1:18">
      <c r="N45" s="27"/>
      <c r="O45" s="27"/>
      <c r="P45" s="27"/>
      <c r="Q45" s="27"/>
      <c r="R45" s="27"/>
    </row>
    <row r="46" spans="1:18">
      <c r="N46" s="27"/>
      <c r="O46" s="27"/>
      <c r="P46" s="27"/>
      <c r="Q46" s="27"/>
      <c r="R46" s="27"/>
    </row>
    <row r="47" spans="1:18" ht="16" thickBot="1">
      <c r="N47" s="80" t="str">
        <f>Innehåll!D85</f>
        <v>Jan - maj 2023</v>
      </c>
      <c r="O47" s="81" t="s">
        <v>563</v>
      </c>
      <c r="P47" s="27"/>
      <c r="Q47" s="27"/>
      <c r="R47" s="27"/>
    </row>
    <row r="48" spans="1:18">
      <c r="N48" s="27"/>
      <c r="O48" s="27"/>
      <c r="P48" s="27"/>
      <c r="Q48" s="27"/>
      <c r="R48" s="27"/>
    </row>
    <row r="49" spans="1:18">
      <c r="N49" s="27" t="s">
        <v>1007</v>
      </c>
      <c r="O49" s="46">
        <f t="shared" ref="O49:O55" si="11">H8/100</f>
        <v>0.48004983093077058</v>
      </c>
      <c r="P49" s="27"/>
      <c r="Q49" s="27"/>
      <c r="R49" s="27"/>
    </row>
    <row r="50" spans="1:18">
      <c r="N50" s="27" t="s">
        <v>1009</v>
      </c>
      <c r="O50" s="46">
        <f t="shared" si="11"/>
        <v>1.3347570742124934E-3</v>
      </c>
      <c r="P50" s="27"/>
      <c r="Q50" s="27"/>
      <c r="R50" s="27"/>
    </row>
    <row r="51" spans="1:18">
      <c r="N51" s="27" t="s">
        <v>17</v>
      </c>
      <c r="O51" s="46">
        <f t="shared" si="11"/>
        <v>1.5056059797116925E-2</v>
      </c>
      <c r="P51" s="27"/>
      <c r="Q51" s="27"/>
      <c r="R51" s="27"/>
    </row>
    <row r="52" spans="1:18">
      <c r="N52" s="8" t="s">
        <v>18</v>
      </c>
      <c r="O52" s="46">
        <f t="shared" si="11"/>
        <v>0.11663107314468765</v>
      </c>
      <c r="P52" s="27"/>
      <c r="Q52" s="27"/>
      <c r="R52" s="27"/>
    </row>
    <row r="53" spans="1:18">
      <c r="N53" s="8" t="s">
        <v>356</v>
      </c>
      <c r="O53" s="46">
        <f t="shared" si="11"/>
        <v>4.8834312155187763E-2</v>
      </c>
      <c r="P53" s="27"/>
      <c r="Q53" s="27"/>
      <c r="R53" s="27"/>
    </row>
    <row r="54" spans="1:18">
      <c r="N54" s="8" t="s">
        <v>357</v>
      </c>
      <c r="O54" s="46">
        <f t="shared" si="11"/>
        <v>3.0379071009076348E-2</v>
      </c>
      <c r="P54" s="27"/>
      <c r="Q54" s="27"/>
      <c r="R54" s="27"/>
    </row>
    <row r="55" spans="1:18">
      <c r="N55" s="8" t="s">
        <v>19</v>
      </c>
      <c r="O55" s="46">
        <f t="shared" si="11"/>
        <v>0.30771489588894824</v>
      </c>
      <c r="P55" s="27"/>
      <c r="Q55" s="27"/>
      <c r="R55" s="27"/>
    </row>
    <row r="57" spans="1:18">
      <c r="O57" s="228"/>
    </row>
    <row r="60" spans="1:18" ht="20" thickBot="1">
      <c r="A60" s="60"/>
    </row>
    <row r="70" spans="14:18">
      <c r="N70" s="27"/>
      <c r="O70" s="27"/>
      <c r="P70" s="27"/>
      <c r="Q70" s="27"/>
    </row>
    <row r="71" spans="14:18" ht="19.25" customHeight="1" thickBot="1">
      <c r="N71" s="72" t="s">
        <v>27</v>
      </c>
      <c r="O71" s="96"/>
      <c r="P71" s="96"/>
      <c r="Q71" s="96"/>
      <c r="R71" s="151"/>
    </row>
    <row r="72" spans="14:18">
      <c r="N72" s="17"/>
      <c r="O72" s="17"/>
      <c r="P72" s="17"/>
      <c r="Q72" s="17"/>
    </row>
    <row r="73" spans="14:18" ht="16" thickBot="1">
      <c r="N73" s="20" t="s">
        <v>495</v>
      </c>
      <c r="O73" s="97"/>
      <c r="P73" s="21" t="s">
        <v>1076</v>
      </c>
      <c r="Q73" s="21" t="str">
        <f>Innehåll!D85</f>
        <v>Jan - maj 2023</v>
      </c>
    </row>
    <row r="74" spans="14:18">
      <c r="N74" t="s">
        <v>1007</v>
      </c>
      <c r="P74" s="34">
        <f t="shared" ref="P74:P80" si="12">G8</f>
        <v>53416</v>
      </c>
      <c r="Q74" s="34">
        <f t="shared" ref="Q74:Q80" si="13">F8</f>
        <v>53948</v>
      </c>
    </row>
    <row r="75" spans="14:18">
      <c r="N75" s="17" t="s">
        <v>1010</v>
      </c>
      <c r="O75" s="27"/>
      <c r="P75" s="34">
        <f t="shared" si="12"/>
        <v>379</v>
      </c>
      <c r="Q75" s="34">
        <f t="shared" si="13"/>
        <v>150</v>
      </c>
    </row>
    <row r="76" spans="14:18">
      <c r="N76" s="17" t="s">
        <v>28</v>
      </c>
      <c r="O76" s="27"/>
      <c r="P76" s="34">
        <f t="shared" si="12"/>
        <v>2737</v>
      </c>
      <c r="Q76" s="34">
        <f t="shared" si="13"/>
        <v>1692</v>
      </c>
    </row>
    <row r="77" spans="14:18">
      <c r="N77" s="17" t="s">
        <v>29</v>
      </c>
      <c r="O77" s="27"/>
      <c r="P77" s="34">
        <f t="shared" si="12"/>
        <v>16484</v>
      </c>
      <c r="Q77" s="34">
        <f t="shared" si="13"/>
        <v>13107</v>
      </c>
    </row>
    <row r="78" spans="14:18">
      <c r="N78" s="17" t="s">
        <v>30</v>
      </c>
      <c r="O78" s="27"/>
      <c r="P78" s="34">
        <f t="shared" si="12"/>
        <v>7753</v>
      </c>
      <c r="Q78" s="34">
        <f t="shared" si="13"/>
        <v>5488</v>
      </c>
    </row>
    <row r="79" spans="14:18">
      <c r="N79" s="17" t="s">
        <v>31</v>
      </c>
      <c r="O79" s="27"/>
      <c r="P79" s="34">
        <f t="shared" si="12"/>
        <v>6333</v>
      </c>
      <c r="Q79" s="34">
        <f t="shared" si="13"/>
        <v>3414</v>
      </c>
    </row>
    <row r="80" spans="14:18">
      <c r="N80" s="17" t="s">
        <v>32</v>
      </c>
      <c r="O80" s="27"/>
      <c r="P80" s="34">
        <f t="shared" si="12"/>
        <v>30992</v>
      </c>
      <c r="Q80" s="34">
        <f t="shared" si="13"/>
        <v>34581</v>
      </c>
    </row>
    <row r="81" spans="13:17">
      <c r="N81" s="31" t="s">
        <v>559</v>
      </c>
      <c r="O81" s="98"/>
      <c r="P81" s="32">
        <f>SUM(P74:P80)</f>
        <v>118094</v>
      </c>
      <c r="Q81" s="32">
        <f>SUM(Q74:Q80)</f>
        <v>112380</v>
      </c>
    </row>
    <row r="86" spans="13:17">
      <c r="M86" s="17"/>
    </row>
    <row r="103" spans="14:18">
      <c r="N103" s="27"/>
      <c r="O103" s="27"/>
      <c r="P103" s="27"/>
      <c r="Q103" s="27"/>
      <c r="R103" s="27"/>
    </row>
    <row r="104" spans="14:18">
      <c r="N104" s="27"/>
      <c r="O104" s="27"/>
      <c r="P104" s="27"/>
      <c r="Q104" s="27"/>
      <c r="R104" s="27"/>
    </row>
    <row r="105" spans="14:18" ht="19.25" customHeight="1" thickBot="1">
      <c r="N105" s="70" t="s">
        <v>387</v>
      </c>
      <c r="O105" s="61"/>
      <c r="P105" s="61"/>
      <c r="Q105" s="61"/>
      <c r="R105" s="27"/>
    </row>
    <row r="106" spans="14:18" ht="16" thickTop="1">
      <c r="N106" s="7"/>
      <c r="O106" s="7"/>
      <c r="P106" s="17"/>
      <c r="R106" s="27"/>
    </row>
    <row r="107" spans="14:18" ht="15" hidden="1" customHeight="1">
      <c r="N107" s="17"/>
      <c r="O107" s="17"/>
      <c r="P107" s="17"/>
      <c r="Q107" s="17">
        <v>39.299999999999997</v>
      </c>
      <c r="R107" s="27"/>
    </row>
    <row r="108" spans="14:18" ht="16" thickBot="1">
      <c r="N108" s="20" t="s">
        <v>476</v>
      </c>
      <c r="O108" s="20">
        <v>2021</v>
      </c>
      <c r="P108" s="20">
        <v>2022</v>
      </c>
      <c r="Q108" s="20">
        <v>2023</v>
      </c>
      <c r="R108" s="27"/>
    </row>
    <row r="109" spans="14:18">
      <c r="N109" s="17" t="s">
        <v>2</v>
      </c>
      <c r="O109" s="82">
        <v>91.9</v>
      </c>
      <c r="P109" s="82">
        <v>70.7</v>
      </c>
      <c r="Q109" s="82">
        <v>27.7</v>
      </c>
      <c r="R109" s="27"/>
    </row>
    <row r="110" spans="14:18">
      <c r="N110" s="17" t="s">
        <v>3</v>
      </c>
      <c r="O110" s="82">
        <v>90</v>
      </c>
      <c r="P110" s="82">
        <v>51.1</v>
      </c>
      <c r="Q110" s="82">
        <v>18.8</v>
      </c>
      <c r="R110" s="27"/>
    </row>
    <row r="111" spans="14:18">
      <c r="N111" s="17" t="s">
        <v>4</v>
      </c>
      <c r="O111" s="82">
        <v>88.4</v>
      </c>
      <c r="P111" s="82">
        <v>44.8</v>
      </c>
      <c r="Q111" s="82">
        <v>10.9</v>
      </c>
      <c r="R111" s="27"/>
    </row>
    <row r="112" spans="14:18">
      <c r="N112" s="17" t="s">
        <v>5</v>
      </c>
      <c r="O112" s="82">
        <v>72.8</v>
      </c>
      <c r="P112" s="82">
        <v>46.5</v>
      </c>
      <c r="Q112" s="82">
        <v>10</v>
      </c>
      <c r="R112" s="27"/>
    </row>
    <row r="113" spans="1:18">
      <c r="N113" s="17" t="s">
        <v>6</v>
      </c>
      <c r="O113" s="82">
        <v>78.900000000000006</v>
      </c>
      <c r="P113" s="82">
        <v>47.7</v>
      </c>
      <c r="Q113" s="82">
        <v>6.9</v>
      </c>
      <c r="R113" s="27"/>
    </row>
    <row r="114" spans="1:18" hidden="1">
      <c r="A114" s="6"/>
      <c r="B114" s="6"/>
      <c r="C114" s="6"/>
      <c r="D114" s="6"/>
      <c r="E114" s="6"/>
      <c r="F114" s="6"/>
      <c r="G114" s="6"/>
      <c r="H114" s="6"/>
      <c r="I114" s="6"/>
      <c r="J114" s="6"/>
      <c r="K114" s="6"/>
      <c r="N114" s="17" t="s">
        <v>7</v>
      </c>
      <c r="O114" s="82">
        <v>67</v>
      </c>
      <c r="P114" s="82">
        <v>45.2</v>
      </c>
      <c r="Q114" s="82"/>
      <c r="R114" s="27"/>
    </row>
    <row r="115" spans="1:18" s="6" customFormat="1">
      <c r="A115" s="5"/>
      <c r="B115"/>
      <c r="C115" s="5"/>
      <c r="D115" s="5"/>
      <c r="E115" s="13"/>
      <c r="F115" s="13"/>
      <c r="G115" s="5"/>
      <c r="H115" s="5"/>
      <c r="I115" s="9"/>
      <c r="J115" s="9"/>
      <c r="K115" s="9"/>
      <c r="N115" s="17" t="s">
        <v>7</v>
      </c>
      <c r="O115" s="82">
        <v>67</v>
      </c>
      <c r="P115" s="82">
        <v>45.3</v>
      </c>
      <c r="Q115" s="82"/>
      <c r="R115" s="42"/>
    </row>
    <row r="116" spans="1:18">
      <c r="N116" s="17" t="s">
        <v>8</v>
      </c>
      <c r="O116" s="82">
        <v>73.900000000000006</v>
      </c>
      <c r="P116" s="17">
        <v>42.9</v>
      </c>
      <c r="Q116" s="17"/>
      <c r="R116" s="27"/>
    </row>
    <row r="117" spans="1:18">
      <c r="N117" s="17" t="s">
        <v>9</v>
      </c>
      <c r="O117" s="82">
        <v>62.2</v>
      </c>
      <c r="P117" s="82">
        <v>32.5</v>
      </c>
      <c r="Q117" s="82"/>
      <c r="R117" s="27"/>
    </row>
    <row r="118" spans="1:18">
      <c r="N118" s="17" t="s">
        <v>10</v>
      </c>
      <c r="O118" s="82">
        <v>53</v>
      </c>
      <c r="P118" s="82">
        <v>30.3</v>
      </c>
      <c r="Q118" s="82"/>
      <c r="R118" s="27"/>
    </row>
    <row r="119" spans="1:18">
      <c r="N119" s="17" t="s">
        <v>11</v>
      </c>
      <c r="O119" s="82">
        <v>58.6</v>
      </c>
      <c r="P119" s="82">
        <v>30.3</v>
      </c>
      <c r="Q119" s="82"/>
      <c r="R119" s="27"/>
    </row>
    <row r="120" spans="1:18">
      <c r="N120" s="17" t="s">
        <v>12</v>
      </c>
      <c r="O120" s="82">
        <v>53.5</v>
      </c>
      <c r="P120" s="82"/>
      <c r="Q120" s="82"/>
      <c r="R120" s="27"/>
    </row>
    <row r="121" spans="1:18">
      <c r="N121" s="28" t="s">
        <v>13</v>
      </c>
      <c r="O121" s="83">
        <v>45.1</v>
      </c>
      <c r="P121" s="83"/>
      <c r="Q121" s="83"/>
      <c r="R121" s="27"/>
    </row>
    <row r="122" spans="1:18">
      <c r="N122" s="30" t="s">
        <v>558</v>
      </c>
      <c r="O122" s="30">
        <v>94</v>
      </c>
      <c r="P122" s="30">
        <v>43.3</v>
      </c>
      <c r="Q122" s="30">
        <v>13.2</v>
      </c>
      <c r="R122" s="27"/>
    </row>
    <row r="123" spans="1:18">
      <c r="N123" s="27"/>
      <c r="O123" s="27"/>
      <c r="P123" s="27"/>
      <c r="Q123" s="27"/>
      <c r="R123" s="27"/>
    </row>
    <row r="124" spans="1:18">
      <c r="N124" s="27"/>
      <c r="O124" s="27"/>
      <c r="P124" s="27"/>
      <c r="Q124" s="27"/>
      <c r="R124" s="27"/>
    </row>
    <row r="125" spans="1:18">
      <c r="N125" s="27"/>
      <c r="O125" s="27"/>
      <c r="P125" s="27"/>
      <c r="Q125" s="27"/>
      <c r="R125" s="27"/>
    </row>
    <row r="126" spans="1:18" ht="15" hidden="1" customHeight="1"/>
    <row r="135" spans="1:1">
      <c r="A135" s="5" t="s">
        <v>705</v>
      </c>
    </row>
    <row r="151" spans="1:2" hidden="1"/>
    <row r="152" spans="1:2" ht="15" hidden="1" customHeight="1">
      <c r="A152" s="5" t="s">
        <v>398</v>
      </c>
      <c r="B152" t="s">
        <v>399</v>
      </c>
    </row>
    <row r="153" spans="1:2" ht="15" hidden="1" customHeight="1">
      <c r="A153" s="5">
        <v>28490</v>
      </c>
      <c r="B153" s="9">
        <v>6.9</v>
      </c>
    </row>
    <row r="154" spans="1:2" ht="15" hidden="1" customHeight="1">
      <c r="A154" s="5">
        <v>112380</v>
      </c>
      <c r="B154" s="9">
        <v>13.2</v>
      </c>
    </row>
    <row r="155" spans="1:2" hidden="1"/>
    <row r="156" spans="1:2" hidden="1"/>
    <row r="157" spans="1:2">
      <c r="A157" s="5" t="s">
        <v>705</v>
      </c>
    </row>
  </sheetData>
  <mergeCells count="10">
    <mergeCell ref="G4:K4"/>
    <mergeCell ref="B25:C25"/>
    <mergeCell ref="D25:E25"/>
    <mergeCell ref="J5:K5"/>
    <mergeCell ref="B5:C5"/>
    <mergeCell ref="D5:E5"/>
    <mergeCell ref="H5:I5"/>
    <mergeCell ref="H25:I25"/>
    <mergeCell ref="J25:K25"/>
    <mergeCell ref="G24:K24"/>
  </mergeCells>
  <dataValidations count="4">
    <dataValidation allowBlank="1" showInputMessage="1" showErrorMessage="1" prompt="antalet registreringar ackumulerat från föregående års början t.o.m den aktuella månaden i föregående år." sqref="I6 I26" xr:uid="{00000000-0002-0000-0A00-000000000000}"/>
    <dataValidation allowBlank="1" showInputMessage="1" showErrorMessage="1" prompt="visar antalet registreringar för den aktuella månaden föregående år." sqref="E6 E26" xr:uid="{00000000-0002-0000-0A00-000001000000}"/>
    <dataValidation allowBlank="1" showInputMessage="1" showErrorMessage="1" prompt="visar antalet registreringar för den aktuella månaden i år." sqref="B6:D6 J6 F6:G6 B26:D26 J26 F26:G26" xr:uid="{00000000-0002-0000-0A00-000002000000}"/>
    <dataValidation allowBlank="1" showInputMessage="1" showErrorMessage="1" prompt="förändring i marknads-andelen ackumulerat från årets början t.o.m den aktuella månaden." sqref="H6 K6 H26 K26" xr:uid="{00000000-0002-0000-0A00-000003000000}"/>
  </dataValidations>
  <pageMargins left="0.70866141732283472" right="0.70866141732283472" top="0.74803149606299213" bottom="0.74803149606299213" header="0.31496062992125984" footer="0.31496062992125984"/>
  <pageSetup paperSize="9" orientation="landscape" r:id="rId1"/>
  <rowBreaks count="3" manualBreakCount="3">
    <brk id="38" max="16383" man="1"/>
    <brk id="70" max="16383" man="1"/>
    <brk id="101" max="16383" man="1"/>
  </rowBreaks>
  <drawing r:id="rId2"/>
  <tableParts count="3">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6"/>
  <sheetViews>
    <sheetView workbookViewId="0">
      <pane ySplit="8" topLeftCell="A9" activePane="bottomLeft" state="frozen"/>
      <selection pane="bottomLeft" activeCell="A72" sqref="A72"/>
    </sheetView>
  </sheetViews>
  <sheetFormatPr baseColWidth="10" defaultColWidth="8.83203125" defaultRowHeight="15"/>
  <cols>
    <col min="1" max="1" width="17" customWidth="1"/>
    <col min="2" max="5" width="11.6640625" customWidth="1"/>
    <col min="6" max="7" width="8.6640625" customWidth="1"/>
    <col min="8" max="9" width="11.6640625" style="6" customWidth="1"/>
    <col min="10" max="13" width="11.6640625" customWidth="1"/>
    <col min="14" max="15" width="8.6640625" customWidth="1"/>
    <col min="16" max="17" width="11.6640625" style="6" customWidth="1"/>
  </cols>
  <sheetData>
    <row r="1" spans="1:17">
      <c r="H1"/>
      <c r="I1"/>
      <c r="P1"/>
      <c r="Q1"/>
    </row>
    <row r="2" spans="1:17" ht="19.25" customHeight="1" thickBot="1">
      <c r="C2" s="10"/>
      <c r="D2" s="60" t="s">
        <v>249</v>
      </c>
      <c r="E2" s="60"/>
      <c r="F2" s="60"/>
      <c r="G2" s="60"/>
      <c r="H2" s="60"/>
      <c r="I2" s="60"/>
      <c r="J2" s="60"/>
      <c r="P2"/>
      <c r="Q2"/>
    </row>
    <row r="4" spans="1:17" ht="15.75" customHeight="1">
      <c r="A4" s="100" t="s">
        <v>478</v>
      </c>
      <c r="B4" s="27"/>
      <c r="C4" s="27"/>
      <c r="D4" s="27"/>
      <c r="E4" s="27"/>
      <c r="F4" s="27"/>
      <c r="G4" s="27"/>
      <c r="H4" s="42"/>
      <c r="I4" s="42"/>
      <c r="J4" s="27"/>
      <c r="K4" s="27"/>
      <c r="L4" s="27"/>
      <c r="M4" s="27"/>
      <c r="N4" s="27"/>
      <c r="O4" s="27"/>
      <c r="P4" s="42"/>
      <c r="Q4" s="42"/>
    </row>
    <row r="5" spans="1:17">
      <c r="A5" s="144"/>
      <c r="B5" s="286" t="str">
        <f>Innehåll!D75</f>
        <v>Maj</v>
      </c>
      <c r="C5" s="288"/>
      <c r="D5" s="288"/>
      <c r="E5" s="288"/>
      <c r="F5" s="288"/>
      <c r="G5" s="288"/>
      <c r="H5" s="288"/>
      <c r="I5" s="288"/>
      <c r="J5" s="286" t="str">
        <f>Innehåll!D76</f>
        <v>Januari - maj</v>
      </c>
      <c r="K5" s="288"/>
      <c r="L5" s="288"/>
      <c r="M5" s="288"/>
      <c r="N5" s="288"/>
      <c r="O5" s="288"/>
      <c r="P5" s="288"/>
      <c r="Q5" s="288"/>
    </row>
    <row r="6" spans="1:17">
      <c r="A6" s="144"/>
      <c r="B6" s="286" t="s">
        <v>565</v>
      </c>
      <c r="C6" s="287"/>
      <c r="D6" s="286" t="s">
        <v>566</v>
      </c>
      <c r="E6" s="287"/>
      <c r="F6" s="286" t="s">
        <v>567</v>
      </c>
      <c r="G6" s="287"/>
      <c r="H6" s="286" t="s">
        <v>475</v>
      </c>
      <c r="I6" s="287"/>
      <c r="J6" s="286" t="s">
        <v>565</v>
      </c>
      <c r="K6" s="287"/>
      <c r="L6" s="286" t="s">
        <v>566</v>
      </c>
      <c r="M6" s="287"/>
      <c r="N6" s="286" t="s">
        <v>567</v>
      </c>
      <c r="O6" s="287"/>
      <c r="P6" s="286" t="s">
        <v>475</v>
      </c>
      <c r="Q6" s="288"/>
    </row>
    <row r="7" spans="1:17">
      <c r="A7" s="144" t="s">
        <v>484</v>
      </c>
      <c r="B7" s="144" t="str">
        <f>Innehåll!D77</f>
        <v xml:space="preserve"> 2023</v>
      </c>
      <c r="C7" s="144" t="str">
        <f>Innehåll!D78</f>
        <v xml:space="preserve"> 2022</v>
      </c>
      <c r="D7" s="144" t="str">
        <f>B7</f>
        <v xml:space="preserve"> 2023</v>
      </c>
      <c r="E7" s="144" t="str">
        <f>C7</f>
        <v xml:space="preserve"> 2022</v>
      </c>
      <c r="F7" s="144" t="str">
        <f>B7</f>
        <v xml:space="preserve"> 2023</v>
      </c>
      <c r="G7" s="144" t="str">
        <f>C7</f>
        <v xml:space="preserve"> 2022</v>
      </c>
      <c r="H7" s="144" t="str">
        <f>B7</f>
        <v xml:space="preserve"> 2023</v>
      </c>
      <c r="I7" s="144" t="str">
        <f>C7</f>
        <v xml:space="preserve"> 2022</v>
      </c>
      <c r="J7" s="144" t="str">
        <f>B7</f>
        <v xml:space="preserve"> 2023</v>
      </c>
      <c r="K7" s="144" t="str">
        <f>C7</f>
        <v xml:space="preserve"> 2022</v>
      </c>
      <c r="L7" s="144" t="str">
        <f>B7</f>
        <v xml:space="preserve"> 2023</v>
      </c>
      <c r="M7" s="144" t="str">
        <f>C7</f>
        <v xml:space="preserve"> 2022</v>
      </c>
      <c r="N7" s="144" t="str">
        <f>B7</f>
        <v xml:space="preserve"> 2023</v>
      </c>
      <c r="O7" s="144" t="str">
        <f>C7</f>
        <v xml:space="preserve"> 2022</v>
      </c>
      <c r="P7" s="144" t="str">
        <f>B7</f>
        <v xml:space="preserve"> 2023</v>
      </c>
      <c r="Q7" s="144" t="str">
        <f>C7</f>
        <v xml:space="preserve"> 2022</v>
      </c>
    </row>
    <row r="8" spans="1:17" ht="15" hidden="1" customHeight="1">
      <c r="A8" s="27" t="s">
        <v>250</v>
      </c>
      <c r="B8" s="27" t="s">
        <v>251</v>
      </c>
      <c r="C8" s="27" t="s">
        <v>252</v>
      </c>
      <c r="D8" s="27" t="s">
        <v>253</v>
      </c>
      <c r="E8" s="27" t="s">
        <v>254</v>
      </c>
      <c r="F8" s="27" t="s">
        <v>255</v>
      </c>
      <c r="G8" s="27" t="s">
        <v>256</v>
      </c>
      <c r="H8" s="42" t="s">
        <v>257</v>
      </c>
      <c r="I8" s="42" t="s">
        <v>258</v>
      </c>
      <c r="J8" s="27" t="s">
        <v>259</v>
      </c>
      <c r="K8" s="27" t="s">
        <v>260</v>
      </c>
      <c r="L8" s="27" t="s">
        <v>261</v>
      </c>
      <c r="M8" s="27" t="s">
        <v>262</v>
      </c>
      <c r="N8" s="27" t="s">
        <v>263</v>
      </c>
      <c r="O8" s="27" t="s">
        <v>264</v>
      </c>
      <c r="P8" s="42" t="s">
        <v>265</v>
      </c>
      <c r="Q8" s="42" t="s">
        <v>266</v>
      </c>
    </row>
    <row r="9" spans="1:17">
      <c r="A9" s="27" t="s">
        <v>267</v>
      </c>
      <c r="B9" s="66">
        <v>3</v>
      </c>
      <c r="C9" s="66">
        <v>4</v>
      </c>
      <c r="D9" s="66">
        <v>32</v>
      </c>
      <c r="E9" s="66">
        <v>0</v>
      </c>
      <c r="F9" s="27">
        <v>91.4</v>
      </c>
      <c r="G9" s="27">
        <v>0</v>
      </c>
      <c r="H9" s="99">
        <v>35</v>
      </c>
      <c r="I9" s="99">
        <v>4</v>
      </c>
      <c r="J9" s="66">
        <v>12</v>
      </c>
      <c r="K9" s="66">
        <v>10</v>
      </c>
      <c r="L9" s="66">
        <v>153</v>
      </c>
      <c r="M9" s="66">
        <v>21</v>
      </c>
      <c r="N9" s="27">
        <v>92.7</v>
      </c>
      <c r="O9" s="27">
        <v>67.7</v>
      </c>
      <c r="P9" s="99">
        <v>165</v>
      </c>
      <c r="Q9" s="99">
        <v>31</v>
      </c>
    </row>
    <row r="10" spans="1:17">
      <c r="A10" s="27" t="s">
        <v>577</v>
      </c>
      <c r="B10" s="66">
        <v>0</v>
      </c>
      <c r="C10" s="66">
        <v>0</v>
      </c>
      <c r="D10" s="66">
        <v>0</v>
      </c>
      <c r="E10" s="66">
        <v>0</v>
      </c>
      <c r="F10" s="27">
        <v>0</v>
      </c>
      <c r="G10" s="27">
        <v>0</v>
      </c>
      <c r="H10" s="99">
        <v>0</v>
      </c>
      <c r="I10" s="99">
        <v>0</v>
      </c>
      <c r="J10" s="66">
        <v>0</v>
      </c>
      <c r="K10" s="66">
        <v>2</v>
      </c>
      <c r="L10" s="66">
        <v>2</v>
      </c>
      <c r="M10" s="66">
        <v>4</v>
      </c>
      <c r="N10" s="27">
        <v>100</v>
      </c>
      <c r="O10" s="27">
        <v>66.7</v>
      </c>
      <c r="P10" s="99">
        <v>2</v>
      </c>
      <c r="Q10" s="99">
        <v>6</v>
      </c>
    </row>
    <row r="11" spans="1:17">
      <c r="A11" s="27" t="s">
        <v>268</v>
      </c>
      <c r="B11" s="66">
        <v>656</v>
      </c>
      <c r="C11" s="66">
        <v>574</v>
      </c>
      <c r="D11" s="66">
        <v>1017</v>
      </c>
      <c r="E11" s="66">
        <v>689</v>
      </c>
      <c r="F11" s="27">
        <v>60.8</v>
      </c>
      <c r="G11" s="27">
        <v>54.6</v>
      </c>
      <c r="H11" s="99">
        <v>1673</v>
      </c>
      <c r="I11" s="99">
        <v>1263</v>
      </c>
      <c r="J11" s="66">
        <v>2592</v>
      </c>
      <c r="K11" s="66">
        <v>2249</v>
      </c>
      <c r="L11" s="66">
        <v>4199</v>
      </c>
      <c r="M11" s="66">
        <v>3242</v>
      </c>
      <c r="N11" s="27">
        <v>61.8</v>
      </c>
      <c r="O11" s="27">
        <v>59</v>
      </c>
      <c r="P11" s="99">
        <v>6791</v>
      </c>
      <c r="Q11" s="99">
        <v>5491</v>
      </c>
    </row>
    <row r="12" spans="1:17">
      <c r="A12" s="27" t="s">
        <v>269</v>
      </c>
      <c r="B12" s="66">
        <v>1</v>
      </c>
      <c r="C12" s="66">
        <v>2</v>
      </c>
      <c r="D12" s="66">
        <v>6</v>
      </c>
      <c r="E12" s="66">
        <v>0</v>
      </c>
      <c r="F12" s="27">
        <v>85.7</v>
      </c>
      <c r="G12" s="27">
        <v>0</v>
      </c>
      <c r="H12" s="99">
        <v>7</v>
      </c>
      <c r="I12" s="99">
        <v>2</v>
      </c>
      <c r="J12" s="66">
        <v>4</v>
      </c>
      <c r="K12" s="66">
        <v>8</v>
      </c>
      <c r="L12" s="66">
        <v>9</v>
      </c>
      <c r="M12" s="66">
        <v>2</v>
      </c>
      <c r="N12" s="27">
        <v>69.2</v>
      </c>
      <c r="O12" s="27">
        <v>20</v>
      </c>
      <c r="P12" s="99">
        <v>13</v>
      </c>
      <c r="Q12" s="99">
        <v>10</v>
      </c>
    </row>
    <row r="13" spans="1:17">
      <c r="A13" s="27" t="s">
        <v>270</v>
      </c>
      <c r="B13" s="66">
        <v>271</v>
      </c>
      <c r="C13" s="66">
        <v>504</v>
      </c>
      <c r="D13" s="66">
        <v>1163</v>
      </c>
      <c r="E13" s="66">
        <v>897</v>
      </c>
      <c r="F13" s="27">
        <v>81.099999999999994</v>
      </c>
      <c r="G13" s="27">
        <v>64</v>
      </c>
      <c r="H13" s="99">
        <v>1434</v>
      </c>
      <c r="I13" s="99">
        <v>1401</v>
      </c>
      <c r="J13" s="66">
        <v>1214</v>
      </c>
      <c r="K13" s="66">
        <v>3181</v>
      </c>
      <c r="L13" s="66">
        <v>5292</v>
      </c>
      <c r="M13" s="66">
        <v>4338</v>
      </c>
      <c r="N13" s="27">
        <v>81.3</v>
      </c>
      <c r="O13" s="27">
        <v>57.7</v>
      </c>
      <c r="P13" s="99">
        <v>6506</v>
      </c>
      <c r="Q13" s="99">
        <v>7519</v>
      </c>
    </row>
    <row r="14" spans="1:17">
      <c r="A14" s="27" t="s">
        <v>701</v>
      </c>
      <c r="B14" s="66">
        <v>28</v>
      </c>
      <c r="C14" s="66">
        <v>0</v>
      </c>
      <c r="D14" s="66">
        <v>117</v>
      </c>
      <c r="E14" s="66">
        <v>0</v>
      </c>
      <c r="F14" s="27">
        <v>80.7</v>
      </c>
      <c r="G14" s="27">
        <v>0</v>
      </c>
      <c r="H14" s="99">
        <v>145</v>
      </c>
      <c r="I14" s="99">
        <v>0</v>
      </c>
      <c r="J14" s="66">
        <v>85</v>
      </c>
      <c r="K14" s="66">
        <v>0</v>
      </c>
      <c r="L14" s="66">
        <v>330</v>
      </c>
      <c r="M14" s="66">
        <v>0</v>
      </c>
      <c r="N14" s="27">
        <v>79.5</v>
      </c>
      <c r="O14" s="27">
        <v>0</v>
      </c>
      <c r="P14" s="99">
        <v>415</v>
      </c>
      <c r="Q14" s="99">
        <v>0</v>
      </c>
    </row>
    <row r="15" spans="1:17">
      <c r="A15" s="27" t="s">
        <v>698</v>
      </c>
      <c r="B15" s="66">
        <v>0</v>
      </c>
      <c r="C15" s="66">
        <v>0</v>
      </c>
      <c r="D15" s="66">
        <v>0</v>
      </c>
      <c r="E15" s="66">
        <v>1</v>
      </c>
      <c r="F15" s="27">
        <v>0</v>
      </c>
      <c r="G15" s="27">
        <v>100</v>
      </c>
      <c r="H15" s="99">
        <v>0</v>
      </c>
      <c r="I15" s="99">
        <v>1</v>
      </c>
      <c r="J15" s="66">
        <v>3</v>
      </c>
      <c r="K15" s="66">
        <v>0</v>
      </c>
      <c r="L15" s="66">
        <v>4</v>
      </c>
      <c r="M15" s="66">
        <v>2</v>
      </c>
      <c r="N15" s="27">
        <v>57.1</v>
      </c>
      <c r="O15" s="27">
        <v>100</v>
      </c>
      <c r="P15" s="99">
        <v>7</v>
      </c>
      <c r="Q15" s="99">
        <v>2</v>
      </c>
    </row>
    <row r="16" spans="1:17">
      <c r="A16" s="27" t="s">
        <v>271</v>
      </c>
      <c r="B16" s="66">
        <v>6</v>
      </c>
      <c r="C16" s="66">
        <v>3</v>
      </c>
      <c r="D16" s="66">
        <v>4</v>
      </c>
      <c r="E16" s="66">
        <v>3</v>
      </c>
      <c r="F16" s="27">
        <v>40</v>
      </c>
      <c r="G16" s="27">
        <v>50</v>
      </c>
      <c r="H16" s="99">
        <v>10</v>
      </c>
      <c r="I16" s="99">
        <v>6</v>
      </c>
      <c r="J16" s="66">
        <v>14</v>
      </c>
      <c r="K16" s="66">
        <v>8</v>
      </c>
      <c r="L16" s="66">
        <v>15</v>
      </c>
      <c r="M16" s="66">
        <v>13</v>
      </c>
      <c r="N16" s="27">
        <v>51.7</v>
      </c>
      <c r="O16" s="27">
        <v>61.9</v>
      </c>
      <c r="P16" s="99">
        <v>29</v>
      </c>
      <c r="Q16" s="99">
        <v>21</v>
      </c>
    </row>
    <row r="17" spans="1:17">
      <c r="A17" s="27" t="s">
        <v>272</v>
      </c>
      <c r="B17" s="66">
        <v>72</v>
      </c>
      <c r="C17" s="66">
        <v>117</v>
      </c>
      <c r="D17" s="66">
        <v>240</v>
      </c>
      <c r="E17" s="66">
        <v>430</v>
      </c>
      <c r="F17" s="27">
        <v>76.900000000000006</v>
      </c>
      <c r="G17" s="27">
        <v>78.599999999999994</v>
      </c>
      <c r="H17" s="99">
        <v>312</v>
      </c>
      <c r="I17" s="99">
        <v>547</v>
      </c>
      <c r="J17" s="66">
        <v>326</v>
      </c>
      <c r="K17" s="66">
        <v>509</v>
      </c>
      <c r="L17" s="66">
        <v>1035</v>
      </c>
      <c r="M17" s="66">
        <v>884</v>
      </c>
      <c r="N17" s="27">
        <v>76</v>
      </c>
      <c r="O17" s="27">
        <v>63.5</v>
      </c>
      <c r="P17" s="99">
        <v>1361</v>
      </c>
      <c r="Q17" s="99">
        <v>1393</v>
      </c>
    </row>
    <row r="18" spans="1:17">
      <c r="A18" s="27" t="s">
        <v>1098</v>
      </c>
      <c r="B18" s="66">
        <v>168</v>
      </c>
      <c r="C18" s="66">
        <v>0</v>
      </c>
      <c r="D18" s="66">
        <v>112</v>
      </c>
      <c r="E18" s="66">
        <v>0</v>
      </c>
      <c r="F18" s="27">
        <v>40</v>
      </c>
      <c r="G18" s="27">
        <v>0</v>
      </c>
      <c r="H18" s="99">
        <v>280</v>
      </c>
      <c r="I18" s="99">
        <v>0</v>
      </c>
      <c r="J18" s="66">
        <v>492</v>
      </c>
      <c r="K18" s="66">
        <v>0</v>
      </c>
      <c r="L18" s="66">
        <v>492</v>
      </c>
      <c r="M18" s="66">
        <v>0</v>
      </c>
      <c r="N18" s="27">
        <v>50</v>
      </c>
      <c r="O18" s="27">
        <v>0</v>
      </c>
      <c r="P18" s="99">
        <v>984</v>
      </c>
      <c r="Q18" s="99">
        <v>0</v>
      </c>
    </row>
    <row r="19" spans="1:17">
      <c r="A19" s="27" t="s">
        <v>273</v>
      </c>
      <c r="B19" s="66">
        <v>123</v>
      </c>
      <c r="C19" s="66">
        <v>153</v>
      </c>
      <c r="D19" s="66">
        <v>126</v>
      </c>
      <c r="E19" s="66">
        <v>104</v>
      </c>
      <c r="F19" s="27">
        <v>50.6</v>
      </c>
      <c r="G19" s="27">
        <v>40.5</v>
      </c>
      <c r="H19" s="99">
        <v>249</v>
      </c>
      <c r="I19" s="99">
        <v>257</v>
      </c>
      <c r="J19" s="66">
        <v>609</v>
      </c>
      <c r="K19" s="66">
        <v>860</v>
      </c>
      <c r="L19" s="66">
        <v>680</v>
      </c>
      <c r="M19" s="66">
        <v>450</v>
      </c>
      <c r="N19" s="27">
        <v>52.8</v>
      </c>
      <c r="O19" s="27">
        <v>34.4</v>
      </c>
      <c r="P19" s="99">
        <v>1289</v>
      </c>
      <c r="Q19" s="99">
        <v>1310</v>
      </c>
    </row>
    <row r="20" spans="1:17">
      <c r="A20" s="27" t="s">
        <v>305</v>
      </c>
      <c r="B20" s="66">
        <v>3</v>
      </c>
      <c r="C20" s="66">
        <v>28</v>
      </c>
      <c r="D20" s="66">
        <v>74</v>
      </c>
      <c r="E20" s="66">
        <v>35</v>
      </c>
      <c r="F20" s="27">
        <v>96.1</v>
      </c>
      <c r="G20" s="27">
        <v>55.6</v>
      </c>
      <c r="H20" s="99">
        <v>77</v>
      </c>
      <c r="I20" s="99">
        <v>63</v>
      </c>
      <c r="J20" s="66">
        <v>38</v>
      </c>
      <c r="K20" s="66">
        <v>123</v>
      </c>
      <c r="L20" s="66">
        <v>162</v>
      </c>
      <c r="M20" s="66">
        <v>107</v>
      </c>
      <c r="N20" s="27">
        <v>81</v>
      </c>
      <c r="O20" s="27">
        <v>46.5</v>
      </c>
      <c r="P20" s="99">
        <v>200</v>
      </c>
      <c r="Q20" s="99">
        <v>230</v>
      </c>
    </row>
    <row r="21" spans="1:17">
      <c r="A21" s="27" t="s">
        <v>699</v>
      </c>
      <c r="B21" s="66">
        <v>4</v>
      </c>
      <c r="C21" s="66">
        <v>5</v>
      </c>
      <c r="D21" s="66">
        <v>5</v>
      </c>
      <c r="E21" s="66">
        <v>4</v>
      </c>
      <c r="F21" s="27">
        <v>55.6</v>
      </c>
      <c r="G21" s="27">
        <v>44.4</v>
      </c>
      <c r="H21" s="99">
        <v>9</v>
      </c>
      <c r="I21" s="99">
        <v>9</v>
      </c>
      <c r="J21" s="66">
        <v>20</v>
      </c>
      <c r="K21" s="66">
        <v>13</v>
      </c>
      <c r="L21" s="66">
        <v>14</v>
      </c>
      <c r="M21" s="66">
        <v>8</v>
      </c>
      <c r="N21" s="27">
        <v>41.2</v>
      </c>
      <c r="O21" s="27">
        <v>38.1</v>
      </c>
      <c r="P21" s="99">
        <v>34</v>
      </c>
      <c r="Q21" s="99">
        <v>21</v>
      </c>
    </row>
    <row r="22" spans="1:17">
      <c r="A22" s="27" t="s">
        <v>274</v>
      </c>
      <c r="B22" s="66">
        <v>170</v>
      </c>
      <c r="C22" s="66">
        <v>336</v>
      </c>
      <c r="D22" s="66">
        <v>114</v>
      </c>
      <c r="E22" s="66">
        <v>88</v>
      </c>
      <c r="F22" s="27">
        <v>40.1</v>
      </c>
      <c r="G22" s="27">
        <v>20.8</v>
      </c>
      <c r="H22" s="99">
        <v>284</v>
      </c>
      <c r="I22" s="99">
        <v>424</v>
      </c>
      <c r="J22" s="66">
        <v>564</v>
      </c>
      <c r="K22" s="66">
        <v>1114</v>
      </c>
      <c r="L22" s="66">
        <v>338</v>
      </c>
      <c r="M22" s="66">
        <v>229</v>
      </c>
      <c r="N22" s="27">
        <v>37.5</v>
      </c>
      <c r="O22" s="27">
        <v>17.100000000000001</v>
      </c>
      <c r="P22" s="99">
        <v>902</v>
      </c>
      <c r="Q22" s="99">
        <v>1343</v>
      </c>
    </row>
    <row r="23" spans="1:17">
      <c r="A23" s="27" t="s">
        <v>275</v>
      </c>
      <c r="B23" s="66">
        <v>148</v>
      </c>
      <c r="C23" s="66">
        <v>608</v>
      </c>
      <c r="D23" s="66">
        <v>638</v>
      </c>
      <c r="E23" s="66">
        <v>682</v>
      </c>
      <c r="F23" s="27">
        <v>81.2</v>
      </c>
      <c r="G23" s="27">
        <v>52.9</v>
      </c>
      <c r="H23" s="99">
        <v>786</v>
      </c>
      <c r="I23" s="99">
        <v>1290</v>
      </c>
      <c r="J23" s="66">
        <v>551</v>
      </c>
      <c r="K23" s="66">
        <v>2294</v>
      </c>
      <c r="L23" s="66">
        <v>2430</v>
      </c>
      <c r="M23" s="66">
        <v>2185</v>
      </c>
      <c r="N23" s="27">
        <v>81.5</v>
      </c>
      <c r="O23" s="27">
        <v>48.8</v>
      </c>
      <c r="P23" s="99">
        <v>2981</v>
      </c>
      <c r="Q23" s="99">
        <v>4479</v>
      </c>
    </row>
    <row r="24" spans="1:17">
      <c r="A24" s="27" t="s">
        <v>276</v>
      </c>
      <c r="B24" s="66">
        <v>33</v>
      </c>
      <c r="C24" s="66">
        <v>85</v>
      </c>
      <c r="D24" s="66">
        <v>28</v>
      </c>
      <c r="E24" s="66">
        <v>95</v>
      </c>
      <c r="F24" s="27">
        <v>45.9</v>
      </c>
      <c r="G24" s="27">
        <v>52.8</v>
      </c>
      <c r="H24" s="99">
        <v>61</v>
      </c>
      <c r="I24" s="99">
        <v>180</v>
      </c>
      <c r="J24" s="66">
        <v>128</v>
      </c>
      <c r="K24" s="66">
        <v>384</v>
      </c>
      <c r="L24" s="66">
        <v>138</v>
      </c>
      <c r="M24" s="66">
        <v>246</v>
      </c>
      <c r="N24" s="27">
        <v>51.9</v>
      </c>
      <c r="O24" s="27">
        <v>39</v>
      </c>
      <c r="P24" s="99">
        <v>266</v>
      </c>
      <c r="Q24" s="99">
        <v>630</v>
      </c>
    </row>
    <row r="25" spans="1:17">
      <c r="A25" s="27" t="s">
        <v>1086</v>
      </c>
      <c r="B25" s="66">
        <v>0</v>
      </c>
      <c r="C25" s="66">
        <v>0</v>
      </c>
      <c r="D25" s="66">
        <v>4</v>
      </c>
      <c r="E25" s="66">
        <v>0</v>
      </c>
      <c r="F25" s="27">
        <v>100</v>
      </c>
      <c r="G25" s="27">
        <v>0</v>
      </c>
      <c r="H25" s="99">
        <v>4</v>
      </c>
      <c r="I25" s="99">
        <v>0</v>
      </c>
      <c r="J25" s="66">
        <v>2</v>
      </c>
      <c r="K25" s="66">
        <v>0</v>
      </c>
      <c r="L25" s="66">
        <v>27</v>
      </c>
      <c r="M25" s="66">
        <v>0</v>
      </c>
      <c r="N25" s="27">
        <v>93.1</v>
      </c>
      <c r="O25" s="27">
        <v>0</v>
      </c>
      <c r="P25" s="99">
        <v>29</v>
      </c>
      <c r="Q25" s="99">
        <v>0</v>
      </c>
    </row>
    <row r="26" spans="1:17">
      <c r="A26" s="27" t="s">
        <v>277</v>
      </c>
      <c r="B26" s="66">
        <v>225</v>
      </c>
      <c r="C26" s="66">
        <v>311</v>
      </c>
      <c r="D26" s="66">
        <v>234</v>
      </c>
      <c r="E26" s="66">
        <v>241</v>
      </c>
      <c r="F26" s="27">
        <v>51</v>
      </c>
      <c r="G26" s="27">
        <v>43.7</v>
      </c>
      <c r="H26" s="99">
        <v>459</v>
      </c>
      <c r="I26" s="99">
        <v>552</v>
      </c>
      <c r="J26" s="66">
        <v>1060</v>
      </c>
      <c r="K26" s="66">
        <v>1309</v>
      </c>
      <c r="L26" s="66">
        <v>1054</v>
      </c>
      <c r="M26" s="66">
        <v>1179</v>
      </c>
      <c r="N26" s="27">
        <v>49.9</v>
      </c>
      <c r="O26" s="27">
        <v>47.4</v>
      </c>
      <c r="P26" s="99">
        <v>2114</v>
      </c>
      <c r="Q26" s="99">
        <v>2488</v>
      </c>
    </row>
    <row r="27" spans="1:17">
      <c r="A27" s="27" t="s">
        <v>278</v>
      </c>
      <c r="B27" s="66">
        <v>4</v>
      </c>
      <c r="C27" s="66">
        <v>5</v>
      </c>
      <c r="D27" s="66">
        <v>0</v>
      </c>
      <c r="E27" s="66">
        <v>0</v>
      </c>
      <c r="F27" s="27">
        <v>0</v>
      </c>
      <c r="G27" s="27">
        <v>0</v>
      </c>
      <c r="H27" s="99">
        <v>4</v>
      </c>
      <c r="I27" s="99">
        <v>5</v>
      </c>
      <c r="J27" s="66">
        <v>16</v>
      </c>
      <c r="K27" s="66">
        <v>15</v>
      </c>
      <c r="L27" s="66">
        <v>1</v>
      </c>
      <c r="M27" s="66">
        <v>2</v>
      </c>
      <c r="N27" s="27">
        <v>5.9</v>
      </c>
      <c r="O27" s="27">
        <v>11.8</v>
      </c>
      <c r="P27" s="99">
        <v>17</v>
      </c>
      <c r="Q27" s="99">
        <v>17</v>
      </c>
    </row>
    <row r="28" spans="1:17">
      <c r="A28" s="27" t="s">
        <v>279</v>
      </c>
      <c r="B28" s="66">
        <v>0</v>
      </c>
      <c r="C28" s="66">
        <v>4</v>
      </c>
      <c r="D28" s="66">
        <v>1</v>
      </c>
      <c r="E28" s="66">
        <v>31</v>
      </c>
      <c r="F28" s="27">
        <v>100</v>
      </c>
      <c r="G28" s="27">
        <v>88.6</v>
      </c>
      <c r="H28" s="99">
        <v>1</v>
      </c>
      <c r="I28" s="99">
        <v>35</v>
      </c>
      <c r="J28" s="66">
        <v>3</v>
      </c>
      <c r="K28" s="66">
        <v>9</v>
      </c>
      <c r="L28" s="66">
        <v>24</v>
      </c>
      <c r="M28" s="66">
        <v>52</v>
      </c>
      <c r="N28" s="27">
        <v>88.9</v>
      </c>
      <c r="O28" s="27">
        <v>85.2</v>
      </c>
      <c r="P28" s="99">
        <v>27</v>
      </c>
      <c r="Q28" s="99">
        <v>61</v>
      </c>
    </row>
    <row r="29" spans="1:17">
      <c r="A29" s="27" t="s">
        <v>280</v>
      </c>
      <c r="B29" s="66">
        <v>3</v>
      </c>
      <c r="C29" s="66">
        <v>8</v>
      </c>
      <c r="D29" s="66">
        <v>49</v>
      </c>
      <c r="E29" s="66">
        <v>36</v>
      </c>
      <c r="F29" s="27">
        <v>94.2</v>
      </c>
      <c r="G29" s="27">
        <v>81.8</v>
      </c>
      <c r="H29" s="99">
        <v>52</v>
      </c>
      <c r="I29" s="99">
        <v>44</v>
      </c>
      <c r="J29" s="66">
        <v>9</v>
      </c>
      <c r="K29" s="66">
        <v>62</v>
      </c>
      <c r="L29" s="66">
        <v>75</v>
      </c>
      <c r="M29" s="66">
        <v>123</v>
      </c>
      <c r="N29" s="27">
        <v>89.3</v>
      </c>
      <c r="O29" s="27">
        <v>66.5</v>
      </c>
      <c r="P29" s="99">
        <v>84</v>
      </c>
      <c r="Q29" s="99">
        <v>185</v>
      </c>
    </row>
    <row r="30" spans="1:17">
      <c r="A30" s="27" t="s">
        <v>281</v>
      </c>
      <c r="B30" s="66">
        <v>893</v>
      </c>
      <c r="C30" s="66">
        <v>1820</v>
      </c>
      <c r="D30" s="66">
        <v>1172</v>
      </c>
      <c r="E30" s="66">
        <v>1005</v>
      </c>
      <c r="F30" s="27">
        <v>56.8</v>
      </c>
      <c r="G30" s="27">
        <v>35.6</v>
      </c>
      <c r="H30" s="99">
        <v>2065</v>
      </c>
      <c r="I30" s="99">
        <v>2825</v>
      </c>
      <c r="J30" s="66">
        <v>3983</v>
      </c>
      <c r="K30" s="66">
        <v>9265</v>
      </c>
      <c r="L30" s="66">
        <v>5323</v>
      </c>
      <c r="M30" s="66">
        <v>4180</v>
      </c>
      <c r="N30" s="27">
        <v>57.2</v>
      </c>
      <c r="O30" s="27">
        <v>31.1</v>
      </c>
      <c r="P30" s="99">
        <v>9306</v>
      </c>
      <c r="Q30" s="99">
        <v>13445</v>
      </c>
    </row>
    <row r="31" spans="1:17">
      <c r="A31" s="27" t="s">
        <v>282</v>
      </c>
      <c r="B31" s="66">
        <v>4</v>
      </c>
      <c r="C31" s="66">
        <v>2</v>
      </c>
      <c r="D31" s="66">
        <v>2</v>
      </c>
      <c r="E31" s="66">
        <v>4</v>
      </c>
      <c r="F31" s="27">
        <v>33.299999999999997</v>
      </c>
      <c r="G31" s="27">
        <v>66.7</v>
      </c>
      <c r="H31" s="99">
        <v>6</v>
      </c>
      <c r="I31" s="99">
        <v>6</v>
      </c>
      <c r="J31" s="66">
        <v>14</v>
      </c>
      <c r="K31" s="66">
        <v>13</v>
      </c>
      <c r="L31" s="66">
        <v>14</v>
      </c>
      <c r="M31" s="66">
        <v>12</v>
      </c>
      <c r="N31" s="27">
        <v>50</v>
      </c>
      <c r="O31" s="27">
        <v>48</v>
      </c>
      <c r="P31" s="99">
        <v>28</v>
      </c>
      <c r="Q31" s="99">
        <v>25</v>
      </c>
    </row>
    <row r="32" spans="1:17">
      <c r="A32" s="27" t="s">
        <v>283</v>
      </c>
      <c r="B32" s="66">
        <v>6</v>
      </c>
      <c r="C32" s="66">
        <v>14</v>
      </c>
      <c r="D32" s="66">
        <v>23</v>
      </c>
      <c r="E32" s="66">
        <v>53</v>
      </c>
      <c r="F32" s="27">
        <v>79.3</v>
      </c>
      <c r="G32" s="27">
        <v>79.099999999999994</v>
      </c>
      <c r="H32" s="99">
        <v>29</v>
      </c>
      <c r="I32" s="99">
        <v>67</v>
      </c>
      <c r="J32" s="66">
        <v>35</v>
      </c>
      <c r="K32" s="66">
        <v>64</v>
      </c>
      <c r="L32" s="66">
        <v>113</v>
      </c>
      <c r="M32" s="66">
        <v>165</v>
      </c>
      <c r="N32" s="27">
        <v>76.400000000000006</v>
      </c>
      <c r="O32" s="27">
        <v>72.099999999999994</v>
      </c>
      <c r="P32" s="99">
        <v>148</v>
      </c>
      <c r="Q32" s="99">
        <v>229</v>
      </c>
    </row>
    <row r="33" spans="1:17">
      <c r="A33" s="27" t="s">
        <v>1139</v>
      </c>
      <c r="B33" s="66">
        <v>0</v>
      </c>
      <c r="C33" s="66">
        <v>0</v>
      </c>
      <c r="D33" s="66">
        <v>0</v>
      </c>
      <c r="E33" s="66">
        <v>2</v>
      </c>
      <c r="F33" s="27">
        <v>0</v>
      </c>
      <c r="G33" s="27">
        <v>100</v>
      </c>
      <c r="H33" s="99">
        <v>0</v>
      </c>
      <c r="I33" s="99">
        <v>2</v>
      </c>
      <c r="J33" s="66">
        <v>0</v>
      </c>
      <c r="K33" s="66">
        <v>0</v>
      </c>
      <c r="L33" s="66">
        <v>1</v>
      </c>
      <c r="M33" s="66">
        <v>3</v>
      </c>
      <c r="N33" s="27">
        <v>100</v>
      </c>
      <c r="O33" s="27">
        <v>100</v>
      </c>
      <c r="P33" s="99">
        <v>1</v>
      </c>
      <c r="Q33" s="99">
        <v>3</v>
      </c>
    </row>
    <row r="34" spans="1:17">
      <c r="A34" s="27" t="s">
        <v>284</v>
      </c>
      <c r="B34" s="66">
        <v>80</v>
      </c>
      <c r="C34" s="66">
        <v>46</v>
      </c>
      <c r="D34" s="66">
        <v>154</v>
      </c>
      <c r="E34" s="66">
        <v>52</v>
      </c>
      <c r="F34" s="27">
        <v>65.8</v>
      </c>
      <c r="G34" s="27">
        <v>53.1</v>
      </c>
      <c r="H34" s="99">
        <v>234</v>
      </c>
      <c r="I34" s="99">
        <v>98</v>
      </c>
      <c r="J34" s="66">
        <v>305</v>
      </c>
      <c r="K34" s="66">
        <v>190</v>
      </c>
      <c r="L34" s="66">
        <v>579</v>
      </c>
      <c r="M34" s="66">
        <v>265</v>
      </c>
      <c r="N34" s="27">
        <v>65.5</v>
      </c>
      <c r="O34" s="27">
        <v>58.2</v>
      </c>
      <c r="P34" s="99">
        <v>884</v>
      </c>
      <c r="Q34" s="99">
        <v>455</v>
      </c>
    </row>
    <row r="35" spans="1:17">
      <c r="A35" s="27" t="s">
        <v>599</v>
      </c>
      <c r="B35" s="66">
        <v>0</v>
      </c>
      <c r="C35" s="66">
        <v>0</v>
      </c>
      <c r="D35" s="66">
        <v>206</v>
      </c>
      <c r="E35" s="66">
        <v>296</v>
      </c>
      <c r="F35" s="27">
        <v>100</v>
      </c>
      <c r="G35" s="27">
        <v>100</v>
      </c>
      <c r="H35" s="99">
        <v>206</v>
      </c>
      <c r="I35" s="99">
        <v>296</v>
      </c>
      <c r="J35" s="66">
        <v>0</v>
      </c>
      <c r="K35" s="66">
        <v>7</v>
      </c>
      <c r="L35" s="66">
        <v>786</v>
      </c>
      <c r="M35" s="66">
        <v>951</v>
      </c>
      <c r="N35" s="27">
        <v>100</v>
      </c>
      <c r="O35" s="27">
        <v>99.3</v>
      </c>
      <c r="P35" s="99">
        <v>786</v>
      </c>
      <c r="Q35" s="99">
        <v>958</v>
      </c>
    </row>
    <row r="36" spans="1:17">
      <c r="A36" s="27" t="s">
        <v>578</v>
      </c>
      <c r="B36" s="66">
        <v>1</v>
      </c>
      <c r="C36" s="66">
        <v>0</v>
      </c>
      <c r="D36" s="66">
        <v>0</v>
      </c>
      <c r="E36" s="66">
        <v>0</v>
      </c>
      <c r="F36" s="27">
        <v>0</v>
      </c>
      <c r="G36" s="27">
        <v>0</v>
      </c>
      <c r="H36" s="99">
        <v>1</v>
      </c>
      <c r="I36" s="99">
        <v>0</v>
      </c>
      <c r="J36" s="66">
        <v>1</v>
      </c>
      <c r="K36" s="66">
        <v>2</v>
      </c>
      <c r="L36" s="66">
        <v>0</v>
      </c>
      <c r="M36" s="66">
        <v>1</v>
      </c>
      <c r="N36" s="27">
        <v>0</v>
      </c>
      <c r="O36" s="27">
        <v>33.299999999999997</v>
      </c>
      <c r="P36" s="99">
        <v>1</v>
      </c>
      <c r="Q36" s="99">
        <v>3</v>
      </c>
    </row>
    <row r="37" spans="1:17">
      <c r="A37" s="27" t="s">
        <v>435</v>
      </c>
      <c r="B37" s="66">
        <v>0</v>
      </c>
      <c r="C37" s="66">
        <v>6</v>
      </c>
      <c r="D37" s="66">
        <v>7</v>
      </c>
      <c r="E37" s="66">
        <v>17</v>
      </c>
      <c r="F37" s="27">
        <v>100</v>
      </c>
      <c r="G37" s="27">
        <v>73.900000000000006</v>
      </c>
      <c r="H37" s="99">
        <v>7</v>
      </c>
      <c r="I37" s="99">
        <v>23</v>
      </c>
      <c r="J37" s="66">
        <v>23</v>
      </c>
      <c r="K37" s="66">
        <v>11</v>
      </c>
      <c r="L37" s="66">
        <v>48</v>
      </c>
      <c r="M37" s="66">
        <v>29</v>
      </c>
      <c r="N37" s="27">
        <v>67.599999999999994</v>
      </c>
      <c r="O37" s="27">
        <v>72.5</v>
      </c>
      <c r="P37" s="99">
        <v>71</v>
      </c>
      <c r="Q37" s="99">
        <v>40</v>
      </c>
    </row>
    <row r="38" spans="1:17">
      <c r="A38" s="27" t="s">
        <v>286</v>
      </c>
      <c r="B38" s="66">
        <v>82</v>
      </c>
      <c r="C38" s="66">
        <v>149</v>
      </c>
      <c r="D38" s="66">
        <v>47</v>
      </c>
      <c r="E38" s="66">
        <v>50</v>
      </c>
      <c r="F38" s="27">
        <v>36.4</v>
      </c>
      <c r="G38" s="27">
        <v>25.1</v>
      </c>
      <c r="H38" s="99">
        <v>129</v>
      </c>
      <c r="I38" s="99">
        <v>199</v>
      </c>
      <c r="J38" s="66">
        <v>827</v>
      </c>
      <c r="K38" s="66">
        <v>521</v>
      </c>
      <c r="L38" s="66">
        <v>951</v>
      </c>
      <c r="M38" s="66">
        <v>127</v>
      </c>
      <c r="N38" s="27">
        <v>53.5</v>
      </c>
      <c r="O38" s="27">
        <v>19.600000000000001</v>
      </c>
      <c r="P38" s="99">
        <v>1778</v>
      </c>
      <c r="Q38" s="99">
        <v>648</v>
      </c>
    </row>
    <row r="39" spans="1:17">
      <c r="A39" s="27" t="s">
        <v>524</v>
      </c>
      <c r="B39" s="66">
        <v>1</v>
      </c>
      <c r="C39" s="66">
        <v>1</v>
      </c>
      <c r="D39" s="66">
        <v>3</v>
      </c>
      <c r="E39" s="66">
        <v>1</v>
      </c>
      <c r="F39" s="27">
        <v>75</v>
      </c>
      <c r="G39" s="27">
        <v>50</v>
      </c>
      <c r="H39" s="99">
        <v>4</v>
      </c>
      <c r="I39" s="99">
        <v>2</v>
      </c>
      <c r="J39" s="66">
        <v>3</v>
      </c>
      <c r="K39" s="66">
        <v>5</v>
      </c>
      <c r="L39" s="66">
        <v>8</v>
      </c>
      <c r="M39" s="66">
        <v>5</v>
      </c>
      <c r="N39" s="27">
        <v>72.7</v>
      </c>
      <c r="O39" s="27">
        <v>50</v>
      </c>
      <c r="P39" s="99">
        <v>11</v>
      </c>
      <c r="Q39" s="99">
        <v>10</v>
      </c>
    </row>
    <row r="40" spans="1:17">
      <c r="A40" s="27" t="s">
        <v>397</v>
      </c>
      <c r="B40" s="66">
        <v>348</v>
      </c>
      <c r="C40" s="66">
        <v>473</v>
      </c>
      <c r="D40" s="66">
        <v>912</v>
      </c>
      <c r="E40" s="66">
        <v>979</v>
      </c>
      <c r="F40" s="27">
        <v>72.400000000000006</v>
      </c>
      <c r="G40" s="27">
        <v>67.400000000000006</v>
      </c>
      <c r="H40" s="99">
        <v>1260</v>
      </c>
      <c r="I40" s="99">
        <v>1452</v>
      </c>
      <c r="J40" s="66">
        <v>1586</v>
      </c>
      <c r="K40" s="66">
        <v>1854</v>
      </c>
      <c r="L40" s="66">
        <v>4071</v>
      </c>
      <c r="M40" s="66">
        <v>4156</v>
      </c>
      <c r="N40" s="27">
        <v>72</v>
      </c>
      <c r="O40" s="27">
        <v>69.2</v>
      </c>
      <c r="P40" s="99">
        <v>5657</v>
      </c>
      <c r="Q40" s="99">
        <v>6010</v>
      </c>
    </row>
    <row r="41" spans="1:17">
      <c r="A41" s="27" t="s">
        <v>287</v>
      </c>
      <c r="B41" s="66">
        <v>10</v>
      </c>
      <c r="C41" s="66">
        <v>3</v>
      </c>
      <c r="D41" s="66">
        <v>6</v>
      </c>
      <c r="E41" s="66">
        <v>11</v>
      </c>
      <c r="F41" s="27">
        <v>37.5</v>
      </c>
      <c r="G41" s="27">
        <v>78.599999999999994</v>
      </c>
      <c r="H41" s="99">
        <v>16</v>
      </c>
      <c r="I41" s="99">
        <v>14</v>
      </c>
      <c r="J41" s="66">
        <v>30</v>
      </c>
      <c r="K41" s="66">
        <v>9</v>
      </c>
      <c r="L41" s="66">
        <v>33</v>
      </c>
      <c r="M41" s="66">
        <v>25</v>
      </c>
      <c r="N41" s="27">
        <v>52.4</v>
      </c>
      <c r="O41" s="27">
        <v>73.5</v>
      </c>
      <c r="P41" s="99">
        <v>63</v>
      </c>
      <c r="Q41" s="99">
        <v>34</v>
      </c>
    </row>
    <row r="42" spans="1:17">
      <c r="A42" s="27" t="s">
        <v>616</v>
      </c>
      <c r="B42" s="66">
        <v>150</v>
      </c>
      <c r="C42" s="66">
        <v>655</v>
      </c>
      <c r="D42" s="66">
        <v>906</v>
      </c>
      <c r="E42" s="66">
        <v>99</v>
      </c>
      <c r="F42" s="27">
        <v>85.8</v>
      </c>
      <c r="G42" s="27">
        <v>13.1</v>
      </c>
      <c r="H42" s="99">
        <v>1056</v>
      </c>
      <c r="I42" s="99">
        <v>754</v>
      </c>
      <c r="J42" s="66">
        <v>1423</v>
      </c>
      <c r="K42" s="66">
        <v>1981</v>
      </c>
      <c r="L42" s="66">
        <v>1699</v>
      </c>
      <c r="M42" s="66">
        <v>388</v>
      </c>
      <c r="N42" s="27">
        <v>54.4</v>
      </c>
      <c r="O42" s="27">
        <v>16.399999999999999</v>
      </c>
      <c r="P42" s="99">
        <v>3122</v>
      </c>
      <c r="Q42" s="99">
        <v>2369</v>
      </c>
    </row>
    <row r="43" spans="1:17">
      <c r="A43" s="27" t="s">
        <v>288</v>
      </c>
      <c r="B43" s="66">
        <v>68</v>
      </c>
      <c r="C43" s="66">
        <v>222</v>
      </c>
      <c r="D43" s="66">
        <v>136</v>
      </c>
      <c r="E43" s="66">
        <v>127</v>
      </c>
      <c r="F43" s="27">
        <v>66.7</v>
      </c>
      <c r="G43" s="27">
        <v>36.4</v>
      </c>
      <c r="H43" s="99">
        <v>204</v>
      </c>
      <c r="I43" s="99">
        <v>349</v>
      </c>
      <c r="J43" s="66">
        <v>304</v>
      </c>
      <c r="K43" s="66">
        <v>737</v>
      </c>
      <c r="L43" s="66">
        <v>589</v>
      </c>
      <c r="M43" s="66">
        <v>433</v>
      </c>
      <c r="N43" s="27">
        <v>66</v>
      </c>
      <c r="O43" s="27">
        <v>37</v>
      </c>
      <c r="P43" s="99">
        <v>893</v>
      </c>
      <c r="Q43" s="99">
        <v>1170</v>
      </c>
    </row>
    <row r="44" spans="1:17">
      <c r="A44" s="27" t="s">
        <v>289</v>
      </c>
      <c r="B44" s="66">
        <v>9</v>
      </c>
      <c r="C44" s="66">
        <v>27</v>
      </c>
      <c r="D44" s="66">
        <v>58</v>
      </c>
      <c r="E44" s="66">
        <v>28</v>
      </c>
      <c r="F44" s="27">
        <v>86.6</v>
      </c>
      <c r="G44" s="27">
        <v>50.9</v>
      </c>
      <c r="H44" s="99">
        <v>67</v>
      </c>
      <c r="I44" s="99">
        <v>55</v>
      </c>
      <c r="J44" s="66">
        <v>41</v>
      </c>
      <c r="K44" s="66">
        <v>71</v>
      </c>
      <c r="L44" s="66">
        <v>236</v>
      </c>
      <c r="M44" s="66">
        <v>201</v>
      </c>
      <c r="N44" s="27">
        <v>85.2</v>
      </c>
      <c r="O44" s="27">
        <v>73.900000000000006</v>
      </c>
      <c r="P44" s="99">
        <v>277</v>
      </c>
      <c r="Q44" s="99">
        <v>272</v>
      </c>
    </row>
    <row r="45" spans="1:17">
      <c r="A45" s="27" t="s">
        <v>290</v>
      </c>
      <c r="B45" s="66">
        <v>0</v>
      </c>
      <c r="C45" s="66">
        <v>4</v>
      </c>
      <c r="D45" s="66">
        <v>1</v>
      </c>
      <c r="E45" s="66">
        <v>0</v>
      </c>
      <c r="F45" s="27">
        <v>100</v>
      </c>
      <c r="G45" s="27">
        <v>0</v>
      </c>
      <c r="H45" s="99">
        <v>1</v>
      </c>
      <c r="I45" s="99">
        <v>4</v>
      </c>
      <c r="J45" s="66">
        <v>1</v>
      </c>
      <c r="K45" s="66">
        <v>10</v>
      </c>
      <c r="L45" s="66">
        <v>3</v>
      </c>
      <c r="M45" s="66">
        <v>0</v>
      </c>
      <c r="N45" s="27">
        <v>75</v>
      </c>
      <c r="O45" s="27">
        <v>0</v>
      </c>
      <c r="P45" s="99">
        <v>4</v>
      </c>
      <c r="Q45" s="99">
        <v>10</v>
      </c>
    </row>
    <row r="46" spans="1:17">
      <c r="A46" s="27" t="s">
        <v>1099</v>
      </c>
      <c r="B46" s="66">
        <v>0</v>
      </c>
      <c r="C46" s="66">
        <v>0</v>
      </c>
      <c r="D46" s="66">
        <v>20</v>
      </c>
      <c r="E46" s="66">
        <v>0</v>
      </c>
      <c r="F46" s="27">
        <v>100</v>
      </c>
      <c r="G46" s="27">
        <v>0</v>
      </c>
      <c r="H46" s="99">
        <v>20</v>
      </c>
      <c r="I46" s="99">
        <v>0</v>
      </c>
      <c r="J46" s="66">
        <v>1</v>
      </c>
      <c r="K46" s="66">
        <v>0</v>
      </c>
      <c r="L46" s="66">
        <v>74</v>
      </c>
      <c r="M46" s="66">
        <v>0</v>
      </c>
      <c r="N46" s="27">
        <v>98.7</v>
      </c>
      <c r="O46" s="27">
        <v>0</v>
      </c>
      <c r="P46" s="99">
        <v>75</v>
      </c>
      <c r="Q46" s="99">
        <v>0</v>
      </c>
    </row>
    <row r="47" spans="1:17">
      <c r="A47" s="27" t="s">
        <v>291</v>
      </c>
      <c r="B47" s="66">
        <v>176</v>
      </c>
      <c r="C47" s="66">
        <v>317</v>
      </c>
      <c r="D47" s="66">
        <v>146</v>
      </c>
      <c r="E47" s="66">
        <v>112</v>
      </c>
      <c r="F47" s="27">
        <v>45.3</v>
      </c>
      <c r="G47" s="27">
        <v>26.1</v>
      </c>
      <c r="H47" s="99">
        <v>322</v>
      </c>
      <c r="I47" s="99">
        <v>429</v>
      </c>
      <c r="J47" s="66">
        <v>889</v>
      </c>
      <c r="K47" s="66">
        <v>1880</v>
      </c>
      <c r="L47" s="66">
        <v>1015</v>
      </c>
      <c r="M47" s="66">
        <v>597</v>
      </c>
      <c r="N47" s="27">
        <v>53.3</v>
      </c>
      <c r="O47" s="27">
        <v>24.1</v>
      </c>
      <c r="P47" s="99">
        <v>1904</v>
      </c>
      <c r="Q47" s="99">
        <v>2477</v>
      </c>
    </row>
    <row r="48" spans="1:17">
      <c r="A48" s="27" t="s">
        <v>292</v>
      </c>
      <c r="B48" s="66">
        <v>53</v>
      </c>
      <c r="C48" s="66">
        <v>41</v>
      </c>
      <c r="D48" s="66">
        <v>339</v>
      </c>
      <c r="E48" s="66">
        <v>82</v>
      </c>
      <c r="F48" s="27">
        <v>86.5</v>
      </c>
      <c r="G48" s="27">
        <v>66.7</v>
      </c>
      <c r="H48" s="99">
        <v>392</v>
      </c>
      <c r="I48" s="99">
        <v>123</v>
      </c>
      <c r="J48" s="66">
        <v>226</v>
      </c>
      <c r="K48" s="66">
        <v>769</v>
      </c>
      <c r="L48" s="66">
        <v>897</v>
      </c>
      <c r="M48" s="66">
        <v>716</v>
      </c>
      <c r="N48" s="27">
        <v>79.900000000000006</v>
      </c>
      <c r="O48" s="27">
        <v>48.2</v>
      </c>
      <c r="P48" s="99">
        <v>1123</v>
      </c>
      <c r="Q48" s="99">
        <v>1485</v>
      </c>
    </row>
    <row r="49" spans="1:17">
      <c r="A49" s="27" t="s">
        <v>1073</v>
      </c>
      <c r="B49" s="66">
        <v>4</v>
      </c>
      <c r="C49" s="66">
        <v>0</v>
      </c>
      <c r="D49" s="66">
        <v>8</v>
      </c>
      <c r="E49" s="66">
        <v>0</v>
      </c>
      <c r="F49" s="27">
        <v>66.7</v>
      </c>
      <c r="G49" s="27">
        <v>0</v>
      </c>
      <c r="H49" s="99">
        <v>12</v>
      </c>
      <c r="I49" s="99">
        <v>0</v>
      </c>
      <c r="J49" s="66">
        <v>15</v>
      </c>
      <c r="K49" s="66">
        <v>0</v>
      </c>
      <c r="L49" s="66">
        <v>37</v>
      </c>
      <c r="M49" s="66">
        <v>0</v>
      </c>
      <c r="N49" s="27">
        <v>71.2</v>
      </c>
      <c r="O49" s="27">
        <v>0</v>
      </c>
      <c r="P49" s="99">
        <v>52</v>
      </c>
      <c r="Q49" s="99">
        <v>0</v>
      </c>
    </row>
    <row r="50" spans="1:17">
      <c r="A50" s="27" t="s">
        <v>293</v>
      </c>
      <c r="B50" s="66">
        <v>152</v>
      </c>
      <c r="C50" s="66">
        <v>282</v>
      </c>
      <c r="D50" s="66">
        <v>585</v>
      </c>
      <c r="E50" s="66">
        <v>710</v>
      </c>
      <c r="F50" s="27">
        <v>79.400000000000006</v>
      </c>
      <c r="G50" s="27">
        <v>71.599999999999994</v>
      </c>
      <c r="H50" s="99">
        <v>737</v>
      </c>
      <c r="I50" s="99">
        <v>992</v>
      </c>
      <c r="J50" s="66">
        <v>820</v>
      </c>
      <c r="K50" s="66">
        <v>1481</v>
      </c>
      <c r="L50" s="66">
        <v>2459</v>
      </c>
      <c r="M50" s="66">
        <v>1993</v>
      </c>
      <c r="N50" s="27">
        <v>75</v>
      </c>
      <c r="O50" s="27">
        <v>57.4</v>
      </c>
      <c r="P50" s="99">
        <v>3279</v>
      </c>
      <c r="Q50" s="99">
        <v>3474</v>
      </c>
    </row>
    <row r="51" spans="1:17">
      <c r="A51" s="27" t="s">
        <v>332</v>
      </c>
      <c r="B51" s="66">
        <v>40</v>
      </c>
      <c r="C51" s="66">
        <v>60</v>
      </c>
      <c r="D51" s="66">
        <v>655</v>
      </c>
      <c r="E51" s="66">
        <v>255</v>
      </c>
      <c r="F51" s="27">
        <v>94.2</v>
      </c>
      <c r="G51" s="27">
        <v>81</v>
      </c>
      <c r="H51" s="99">
        <v>695</v>
      </c>
      <c r="I51" s="99">
        <v>315</v>
      </c>
      <c r="J51" s="66">
        <v>142</v>
      </c>
      <c r="K51" s="66">
        <v>496</v>
      </c>
      <c r="L51" s="66">
        <v>1197</v>
      </c>
      <c r="M51" s="66">
        <v>1508</v>
      </c>
      <c r="N51" s="27">
        <v>89.4</v>
      </c>
      <c r="O51" s="27">
        <v>75.2</v>
      </c>
      <c r="P51" s="99">
        <v>1339</v>
      </c>
      <c r="Q51" s="99">
        <v>2004</v>
      </c>
    </row>
    <row r="52" spans="1:17">
      <c r="A52" s="27" t="s">
        <v>294</v>
      </c>
      <c r="B52" s="66">
        <v>177</v>
      </c>
      <c r="C52" s="66">
        <v>124</v>
      </c>
      <c r="D52" s="66">
        <v>159</v>
      </c>
      <c r="E52" s="66">
        <v>99</v>
      </c>
      <c r="F52" s="27">
        <v>47.3</v>
      </c>
      <c r="G52" s="27">
        <v>44.4</v>
      </c>
      <c r="H52" s="99">
        <v>336</v>
      </c>
      <c r="I52" s="99">
        <v>223</v>
      </c>
      <c r="J52" s="66">
        <v>648</v>
      </c>
      <c r="K52" s="66">
        <v>611</v>
      </c>
      <c r="L52" s="66">
        <v>781</v>
      </c>
      <c r="M52" s="66">
        <v>549</v>
      </c>
      <c r="N52" s="27">
        <v>54.7</v>
      </c>
      <c r="O52" s="27">
        <v>47.3</v>
      </c>
      <c r="P52" s="99">
        <v>1429</v>
      </c>
      <c r="Q52" s="99">
        <v>1160</v>
      </c>
    </row>
    <row r="53" spans="1:17">
      <c r="A53" s="27" t="s">
        <v>295</v>
      </c>
      <c r="B53" s="66">
        <v>141</v>
      </c>
      <c r="C53" s="66">
        <v>192</v>
      </c>
      <c r="D53" s="66">
        <v>332</v>
      </c>
      <c r="E53" s="66">
        <v>196</v>
      </c>
      <c r="F53" s="63">
        <v>70.2</v>
      </c>
      <c r="G53" s="63">
        <v>50.5</v>
      </c>
      <c r="H53" s="99">
        <v>473</v>
      </c>
      <c r="I53" s="99">
        <v>388</v>
      </c>
      <c r="J53" s="66">
        <v>846</v>
      </c>
      <c r="K53" s="66">
        <v>1546</v>
      </c>
      <c r="L53" s="66">
        <v>1304</v>
      </c>
      <c r="M53" s="66">
        <v>922</v>
      </c>
      <c r="N53" s="63">
        <v>60.7</v>
      </c>
      <c r="O53" s="63">
        <v>37.4</v>
      </c>
      <c r="P53" s="99">
        <v>2150</v>
      </c>
      <c r="Q53" s="99">
        <v>2468</v>
      </c>
    </row>
    <row r="54" spans="1:17">
      <c r="A54" s="27" t="s">
        <v>296</v>
      </c>
      <c r="B54" s="66">
        <v>108</v>
      </c>
      <c r="C54" s="66">
        <v>398</v>
      </c>
      <c r="D54" s="66">
        <v>76</v>
      </c>
      <c r="E54" s="66">
        <v>281</v>
      </c>
      <c r="F54" s="27">
        <v>41.3</v>
      </c>
      <c r="G54" s="27">
        <v>41.4</v>
      </c>
      <c r="H54" s="99">
        <v>184</v>
      </c>
      <c r="I54" s="99">
        <v>679</v>
      </c>
      <c r="J54" s="66">
        <v>630</v>
      </c>
      <c r="K54" s="66">
        <v>1252</v>
      </c>
      <c r="L54" s="66">
        <v>452</v>
      </c>
      <c r="M54" s="66">
        <v>866</v>
      </c>
      <c r="N54" s="27">
        <v>41.8</v>
      </c>
      <c r="O54" s="27">
        <v>40.9</v>
      </c>
      <c r="P54" s="99">
        <v>1082</v>
      </c>
      <c r="Q54" s="99">
        <v>2118</v>
      </c>
    </row>
    <row r="55" spans="1:17">
      <c r="A55" s="27" t="s">
        <v>297</v>
      </c>
      <c r="B55" s="66">
        <v>343</v>
      </c>
      <c r="C55" s="66">
        <v>451</v>
      </c>
      <c r="D55" s="66">
        <v>1094</v>
      </c>
      <c r="E55" s="66">
        <v>589</v>
      </c>
      <c r="F55" s="27">
        <v>76.099999999999994</v>
      </c>
      <c r="G55" s="27">
        <v>56.6</v>
      </c>
      <c r="H55" s="99">
        <v>1437</v>
      </c>
      <c r="I55" s="99">
        <v>1040</v>
      </c>
      <c r="J55" s="66">
        <v>1244</v>
      </c>
      <c r="K55" s="66">
        <v>1959</v>
      </c>
      <c r="L55" s="66">
        <v>3843</v>
      </c>
      <c r="M55" s="66">
        <v>2519</v>
      </c>
      <c r="N55" s="27">
        <v>75.5</v>
      </c>
      <c r="O55" s="27">
        <v>56.3</v>
      </c>
      <c r="P55" s="99">
        <v>5087</v>
      </c>
      <c r="Q55" s="99">
        <v>4478</v>
      </c>
    </row>
    <row r="56" spans="1:17">
      <c r="A56" s="27" t="s">
        <v>1199</v>
      </c>
      <c r="B56" s="66">
        <v>1</v>
      </c>
      <c r="C56" s="66">
        <v>0</v>
      </c>
      <c r="D56" s="66">
        <v>0</v>
      </c>
      <c r="E56" s="66">
        <v>0</v>
      </c>
      <c r="F56" s="63">
        <v>0</v>
      </c>
      <c r="G56" s="63">
        <v>0</v>
      </c>
      <c r="H56" s="99">
        <v>1</v>
      </c>
      <c r="I56" s="99">
        <v>0</v>
      </c>
      <c r="J56" s="66">
        <v>2</v>
      </c>
      <c r="K56" s="66">
        <v>1</v>
      </c>
      <c r="L56" s="66">
        <v>0</v>
      </c>
      <c r="M56" s="66">
        <v>0</v>
      </c>
      <c r="N56" s="63">
        <v>0</v>
      </c>
      <c r="O56" s="63">
        <v>0</v>
      </c>
      <c r="P56" s="99">
        <v>2</v>
      </c>
      <c r="Q56" s="99">
        <v>1</v>
      </c>
    </row>
    <row r="57" spans="1:17">
      <c r="A57" s="27" t="s">
        <v>298</v>
      </c>
      <c r="B57" s="66">
        <v>130</v>
      </c>
      <c r="C57" s="66">
        <v>144</v>
      </c>
      <c r="D57" s="66">
        <v>130</v>
      </c>
      <c r="E57" s="66">
        <v>104</v>
      </c>
      <c r="F57" s="27">
        <v>50</v>
      </c>
      <c r="G57" s="27">
        <v>41.9</v>
      </c>
      <c r="H57" s="99">
        <v>260</v>
      </c>
      <c r="I57" s="99">
        <v>248</v>
      </c>
      <c r="J57" s="66">
        <v>582</v>
      </c>
      <c r="K57" s="66">
        <v>621</v>
      </c>
      <c r="L57" s="66">
        <v>568</v>
      </c>
      <c r="M57" s="66">
        <v>373</v>
      </c>
      <c r="N57" s="27">
        <v>49.4</v>
      </c>
      <c r="O57" s="27">
        <v>37.5</v>
      </c>
      <c r="P57" s="99">
        <v>1150</v>
      </c>
      <c r="Q57" s="99">
        <v>994</v>
      </c>
    </row>
    <row r="58" spans="1:17">
      <c r="A58" s="27" t="s">
        <v>299</v>
      </c>
      <c r="B58" s="66">
        <v>37</v>
      </c>
      <c r="C58" s="66">
        <v>77</v>
      </c>
      <c r="D58" s="66">
        <v>81</v>
      </c>
      <c r="E58" s="66">
        <v>96</v>
      </c>
      <c r="F58" s="27">
        <v>68.599999999999994</v>
      </c>
      <c r="G58" s="27">
        <v>55.5</v>
      </c>
      <c r="H58" s="99">
        <v>118</v>
      </c>
      <c r="I58" s="99">
        <v>173</v>
      </c>
      <c r="J58" s="66">
        <v>146</v>
      </c>
      <c r="K58" s="66">
        <v>356</v>
      </c>
      <c r="L58" s="66">
        <v>280</v>
      </c>
      <c r="M58" s="66">
        <v>498</v>
      </c>
      <c r="N58" s="27">
        <v>65.7</v>
      </c>
      <c r="O58" s="27">
        <v>58.3</v>
      </c>
      <c r="P58" s="99">
        <v>426</v>
      </c>
      <c r="Q58" s="99">
        <v>854</v>
      </c>
    </row>
    <row r="59" spans="1:17">
      <c r="A59" s="27" t="s">
        <v>300</v>
      </c>
      <c r="B59" s="66">
        <v>793</v>
      </c>
      <c r="C59" s="66">
        <v>173</v>
      </c>
      <c r="D59" s="66">
        <v>1684</v>
      </c>
      <c r="E59" s="66">
        <v>139</v>
      </c>
      <c r="F59" s="27">
        <v>68</v>
      </c>
      <c r="G59" s="27">
        <v>44.6</v>
      </c>
      <c r="H59" s="99">
        <v>2477</v>
      </c>
      <c r="I59" s="99">
        <v>312</v>
      </c>
      <c r="J59" s="66">
        <v>2589</v>
      </c>
      <c r="K59" s="66">
        <v>1580</v>
      </c>
      <c r="L59" s="66">
        <v>5313</v>
      </c>
      <c r="M59" s="66">
        <v>1874</v>
      </c>
      <c r="N59" s="27">
        <v>67.2</v>
      </c>
      <c r="O59" s="27">
        <v>54.3</v>
      </c>
      <c r="P59" s="99">
        <v>7902</v>
      </c>
      <c r="Q59" s="99">
        <v>3454</v>
      </c>
    </row>
    <row r="60" spans="1:17">
      <c r="A60" s="162" t="s">
        <v>301</v>
      </c>
      <c r="B60" s="163">
        <v>924</v>
      </c>
      <c r="C60" s="163">
        <v>1055</v>
      </c>
      <c r="D60" s="163">
        <v>1328</v>
      </c>
      <c r="E60" s="163">
        <v>1162</v>
      </c>
      <c r="F60" s="162">
        <v>59</v>
      </c>
      <c r="G60" s="162">
        <v>52.4</v>
      </c>
      <c r="H60" s="165">
        <v>2252</v>
      </c>
      <c r="I60" s="165">
        <v>2217</v>
      </c>
      <c r="J60" s="163">
        <v>4288</v>
      </c>
      <c r="K60" s="163">
        <v>5202</v>
      </c>
      <c r="L60" s="163">
        <v>5254</v>
      </c>
      <c r="M60" s="163">
        <v>4811</v>
      </c>
      <c r="N60" s="162">
        <v>55.1</v>
      </c>
      <c r="O60" s="162">
        <v>48</v>
      </c>
      <c r="P60" s="165">
        <v>9542</v>
      </c>
      <c r="Q60" s="165">
        <v>10013</v>
      </c>
    </row>
    <row r="61" spans="1:17">
      <c r="A61" s="162" t="s">
        <v>302</v>
      </c>
      <c r="B61" s="163">
        <v>748</v>
      </c>
      <c r="C61" s="163">
        <v>1285</v>
      </c>
      <c r="D61" s="163">
        <v>2256</v>
      </c>
      <c r="E61" s="163">
        <v>2063</v>
      </c>
      <c r="F61" s="164">
        <v>75.099999999999994</v>
      </c>
      <c r="G61" s="164">
        <v>61.6</v>
      </c>
      <c r="H61" s="165">
        <v>3004</v>
      </c>
      <c r="I61" s="165">
        <v>3348</v>
      </c>
      <c r="J61" s="163">
        <v>2984</v>
      </c>
      <c r="K61" s="163">
        <v>5171</v>
      </c>
      <c r="L61" s="163">
        <v>8573</v>
      </c>
      <c r="M61" s="163">
        <v>7499</v>
      </c>
      <c r="N61" s="164">
        <v>74.2</v>
      </c>
      <c r="O61" s="164">
        <v>59.2</v>
      </c>
      <c r="P61" s="165">
        <v>11557</v>
      </c>
      <c r="Q61" s="165">
        <v>12670</v>
      </c>
    </row>
    <row r="62" spans="1:17">
      <c r="A62" s="162" t="s">
        <v>303</v>
      </c>
      <c r="B62" s="163">
        <v>1119</v>
      </c>
      <c r="C62" s="163">
        <v>1133</v>
      </c>
      <c r="D62" s="163">
        <v>3430</v>
      </c>
      <c r="E62" s="163">
        <v>2537</v>
      </c>
      <c r="F62" s="162">
        <v>75.400000000000006</v>
      </c>
      <c r="G62" s="162">
        <v>69.099999999999994</v>
      </c>
      <c r="H62" s="165">
        <v>4549</v>
      </c>
      <c r="I62" s="165">
        <v>3670</v>
      </c>
      <c r="J62" s="163">
        <v>4811</v>
      </c>
      <c r="K62" s="163">
        <v>6989</v>
      </c>
      <c r="L62" s="163">
        <v>12114</v>
      </c>
      <c r="M62" s="163">
        <v>12444</v>
      </c>
      <c r="N62" s="162">
        <v>71.599999999999994</v>
      </c>
      <c r="O62" s="162">
        <v>64</v>
      </c>
      <c r="P62" s="165">
        <v>16925</v>
      </c>
      <c r="Q62" s="165">
        <v>19433</v>
      </c>
    </row>
    <row r="63" spans="1:17">
      <c r="A63" s="162" t="s">
        <v>1200</v>
      </c>
      <c r="B63" s="163">
        <v>0</v>
      </c>
      <c r="C63" s="163">
        <v>0</v>
      </c>
      <c r="D63" s="163">
        <v>0</v>
      </c>
      <c r="E63" s="163">
        <v>0</v>
      </c>
      <c r="F63" s="162">
        <v>0</v>
      </c>
      <c r="G63" s="162">
        <v>0</v>
      </c>
      <c r="H63" s="165">
        <v>0</v>
      </c>
      <c r="I63" s="165">
        <v>0</v>
      </c>
      <c r="J63" s="163">
        <v>0</v>
      </c>
      <c r="K63" s="163">
        <v>0</v>
      </c>
      <c r="L63" s="163">
        <v>0</v>
      </c>
      <c r="M63" s="163">
        <v>7</v>
      </c>
      <c r="N63" s="162">
        <v>0</v>
      </c>
      <c r="O63" s="162">
        <v>100</v>
      </c>
      <c r="P63" s="165">
        <v>0</v>
      </c>
      <c r="Q63" s="165">
        <v>7</v>
      </c>
    </row>
    <row r="64" spans="1:17">
      <c r="A64" s="162" t="s">
        <v>304</v>
      </c>
      <c r="B64" s="163">
        <v>11</v>
      </c>
      <c r="C64" s="163">
        <v>19</v>
      </c>
      <c r="D64" s="163">
        <v>43</v>
      </c>
      <c r="E64" s="163">
        <v>8</v>
      </c>
      <c r="F64" s="162">
        <v>79.599999999999994</v>
      </c>
      <c r="G64" s="162">
        <v>29.6</v>
      </c>
      <c r="H64" s="165">
        <v>54</v>
      </c>
      <c r="I64" s="165">
        <v>27</v>
      </c>
      <c r="J64" s="163">
        <v>32</v>
      </c>
      <c r="K64" s="163">
        <v>48</v>
      </c>
      <c r="L64" s="163">
        <v>78</v>
      </c>
      <c r="M64" s="163">
        <v>38</v>
      </c>
      <c r="N64" s="162">
        <v>70.900000000000006</v>
      </c>
      <c r="O64" s="162">
        <v>44.2</v>
      </c>
      <c r="P64" s="165">
        <v>110</v>
      </c>
      <c r="Q64" s="165">
        <v>86</v>
      </c>
    </row>
    <row r="65" spans="1:17">
      <c r="A65" s="162" t="s">
        <v>475</v>
      </c>
      <c r="B65" s="163">
        <f>SUBTOTAL(109,getAggFysJur[antalFysiska])</f>
        <v>8527</v>
      </c>
      <c r="C65" s="163">
        <f>SUBTOTAL(109,getAggFysJur[antalFysiskaFG])</f>
        <v>11920</v>
      </c>
      <c r="D65" s="163">
        <f>SUBTOTAL(109,getAggFysJur[antalJuridiska])</f>
        <v>19963</v>
      </c>
      <c r="E65" s="163">
        <f>SUBTOTAL(109,getAggFysJur[antalJuridiskaFG])</f>
        <v>14493</v>
      </c>
      <c r="F65" s="164">
        <f>IF(getAggFysJur[[#Totals],[totalPerioden]] &gt; 0,( getAggFysJur[[#Totals],[antalJuridiska]]  ) / getAggFysJur[[#Totals],[totalPerioden]] * 100,0)</f>
        <v>70.070200070200073</v>
      </c>
      <c r="G65" s="164">
        <f>IF(getAggFysJur[[#Totals],[totalPeriodenFG]] &gt; 0,( getAggFysJur[[#Totals],[antalJuridiskaFG]] ) / getAggFysJur[[#Totals],[totalPeriodenFG]] * 100,0)</f>
        <v>54.870707606103053</v>
      </c>
      <c r="H65" s="165">
        <f>SUBTOTAL(109,getAggFysJur[totalPerioden])</f>
        <v>28490</v>
      </c>
      <c r="I65" s="165">
        <f>SUBTOTAL(109,getAggFysJur[totalPeriodenFG])</f>
        <v>26413</v>
      </c>
      <c r="J65" s="163">
        <f>SUBTOTAL(109,getAggFysJur[antalFysiskaAret])</f>
        <v>37213</v>
      </c>
      <c r="K65" s="163">
        <f>SUBTOTAL(109,getAggFysJur[antalFysiskaAretFG])</f>
        <v>56852</v>
      </c>
      <c r="L65" s="163">
        <f>SUBTOTAL(109,getAggFysJur[antalJuridiskaAret])</f>
        <v>75167</v>
      </c>
      <c r="M65" s="163">
        <f>SUBTOTAL(109,getAggFysJur[antalJuridiskaAretFG])</f>
        <v>61242</v>
      </c>
      <c r="N65" s="164">
        <f>IF(getAggFysJur[[#Totals],[totalAret]] &gt; 0,( getAggFysJur[[#Totals],[antalJuridiskaAret]] ) / getAggFysJur[[#Totals],[totalAret]] * 100,0)</f>
        <v>66.886456664886992</v>
      </c>
      <c r="O65" s="164">
        <f>IF(getAggFysJur[[#Totals],[totalAretFG]] &gt; 0,( getAggFysJur[[#Totals],[antalJuridiskaAretFG]] ) / getAggFysJur[[#Totals],[totalAretFG]] * 100,0)</f>
        <v>51.858688841092693</v>
      </c>
      <c r="P65" s="165">
        <f>SUBTOTAL(109,getAggFysJur[totalAret])</f>
        <v>112380</v>
      </c>
      <c r="Q65" s="165">
        <f>SUBTOTAL(109,getAggFysJur[totalAretFG])</f>
        <v>118094</v>
      </c>
    </row>
    <row r="66" spans="1:17">
      <c r="B66" s="163"/>
      <c r="C66" s="163"/>
      <c r="D66" s="163"/>
      <c r="E66" s="163"/>
      <c r="F66" s="162"/>
      <c r="G66" s="162"/>
      <c r="H66" s="165"/>
      <c r="I66" s="165"/>
      <c r="J66" s="163"/>
      <c r="K66" s="163"/>
      <c r="L66" s="163"/>
      <c r="M66" s="163"/>
      <c r="N66" s="162"/>
      <c r="O66" s="162"/>
      <c r="P66" s="165"/>
      <c r="Q66" s="165"/>
    </row>
    <row r="67" spans="1:17">
      <c r="A67" s="27"/>
      <c r="B67" s="27"/>
      <c r="C67" s="27"/>
      <c r="D67" s="27"/>
      <c r="E67" s="27"/>
      <c r="F67" s="27"/>
      <c r="G67" s="27"/>
      <c r="H67" s="42"/>
      <c r="I67" s="42"/>
      <c r="J67" s="27"/>
      <c r="K67" s="27"/>
      <c r="L67" s="27"/>
      <c r="M67" s="27"/>
      <c r="N67" s="27"/>
      <c r="O67" s="27"/>
      <c r="P67" s="42"/>
      <c r="Q67" s="42"/>
    </row>
    <row r="68" spans="1:17">
      <c r="A68" s="27"/>
      <c r="B68" s="27"/>
      <c r="C68" s="27"/>
      <c r="D68" s="27"/>
      <c r="E68" s="27"/>
      <c r="F68" s="27"/>
      <c r="G68" s="27"/>
      <c r="H68" s="42"/>
      <c r="I68" s="42"/>
      <c r="J68" s="27"/>
      <c r="K68" s="27"/>
      <c r="L68" s="27"/>
      <c r="M68" s="27"/>
      <c r="N68" s="27"/>
      <c r="O68" s="27"/>
      <c r="P68" s="42"/>
      <c r="Q68" s="42"/>
    </row>
    <row r="69" spans="1:17">
      <c r="A69" s="27"/>
      <c r="B69" s="27"/>
      <c r="C69" s="27"/>
      <c r="D69" s="27"/>
      <c r="E69" s="27"/>
      <c r="F69" s="27"/>
      <c r="G69" s="27"/>
      <c r="H69" s="42"/>
      <c r="I69" s="42"/>
      <c r="J69" s="27"/>
      <c r="K69" s="27"/>
      <c r="L69" s="27"/>
      <c r="M69" s="27"/>
      <c r="N69" s="27"/>
      <c r="O69" s="27"/>
      <c r="P69" s="42"/>
      <c r="Q69" s="42"/>
    </row>
    <row r="70" spans="1:17">
      <c r="A70" s="27"/>
      <c r="B70" s="27"/>
      <c r="C70" s="27"/>
      <c r="D70" s="27"/>
      <c r="E70" s="27"/>
      <c r="F70" s="27"/>
      <c r="G70" s="27"/>
      <c r="H70" s="42"/>
      <c r="I70" s="42"/>
      <c r="J70" s="27"/>
      <c r="K70" s="27"/>
      <c r="L70" s="27"/>
      <c r="M70" s="27"/>
      <c r="N70" s="27"/>
      <c r="O70" s="27"/>
      <c r="P70" s="42"/>
      <c r="Q70" s="42"/>
    </row>
    <row r="71" spans="1:17">
      <c r="A71" s="27"/>
      <c r="B71" s="27"/>
      <c r="C71" s="27"/>
      <c r="D71" s="27"/>
      <c r="E71" s="27"/>
      <c r="F71" s="27"/>
      <c r="G71" s="27"/>
      <c r="H71" s="42"/>
      <c r="I71" s="42"/>
      <c r="J71" s="27"/>
      <c r="K71" s="27"/>
      <c r="L71" s="27"/>
      <c r="M71" s="27"/>
      <c r="N71" s="27"/>
      <c r="O71" s="27"/>
      <c r="P71" s="42"/>
      <c r="Q71" s="42"/>
    </row>
    <row r="72" spans="1:17">
      <c r="A72" s="27" t="s">
        <v>705</v>
      </c>
      <c r="B72" s="27"/>
      <c r="C72" s="27"/>
      <c r="D72" s="27"/>
      <c r="E72" s="27"/>
      <c r="F72" s="27"/>
      <c r="G72" s="27"/>
      <c r="H72" s="42"/>
      <c r="I72" s="42"/>
      <c r="J72" s="27"/>
      <c r="K72" s="27"/>
      <c r="L72" s="27"/>
      <c r="M72" s="27"/>
      <c r="N72" s="27"/>
      <c r="O72" s="27"/>
      <c r="P72" s="42"/>
      <c r="Q72" s="42"/>
    </row>
    <row r="73" spans="1:17">
      <c r="A73" s="27"/>
      <c r="B73" s="27"/>
      <c r="C73" s="27"/>
      <c r="D73" s="27"/>
      <c r="E73" s="27"/>
      <c r="F73" s="27"/>
      <c r="G73" s="27"/>
      <c r="H73" s="42"/>
      <c r="I73" s="42"/>
      <c r="J73" s="27"/>
      <c r="K73" s="27"/>
      <c r="L73" s="27"/>
      <c r="M73" s="27"/>
      <c r="N73" s="27"/>
      <c r="O73" s="27"/>
      <c r="P73" s="42"/>
      <c r="Q73" s="42"/>
    </row>
    <row r="74" spans="1:17">
      <c r="A74" s="27"/>
      <c r="B74" s="27"/>
      <c r="C74" s="27"/>
      <c r="D74" s="27"/>
      <c r="E74" s="27"/>
      <c r="F74" s="27"/>
      <c r="G74" s="27"/>
      <c r="H74" s="42"/>
      <c r="I74" s="42"/>
      <c r="J74" s="27"/>
      <c r="K74" s="27"/>
      <c r="L74" s="27"/>
      <c r="M74" s="27"/>
      <c r="N74" s="27"/>
      <c r="O74" s="27"/>
      <c r="P74" s="42"/>
      <c r="Q74" s="42"/>
    </row>
    <row r="75" spans="1:17">
      <c r="A75" s="27"/>
      <c r="B75" s="27"/>
      <c r="C75" s="27"/>
      <c r="D75" s="27"/>
      <c r="E75" s="27"/>
      <c r="F75" s="27"/>
      <c r="G75" s="27"/>
      <c r="H75" s="42"/>
      <c r="I75" s="42"/>
      <c r="J75" s="27"/>
      <c r="K75" s="27"/>
      <c r="L75" s="27"/>
      <c r="M75" s="27"/>
      <c r="N75" s="27"/>
      <c r="O75" s="27"/>
      <c r="P75" s="42"/>
      <c r="Q75" s="42"/>
    </row>
    <row r="76" spans="1:17">
      <c r="A76" s="27"/>
      <c r="B76" s="27"/>
      <c r="C76" s="27"/>
      <c r="D76" s="27"/>
      <c r="E76" s="27"/>
      <c r="F76" s="27"/>
      <c r="G76" s="27"/>
      <c r="H76" s="42"/>
      <c r="I76" s="42"/>
      <c r="J76" s="27"/>
      <c r="K76" s="27"/>
      <c r="L76" s="27"/>
      <c r="M76" s="27"/>
      <c r="N76" s="27"/>
      <c r="O76" s="27"/>
      <c r="P76" s="42"/>
      <c r="Q76" s="42"/>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7"/>
  <sheetViews>
    <sheetView workbookViewId="0">
      <selection activeCell="D19" sqref="D19"/>
    </sheetView>
  </sheetViews>
  <sheetFormatPr baseColWidth="10" defaultColWidth="8.83203125" defaultRowHeight="15"/>
  <cols>
    <col min="1" max="1" width="21.33203125" customWidth="1"/>
    <col min="2" max="5" width="15.6640625" style="5" customWidth="1"/>
    <col min="6" max="7" width="15.6640625" customWidth="1"/>
    <col min="8" max="9" width="13.1640625" style="9" customWidth="1"/>
  </cols>
  <sheetData>
    <row r="1" spans="1:9">
      <c r="B1"/>
      <c r="C1"/>
      <c r="D1"/>
      <c r="E1"/>
      <c r="H1"/>
      <c r="I1"/>
    </row>
    <row r="2" spans="1:9" ht="19.25" customHeight="1" thickBot="1">
      <c r="C2" s="60" t="s">
        <v>485</v>
      </c>
      <c r="D2" s="60"/>
      <c r="E2" s="60"/>
      <c r="F2" s="60"/>
      <c r="H2"/>
      <c r="I2"/>
    </row>
    <row r="4" spans="1:9">
      <c r="A4" s="27"/>
      <c r="B4" s="66"/>
      <c r="C4" s="66"/>
      <c r="D4" s="66"/>
      <c r="E4" s="245" t="s">
        <v>473</v>
      </c>
      <c r="F4" s="245"/>
      <c r="G4" s="245"/>
      <c r="H4" s="27"/>
    </row>
    <row r="5" spans="1:9">
      <c r="A5" s="117"/>
      <c r="B5" s="265" t="s">
        <v>560</v>
      </c>
      <c r="C5" s="266"/>
      <c r="D5" s="265" t="s">
        <v>560</v>
      </c>
      <c r="E5" s="266"/>
      <c r="F5" s="289" t="s">
        <v>561</v>
      </c>
      <c r="G5" s="290"/>
      <c r="H5" s="63"/>
    </row>
    <row r="6" spans="1:9">
      <c r="A6" s="117" t="s">
        <v>486</v>
      </c>
      <c r="B6" s="118" t="str">
        <f>Innehåll!D79</f>
        <v xml:space="preserve"> 2023-05</v>
      </c>
      <c r="C6" s="118" t="str">
        <f>Innehåll!D80</f>
        <v xml:space="preserve"> 2022-05</v>
      </c>
      <c r="D6" s="118" t="str">
        <f>Innehåll!D81</f>
        <v>YTD  2023</v>
      </c>
      <c r="E6" s="118" t="str">
        <f>Innehåll!D82</f>
        <v>YTD  2022</v>
      </c>
      <c r="F6" s="145" t="str">
        <f>D6</f>
        <v>YTD  2023</v>
      </c>
      <c r="G6" s="132" t="str">
        <f>E6</f>
        <v>YTD  2022</v>
      </c>
      <c r="H6" s="63"/>
    </row>
    <row r="7" spans="1:9" hidden="1">
      <c r="A7" s="170" t="s">
        <v>338</v>
      </c>
      <c r="B7" s="163" t="s">
        <v>317</v>
      </c>
      <c r="C7" s="163" t="s">
        <v>337</v>
      </c>
      <c r="D7" s="163" t="s">
        <v>335</v>
      </c>
      <c r="E7" s="163" t="s">
        <v>336</v>
      </c>
      <c r="F7" s="162" t="s">
        <v>404</v>
      </c>
      <c r="G7" s="162" t="s">
        <v>405</v>
      </c>
      <c r="H7" s="27"/>
      <c r="I7"/>
    </row>
    <row r="8" spans="1:9">
      <c r="A8" s="171" t="s">
        <v>600</v>
      </c>
      <c r="B8" s="163">
        <v>3919</v>
      </c>
      <c r="C8" s="163">
        <v>2983</v>
      </c>
      <c r="D8" s="163">
        <v>16115</v>
      </c>
      <c r="E8" s="163">
        <v>14046</v>
      </c>
      <c r="F8" s="172">
        <v>31.377807576265504</v>
      </c>
      <c r="G8" s="172">
        <v>14.730172291043713</v>
      </c>
      <c r="H8" s="27"/>
      <c r="I8"/>
    </row>
    <row r="9" spans="1:9">
      <c r="A9" s="173" t="s">
        <v>339</v>
      </c>
      <c r="B9" s="174">
        <v>18</v>
      </c>
      <c r="C9" s="174">
        <v>23</v>
      </c>
      <c r="D9" s="174">
        <v>79</v>
      </c>
      <c r="E9" s="174">
        <v>88</v>
      </c>
      <c r="F9" s="175">
        <v>-21.739130434782609</v>
      </c>
      <c r="G9" s="175">
        <v>-10.227272727272728</v>
      </c>
      <c r="H9" s="27"/>
      <c r="I9"/>
    </row>
    <row r="10" spans="1:9">
      <c r="A10" s="171" t="s">
        <v>340</v>
      </c>
      <c r="B10" s="163">
        <v>28</v>
      </c>
      <c r="C10" s="169">
        <v>35</v>
      </c>
      <c r="D10" s="169">
        <v>163</v>
      </c>
      <c r="E10" s="169">
        <v>148</v>
      </c>
      <c r="F10" s="172">
        <v>-20</v>
      </c>
      <c r="G10" s="172">
        <v>10.135135135135135</v>
      </c>
      <c r="H10" s="27"/>
      <c r="I10"/>
    </row>
    <row r="11" spans="1:9">
      <c r="A11" s="173" t="s">
        <v>601</v>
      </c>
      <c r="B11" s="174">
        <v>629</v>
      </c>
      <c r="C11" s="174">
        <v>502</v>
      </c>
      <c r="D11" s="174">
        <v>2702</v>
      </c>
      <c r="E11" s="174">
        <v>2086</v>
      </c>
      <c r="F11" s="175">
        <v>25.298804780876495</v>
      </c>
      <c r="G11" s="175">
        <v>29.530201342281881</v>
      </c>
      <c r="H11" s="27"/>
      <c r="I11"/>
    </row>
    <row r="12" spans="1:9">
      <c r="A12" s="176" t="s">
        <v>475</v>
      </c>
      <c r="B12" s="177">
        <v>4594</v>
      </c>
      <c r="C12" s="178">
        <v>3543</v>
      </c>
      <c r="D12" s="178">
        <v>19059</v>
      </c>
      <c r="E12" s="178">
        <v>16368</v>
      </c>
      <c r="F12" s="179">
        <v>29.664126446514256</v>
      </c>
      <c r="G12" s="180">
        <v>16.440615835777127</v>
      </c>
      <c r="H12" s="27"/>
      <c r="I12"/>
    </row>
    <row r="13" spans="1:9">
      <c r="A13" s="27"/>
      <c r="B13" s="66"/>
      <c r="C13" s="66"/>
      <c r="D13" s="66"/>
      <c r="E13" s="66"/>
      <c r="F13" s="27"/>
      <c r="G13" s="27"/>
      <c r="H13" s="63"/>
    </row>
    <row r="14" spans="1:9">
      <c r="A14" s="291" t="s">
        <v>1300</v>
      </c>
      <c r="B14" s="66"/>
      <c r="C14" s="66"/>
      <c r="D14" s="66"/>
      <c r="E14" s="66"/>
      <c r="F14" s="27"/>
      <c r="G14" s="27"/>
      <c r="H14" s="63"/>
    </row>
    <row r="15" spans="1:9">
      <c r="A15" s="291" t="s">
        <v>1301</v>
      </c>
      <c r="B15" s="66"/>
      <c r="C15" s="66"/>
      <c r="D15" s="66"/>
      <c r="E15" s="66"/>
      <c r="F15" s="27"/>
      <c r="G15" s="27"/>
      <c r="H15" s="63"/>
    </row>
    <row r="17" spans="1:1">
      <c r="A17" s="27" t="s">
        <v>705</v>
      </c>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3" t="s">
        <v>1</v>
      </c>
      <c r="C2" s="3"/>
      <c r="D2" s="3"/>
    </row>
    <row r="3" spans="2:21" ht="19.25" customHeight="1" thickTop="1" thickBot="1">
      <c r="P3" s="27"/>
      <c r="Q3" s="72" t="s">
        <v>15</v>
      </c>
      <c r="R3" s="72"/>
      <c r="S3" s="72"/>
      <c r="T3" s="72"/>
      <c r="U3" s="127"/>
    </row>
    <row r="4" spans="2:21">
      <c r="P4" s="27"/>
      <c r="Q4" s="27"/>
      <c r="R4" s="27"/>
      <c r="S4" s="27"/>
      <c r="T4" s="27"/>
      <c r="U4" s="27"/>
    </row>
    <row r="5" spans="2:21" ht="16" thickBot="1">
      <c r="P5" s="27"/>
      <c r="Q5" s="20" t="s">
        <v>476</v>
      </c>
      <c r="R5" s="26">
        <v>2021</v>
      </c>
      <c r="S5" s="26">
        <v>2022</v>
      </c>
      <c r="T5" s="26">
        <v>2023</v>
      </c>
      <c r="U5" s="27"/>
    </row>
    <row r="6" spans="2:21">
      <c r="P6" s="27"/>
      <c r="Q6" s="17" t="s">
        <v>2</v>
      </c>
      <c r="R6" s="27">
        <v>2149</v>
      </c>
      <c r="S6" s="27">
        <v>2074</v>
      </c>
      <c r="T6" s="27">
        <v>2356</v>
      </c>
      <c r="U6" s="27"/>
    </row>
    <row r="7" spans="2:21">
      <c r="P7" s="27"/>
      <c r="Q7" s="17" t="s">
        <v>3</v>
      </c>
      <c r="R7" s="27">
        <v>2814</v>
      </c>
      <c r="S7" s="27">
        <v>2592</v>
      </c>
      <c r="T7" s="27">
        <v>2983</v>
      </c>
      <c r="U7" s="27"/>
    </row>
    <row r="8" spans="2:21">
      <c r="P8" s="27"/>
      <c r="Q8" s="17" t="s">
        <v>4</v>
      </c>
      <c r="R8" s="27">
        <v>8680</v>
      </c>
      <c r="S8" s="27">
        <v>3443</v>
      </c>
      <c r="T8" s="27">
        <v>3654</v>
      </c>
      <c r="U8" s="27"/>
    </row>
    <row r="9" spans="2:21">
      <c r="P9" s="27"/>
      <c r="Q9" s="17" t="s">
        <v>5</v>
      </c>
      <c r="R9" s="27">
        <v>1906</v>
      </c>
      <c r="S9" s="27">
        <v>2954</v>
      </c>
      <c r="T9" s="27">
        <v>3203</v>
      </c>
      <c r="U9" s="27"/>
    </row>
    <row r="10" spans="2:21">
      <c r="P10" s="27"/>
      <c r="Q10" s="17" t="s">
        <v>6</v>
      </c>
      <c r="R10" s="27">
        <v>2788</v>
      </c>
      <c r="S10" s="27">
        <v>2983</v>
      </c>
      <c r="T10" s="27">
        <v>3919</v>
      </c>
      <c r="U10" s="27"/>
    </row>
    <row r="11" spans="2:21">
      <c r="P11" s="27"/>
      <c r="Q11" s="17" t="s">
        <v>7</v>
      </c>
      <c r="R11" s="27">
        <v>3139</v>
      </c>
      <c r="S11" s="27">
        <v>2605</v>
      </c>
      <c r="T11" s="27"/>
      <c r="U11" s="27"/>
    </row>
    <row r="12" spans="2:21">
      <c r="P12" s="27"/>
      <c r="Q12" s="17" t="s">
        <v>8</v>
      </c>
      <c r="R12" s="27">
        <v>1548</v>
      </c>
      <c r="S12" s="27">
        <v>1533</v>
      </c>
      <c r="T12" s="27"/>
      <c r="U12" s="27"/>
    </row>
    <row r="13" spans="2:21">
      <c r="P13" s="27"/>
      <c r="Q13" s="17" t="s">
        <v>9</v>
      </c>
      <c r="R13" s="27">
        <v>2631</v>
      </c>
      <c r="S13" s="27">
        <v>3065</v>
      </c>
      <c r="T13" s="27"/>
      <c r="U13" s="27"/>
    </row>
    <row r="14" spans="2:21">
      <c r="P14" s="27"/>
      <c r="Q14" s="17" t="s">
        <v>10</v>
      </c>
      <c r="R14" s="27">
        <v>2973</v>
      </c>
      <c r="S14" s="27">
        <v>3276</v>
      </c>
      <c r="T14" s="27"/>
      <c r="U14" s="27"/>
    </row>
    <row r="15" spans="2:21">
      <c r="P15" s="27"/>
      <c r="Q15" s="17" t="s">
        <v>11</v>
      </c>
      <c r="R15" s="27">
        <v>2401</v>
      </c>
      <c r="S15" s="27">
        <v>2572</v>
      </c>
      <c r="T15" s="27"/>
      <c r="U15" s="27"/>
    </row>
    <row r="16" spans="2:21">
      <c r="P16" s="27"/>
      <c r="Q16" s="17" t="s">
        <v>12</v>
      </c>
      <c r="R16" s="27">
        <v>2420</v>
      </c>
      <c r="S16" s="27">
        <v>3367</v>
      </c>
      <c r="T16" s="27"/>
      <c r="U16" s="27"/>
    </row>
    <row r="17" spans="16:21">
      <c r="P17" s="27"/>
      <c r="Q17" s="28" t="s">
        <v>13</v>
      </c>
      <c r="R17" s="29">
        <v>2787</v>
      </c>
      <c r="S17" s="29">
        <v>4052</v>
      </c>
      <c r="T17" s="29"/>
      <c r="U17" s="27"/>
    </row>
    <row r="18" spans="16:21">
      <c r="P18" s="27"/>
      <c r="Q18" s="42" t="s">
        <v>559</v>
      </c>
      <c r="R18" s="27">
        <f>SUMIF(T6:T17,"&gt;0",R6:R17)</f>
        <v>18337</v>
      </c>
      <c r="S18" s="27">
        <f>SUMIF(T6:T17,"&gt;0",S6:S17)</f>
        <v>14046</v>
      </c>
      <c r="T18" s="66">
        <f>SUM(T6:T17)</f>
        <v>16115</v>
      </c>
      <c r="U18" s="27"/>
    </row>
    <row r="19" spans="16:21">
      <c r="P19" s="27"/>
      <c r="Q19" s="101" t="s">
        <v>558</v>
      </c>
      <c r="R19" s="66">
        <f>SUM(R6:R17)</f>
        <v>36236</v>
      </c>
      <c r="S19" s="66">
        <f>SUM(S6:S17)</f>
        <v>34516</v>
      </c>
      <c r="T19" s="66"/>
      <c r="U19" s="27"/>
    </row>
    <row r="20" spans="16:21">
      <c r="P20" s="44"/>
      <c r="Q20" s="27"/>
      <c r="R20" s="27"/>
      <c r="S20" s="27"/>
      <c r="T20" s="27"/>
      <c r="U20" s="27"/>
    </row>
    <row r="21" spans="16:21">
      <c r="P21" s="27"/>
      <c r="Q21" s="27"/>
      <c r="R21" s="27"/>
      <c r="S21" s="27"/>
      <c r="T21" s="27"/>
      <c r="U21" s="27"/>
    </row>
    <row r="22" spans="16:21">
      <c r="P22" s="27"/>
      <c r="Q22" s="27"/>
      <c r="R22" s="27"/>
      <c r="S22" s="27"/>
      <c r="T22" s="27"/>
      <c r="U22" s="27"/>
    </row>
    <row r="23" spans="16:21">
      <c r="P23" s="27"/>
      <c r="Q23" s="68" t="s">
        <v>473</v>
      </c>
      <c r="R23" s="27"/>
      <c r="S23" s="27"/>
      <c r="T23" s="27"/>
      <c r="U23" s="27"/>
    </row>
    <row r="24" spans="16:21">
      <c r="P24" s="27"/>
      <c r="Q24" s="27"/>
      <c r="R24" s="27"/>
      <c r="S24" s="27"/>
      <c r="T24" s="27"/>
      <c r="U24" s="27"/>
    </row>
    <row r="34" spans="17:23">
      <c r="Q34" s="27"/>
      <c r="R34" s="27"/>
      <c r="S34" s="27"/>
      <c r="T34" s="27"/>
      <c r="U34" s="27"/>
      <c r="V34" s="27"/>
      <c r="W34" s="27"/>
    </row>
    <row r="35" spans="17:23" ht="19.25" customHeight="1" thickBot="1">
      <c r="Q35" s="72" t="s">
        <v>306</v>
      </c>
      <c r="R35" s="72"/>
      <c r="S35" s="72"/>
      <c r="T35" s="72"/>
      <c r="U35" s="72"/>
      <c r="V35" s="72"/>
      <c r="W35" s="127"/>
    </row>
    <row r="36" spans="17:23">
      <c r="Q36" s="27"/>
      <c r="R36" s="27"/>
      <c r="S36" s="27"/>
      <c r="T36" s="27"/>
      <c r="U36" s="27"/>
      <c r="V36" s="27"/>
      <c r="W36" s="27"/>
    </row>
    <row r="37" spans="17:23">
      <c r="Q37" s="102" t="s">
        <v>459</v>
      </c>
      <c r="R37" s="63">
        <v>-3.4899953466728708</v>
      </c>
      <c r="S37" s="27"/>
      <c r="T37" s="27"/>
      <c r="U37" s="27"/>
      <c r="V37" s="27"/>
      <c r="W37" s="27"/>
    </row>
    <row r="38" spans="17:23">
      <c r="Q38" s="102" t="s">
        <v>526</v>
      </c>
      <c r="R38" s="63">
        <v>46.333853354134163</v>
      </c>
      <c r="S38" s="27"/>
      <c r="T38" s="27"/>
      <c r="U38" s="27"/>
      <c r="V38" s="27"/>
      <c r="W38" s="27"/>
    </row>
    <row r="39" spans="17:23">
      <c r="Q39" s="102" t="s">
        <v>586</v>
      </c>
      <c r="R39" s="63">
        <v>239.72602739726025</v>
      </c>
      <c r="S39" s="27"/>
      <c r="T39" s="27"/>
      <c r="U39" s="27"/>
      <c r="V39" s="27"/>
      <c r="W39" s="27"/>
    </row>
    <row r="40" spans="17:23">
      <c r="Q40" s="102" t="s">
        <v>603</v>
      </c>
      <c r="R40" s="63">
        <v>-23.29979879275654</v>
      </c>
      <c r="S40" s="27"/>
      <c r="T40" s="27"/>
      <c r="U40" s="27"/>
      <c r="V40" s="27"/>
      <c r="W40" s="27"/>
    </row>
    <row r="41" spans="17:23">
      <c r="Q41" s="102" t="s">
        <v>617</v>
      </c>
      <c r="R41" s="63">
        <v>32.572515454113173</v>
      </c>
      <c r="S41" s="27"/>
      <c r="T41" s="27"/>
      <c r="U41" s="27"/>
      <c r="V41" s="27"/>
      <c r="W41" s="27"/>
    </row>
    <row r="42" spans="17:23">
      <c r="Q42" s="102" t="s">
        <v>624</v>
      </c>
      <c r="R42" s="63">
        <v>40.133928571428577</v>
      </c>
      <c r="S42" s="27"/>
      <c r="T42" s="27"/>
      <c r="U42" s="27"/>
      <c r="V42" s="27"/>
      <c r="W42" s="27"/>
    </row>
    <row r="43" spans="17:23">
      <c r="Q43" s="102" t="s">
        <v>629</v>
      </c>
      <c r="R43" s="63">
        <v>-5.3789731051344738</v>
      </c>
      <c r="S43" s="27"/>
      <c r="T43" s="27"/>
      <c r="U43" s="27"/>
      <c r="V43" s="27"/>
      <c r="W43" s="27"/>
    </row>
    <row r="44" spans="17:23">
      <c r="Q44" s="102" t="s">
        <v>631</v>
      </c>
      <c r="R44" s="63">
        <v>-8.6775425199583474</v>
      </c>
      <c r="S44" s="27"/>
      <c r="T44" s="27"/>
      <c r="U44" s="27"/>
      <c r="V44" s="27"/>
      <c r="W44" s="27"/>
    </row>
    <row r="45" spans="17:23">
      <c r="Q45" s="102" t="s">
        <v>639</v>
      </c>
      <c r="R45" s="63">
        <v>-17.324805339265851</v>
      </c>
      <c r="S45" s="27"/>
      <c r="T45" s="27"/>
      <c r="U45" s="27"/>
      <c r="V45" s="27"/>
      <c r="W45" s="27"/>
    </row>
    <row r="46" spans="17:23">
      <c r="Q46" s="102" t="s">
        <v>658</v>
      </c>
      <c r="R46" s="63">
        <v>-27.242424242424239</v>
      </c>
      <c r="S46" s="27"/>
      <c r="T46" s="27"/>
      <c r="U46" s="27"/>
      <c r="V46" s="27"/>
      <c r="W46" s="27"/>
    </row>
    <row r="47" spans="17:23">
      <c r="Q47" s="102" t="s">
        <v>667</v>
      </c>
      <c r="R47" s="63">
        <v>-22.708399872245288</v>
      </c>
      <c r="S47" s="27"/>
      <c r="T47" s="27"/>
      <c r="U47" s="27"/>
      <c r="V47" s="27"/>
      <c r="W47" s="27"/>
    </row>
    <row r="48" spans="17:23">
      <c r="Q48" s="102" t="s">
        <v>676</v>
      </c>
      <c r="R48" s="63">
        <v>-30.185370741482963</v>
      </c>
      <c r="S48" s="27"/>
      <c r="T48" s="27"/>
      <c r="U48" s="27"/>
      <c r="V48" s="27"/>
      <c r="W48" s="27"/>
    </row>
    <row r="49" spans="17:23">
      <c r="Q49" s="102" t="s">
        <v>685</v>
      </c>
      <c r="R49" s="63">
        <f>((S6-R6)/R6)*100</f>
        <v>-3.4899953466728708</v>
      </c>
      <c r="S49" s="27"/>
      <c r="T49" s="27"/>
      <c r="U49" s="27"/>
      <c r="V49" s="27"/>
      <c r="W49" s="27"/>
    </row>
    <row r="50" spans="17:23">
      <c r="Q50" s="102" t="s">
        <v>700</v>
      </c>
      <c r="R50" s="63">
        <f t="shared" ref="R50:R60" si="0">((S7-R7)/R7)*100</f>
        <v>-7.8891257995735611</v>
      </c>
      <c r="S50" s="27"/>
      <c r="T50" s="27"/>
      <c r="U50" s="27"/>
      <c r="V50" s="27"/>
      <c r="W50" s="27"/>
    </row>
    <row r="51" spans="17:23">
      <c r="Q51" s="102" t="s">
        <v>719</v>
      </c>
      <c r="R51" s="63">
        <f t="shared" si="0"/>
        <v>-60.334101382488484</v>
      </c>
      <c r="S51" s="27"/>
      <c r="T51" s="27"/>
      <c r="U51" s="27"/>
      <c r="V51" s="27"/>
      <c r="W51" s="27"/>
    </row>
    <row r="52" spans="17:23">
      <c r="Q52" s="102" t="s">
        <v>728</v>
      </c>
      <c r="R52" s="63">
        <f t="shared" si="0"/>
        <v>54.984260230849948</v>
      </c>
      <c r="S52" s="27"/>
      <c r="T52" s="27"/>
      <c r="U52" s="27"/>
      <c r="V52" s="27"/>
      <c r="W52" s="27"/>
    </row>
    <row r="53" spans="17:23">
      <c r="Q53" s="102" t="s">
        <v>734</v>
      </c>
      <c r="R53" s="63">
        <f t="shared" si="0"/>
        <v>6.9942611190817789</v>
      </c>
      <c r="S53" s="27"/>
      <c r="T53" s="27"/>
      <c r="U53" s="27"/>
      <c r="V53" s="27"/>
      <c r="W53" s="27"/>
    </row>
    <row r="54" spans="17:23">
      <c r="Q54" s="102" t="s">
        <v>737</v>
      </c>
      <c r="R54" s="63">
        <f t="shared" si="0"/>
        <v>-17.011787193373689</v>
      </c>
      <c r="S54" s="27"/>
      <c r="T54" s="27"/>
      <c r="U54" s="27"/>
      <c r="V54" s="27"/>
      <c r="W54" s="27"/>
    </row>
    <row r="55" spans="17:23">
      <c r="Q55" s="102" t="s">
        <v>1015</v>
      </c>
      <c r="R55" s="63">
        <f t="shared" si="0"/>
        <v>-0.96899224806201545</v>
      </c>
      <c r="S55" s="27"/>
      <c r="T55" s="27"/>
      <c r="U55" s="27"/>
      <c r="V55" s="27"/>
      <c r="W55" s="27"/>
    </row>
    <row r="56" spans="17:23">
      <c r="Q56" s="102" t="s">
        <v>1023</v>
      </c>
      <c r="R56" s="63">
        <f t="shared" si="0"/>
        <v>16.495629038388447</v>
      </c>
      <c r="S56" s="27"/>
      <c r="T56" s="27"/>
      <c r="U56" s="27"/>
      <c r="V56" s="27"/>
      <c r="W56" s="27"/>
    </row>
    <row r="57" spans="17:23">
      <c r="Q57" s="102" t="s">
        <v>1039</v>
      </c>
      <c r="R57" s="63">
        <f t="shared" si="0"/>
        <v>10.191725529767911</v>
      </c>
      <c r="S57" s="27"/>
      <c r="T57" s="27"/>
      <c r="U57" s="27"/>
      <c r="V57" s="27"/>
      <c r="W57" s="27"/>
    </row>
    <row r="58" spans="17:23">
      <c r="Q58" s="102" t="s">
        <v>1049</v>
      </c>
      <c r="R58" s="63">
        <f t="shared" si="0"/>
        <v>7.1220324864639739</v>
      </c>
      <c r="S58" s="27"/>
      <c r="T58" s="27"/>
      <c r="U58" s="27"/>
      <c r="V58" s="27"/>
      <c r="W58" s="27"/>
    </row>
    <row r="59" spans="17:23">
      <c r="Q59" s="102" t="s">
        <v>1061</v>
      </c>
      <c r="R59" s="63">
        <f t="shared" si="0"/>
        <v>39.132231404958681</v>
      </c>
      <c r="S59" s="27"/>
      <c r="T59" s="27"/>
      <c r="U59" s="27"/>
      <c r="V59" s="27"/>
      <c r="W59" s="27"/>
    </row>
    <row r="60" spans="17:23">
      <c r="Q60" s="102" t="s">
        <v>1077</v>
      </c>
      <c r="R60" s="63">
        <f t="shared" si="0"/>
        <v>45.389307499102976</v>
      </c>
      <c r="S60" s="27"/>
      <c r="T60" s="27"/>
      <c r="U60" s="27"/>
      <c r="V60" s="27"/>
      <c r="W60" s="27"/>
    </row>
    <row r="61" spans="17:23">
      <c r="Q61" s="102" t="s">
        <v>1105</v>
      </c>
      <c r="R61" s="63">
        <f>((T6-S6)/S6)*100</f>
        <v>13.596914175506269</v>
      </c>
      <c r="S61" s="27"/>
      <c r="T61" s="27"/>
      <c r="U61" s="27"/>
      <c r="V61" s="27"/>
      <c r="W61" s="27"/>
    </row>
    <row r="62" spans="17:23">
      <c r="Q62" s="102" t="s">
        <v>1142</v>
      </c>
      <c r="R62" s="63">
        <f>((T7-S7)/S7)*100</f>
        <v>15.084876543209877</v>
      </c>
      <c r="S62" s="27"/>
      <c r="T62" s="27"/>
      <c r="U62" s="27"/>
      <c r="V62" s="27"/>
      <c r="W62" s="27"/>
    </row>
    <row r="63" spans="17:23">
      <c r="Q63" s="102" t="s">
        <v>1176</v>
      </c>
      <c r="R63" s="63">
        <f>((T8-S8)/S8)*100</f>
        <v>6.1283764159163523</v>
      </c>
      <c r="S63" s="27"/>
      <c r="T63" s="27"/>
      <c r="U63" s="27"/>
      <c r="V63" s="27"/>
      <c r="W63" s="27"/>
    </row>
    <row r="64" spans="17:23">
      <c r="Q64" s="102" t="s">
        <v>1202</v>
      </c>
      <c r="R64" s="63">
        <f>((T9-S9)/S9)*100</f>
        <v>8.4292484766418418</v>
      </c>
      <c r="S64" s="27"/>
      <c r="T64" s="27"/>
      <c r="U64" s="27"/>
      <c r="V64" s="27"/>
      <c r="W64" s="27"/>
    </row>
    <row r="65" spans="1:23">
      <c r="A65" s="27" t="s">
        <v>705</v>
      </c>
      <c r="Q65" s="102" t="s">
        <v>1246</v>
      </c>
      <c r="R65" s="63">
        <f>((T10-S10)/S10)*100</f>
        <v>31.377807576265504</v>
      </c>
      <c r="S65" s="27"/>
      <c r="T65" s="27"/>
      <c r="U65" s="27"/>
      <c r="V65" s="27"/>
      <c r="W65" s="27"/>
    </row>
    <row r="66" spans="1:23">
      <c r="Q66" s="102"/>
      <c r="R66" s="63"/>
      <c r="S66" s="27"/>
      <c r="T66" s="27"/>
      <c r="U66" s="27"/>
      <c r="V66" s="27"/>
      <c r="W66" s="27"/>
    </row>
    <row r="67" spans="1:23">
      <c r="Q67" s="102"/>
      <c r="R67" s="63"/>
      <c r="S67" s="27"/>
      <c r="T67" s="27"/>
      <c r="U67" s="27"/>
      <c r="V67" s="27"/>
      <c r="W67" s="27"/>
    </row>
    <row r="68" spans="1:23">
      <c r="Q68" s="102"/>
      <c r="R68" s="63"/>
      <c r="S68" s="27"/>
      <c r="T68" s="27"/>
      <c r="U68" s="27"/>
      <c r="V68" s="27"/>
      <c r="W68" s="27"/>
    </row>
    <row r="69" spans="1:23">
      <c r="Q69" s="102"/>
      <c r="R69" s="63"/>
      <c r="S69" s="27"/>
      <c r="T69" s="27"/>
      <c r="U69" s="27"/>
      <c r="V69" s="27"/>
      <c r="W69" s="27"/>
    </row>
    <row r="70" spans="1:23">
      <c r="R70" s="63"/>
      <c r="S70" s="27"/>
      <c r="T70" s="27"/>
      <c r="U70" s="27"/>
      <c r="V70" s="27"/>
      <c r="W70" s="27"/>
    </row>
    <row r="71" spans="1:23">
      <c r="S71" s="27"/>
      <c r="T71" s="27"/>
      <c r="U71" s="27"/>
      <c r="V71" s="27"/>
      <c r="W71" s="27"/>
    </row>
    <row r="72" spans="1:23">
      <c r="S72" s="27"/>
      <c r="T72" s="27"/>
      <c r="U72" s="27"/>
      <c r="V72" s="27"/>
      <c r="W72" s="27"/>
    </row>
    <row r="73" spans="1:23">
      <c r="Q73" s="27"/>
      <c r="R73" s="63"/>
      <c r="S73" s="27"/>
      <c r="T73" s="27"/>
      <c r="U73" s="27"/>
      <c r="V73" s="27"/>
      <c r="W73" s="27"/>
    </row>
    <row r="74" spans="1:23">
      <c r="Q74" s="102"/>
      <c r="R74" s="63"/>
      <c r="S74" s="27"/>
      <c r="T74" s="27"/>
      <c r="U74" s="27"/>
      <c r="V74" s="27"/>
      <c r="W74" s="27"/>
    </row>
    <row r="75" spans="1:23">
      <c r="Q75" s="102"/>
      <c r="R75" s="63"/>
      <c r="S75" s="27"/>
      <c r="T75" s="27"/>
      <c r="U75" s="27"/>
      <c r="V75" s="27"/>
      <c r="W75" s="27"/>
    </row>
    <row r="76" spans="1:23">
      <c r="Q76" s="102"/>
      <c r="R76" s="63"/>
      <c r="S76" s="27"/>
      <c r="T76" s="27"/>
      <c r="U76" s="27"/>
      <c r="V76" s="27"/>
      <c r="W76" s="27"/>
    </row>
    <row r="77" spans="1:23">
      <c r="Q77" s="102"/>
      <c r="R77" s="63"/>
      <c r="S77" s="27"/>
      <c r="T77" s="27"/>
      <c r="U77" s="27"/>
      <c r="V77" s="27"/>
      <c r="W77" s="27"/>
    </row>
    <row r="78" spans="1:23">
      <c r="Q78" s="102"/>
      <c r="R78" s="63"/>
      <c r="S78" s="27"/>
      <c r="T78" s="27"/>
      <c r="U78" s="27"/>
      <c r="V78" s="27"/>
      <c r="W78" s="27"/>
    </row>
    <row r="79" spans="1:23">
      <c r="Q79" s="102"/>
      <c r="R79" s="63"/>
      <c r="S79" s="27"/>
      <c r="T79" s="27"/>
      <c r="U79" s="27"/>
      <c r="V79" s="27"/>
      <c r="W79" s="27"/>
    </row>
    <row r="80" spans="1:23">
      <c r="Q80" s="16"/>
      <c r="R80" s="9"/>
    </row>
    <row r="81" spans="17:18">
      <c r="Q81" s="16"/>
      <c r="R81" s="9"/>
    </row>
    <row r="82" spans="17:18">
      <c r="Q82" s="16"/>
      <c r="R82" s="9"/>
    </row>
    <row r="83" spans="17:18">
      <c r="Q83" s="16"/>
      <c r="R83" s="9"/>
    </row>
    <row r="84" spans="17:18">
      <c r="Q84" s="16"/>
      <c r="R84"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J8" sqref="J8"/>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60" t="s">
        <v>487</v>
      </c>
      <c r="D2" s="60"/>
      <c r="E2" s="60"/>
      <c r="F2" s="60"/>
      <c r="G2" s="60"/>
      <c r="H2" s="60"/>
    </row>
    <row r="4" spans="1:10" ht="15" customHeight="1">
      <c r="A4" s="103" t="s">
        <v>478</v>
      </c>
      <c r="B4" s="27"/>
      <c r="C4" s="27"/>
      <c r="D4" s="27"/>
      <c r="E4" s="274" t="s">
        <v>473</v>
      </c>
      <c r="F4" s="274"/>
      <c r="G4" s="274"/>
      <c r="H4" s="274"/>
      <c r="I4" s="274"/>
      <c r="J4" s="27"/>
    </row>
    <row r="5" spans="1:10">
      <c r="A5" s="117"/>
      <c r="B5" s="276" t="s">
        <v>560</v>
      </c>
      <c r="C5" s="277"/>
      <c r="D5" s="276" t="s">
        <v>560</v>
      </c>
      <c r="E5" s="277"/>
      <c r="F5" s="289" t="s">
        <v>561</v>
      </c>
      <c r="G5" s="290"/>
      <c r="H5" s="276" t="s">
        <v>562</v>
      </c>
      <c r="I5" s="277"/>
      <c r="J5" s="27"/>
    </row>
    <row r="6" spans="1:10">
      <c r="A6" s="117" t="s">
        <v>484</v>
      </c>
      <c r="B6" s="131" t="str">
        <f>Innehåll!D79</f>
        <v xml:space="preserve"> 2023-05</v>
      </c>
      <c r="C6" s="131" t="str">
        <f>Innehåll!D80</f>
        <v xml:space="preserve"> 2022-05</v>
      </c>
      <c r="D6" s="131" t="str">
        <f>Innehåll!D81</f>
        <v>YTD  2023</v>
      </c>
      <c r="E6" s="131" t="str">
        <f>Innehåll!D82</f>
        <v>YTD  2022</v>
      </c>
      <c r="F6" s="146" t="str">
        <f>B6</f>
        <v xml:space="preserve"> 2023-05</v>
      </c>
      <c r="G6" s="132" t="str">
        <f>D6</f>
        <v>YTD  2023</v>
      </c>
      <c r="H6" s="131" t="str">
        <f>D6</f>
        <v>YTD  2023</v>
      </c>
      <c r="I6" s="147" t="str">
        <f>E6</f>
        <v>YTD  2022</v>
      </c>
      <c r="J6" s="27"/>
    </row>
    <row r="7" spans="1:10" ht="15" hidden="1" customHeight="1">
      <c r="A7" s="27" t="s">
        <v>250</v>
      </c>
      <c r="B7" s="27" t="s">
        <v>35</v>
      </c>
      <c r="C7" s="27" t="s">
        <v>308</v>
      </c>
      <c r="D7" s="27" t="s">
        <v>309</v>
      </c>
      <c r="E7" s="27" t="s">
        <v>310</v>
      </c>
      <c r="F7" s="27" t="s">
        <v>311</v>
      </c>
      <c r="G7" s="27" t="s">
        <v>40</v>
      </c>
      <c r="H7" s="27" t="s">
        <v>312</v>
      </c>
      <c r="I7" s="27" t="s">
        <v>313</v>
      </c>
      <c r="J7" s="27"/>
    </row>
    <row r="8" spans="1:10">
      <c r="A8" s="27" t="s">
        <v>701</v>
      </c>
      <c r="B8" s="27">
        <v>3</v>
      </c>
      <c r="C8" s="27">
        <v>0</v>
      </c>
      <c r="D8" s="27">
        <v>3</v>
      </c>
      <c r="E8" s="27">
        <v>0</v>
      </c>
      <c r="F8" s="27">
        <v>0</v>
      </c>
      <c r="G8" s="27">
        <v>0</v>
      </c>
      <c r="H8" s="27">
        <v>0</v>
      </c>
      <c r="I8" s="27">
        <v>0</v>
      </c>
      <c r="J8" s="27"/>
    </row>
    <row r="9" spans="1:10">
      <c r="A9" s="27" t="s">
        <v>271</v>
      </c>
      <c r="B9" s="27">
        <v>2</v>
      </c>
      <c r="C9" s="27">
        <v>1</v>
      </c>
      <c r="D9" s="27">
        <v>11</v>
      </c>
      <c r="E9" s="27">
        <v>7</v>
      </c>
      <c r="F9" s="27">
        <v>100</v>
      </c>
      <c r="G9" s="27">
        <v>57.1</v>
      </c>
      <c r="H9" s="27">
        <v>0.1</v>
      </c>
      <c r="I9" s="27">
        <v>0</v>
      </c>
      <c r="J9" s="27"/>
    </row>
    <row r="10" spans="1:10">
      <c r="A10" s="27" t="s">
        <v>272</v>
      </c>
      <c r="B10" s="27">
        <v>109</v>
      </c>
      <c r="C10" s="27">
        <v>109</v>
      </c>
      <c r="D10" s="27">
        <v>389</v>
      </c>
      <c r="E10" s="27">
        <v>531</v>
      </c>
      <c r="F10" s="27">
        <v>0</v>
      </c>
      <c r="G10" s="27">
        <v>-26.7</v>
      </c>
      <c r="H10" s="27">
        <v>2.4</v>
      </c>
      <c r="I10" s="27">
        <v>3.8</v>
      </c>
      <c r="J10" s="27"/>
    </row>
    <row r="11" spans="1:10">
      <c r="A11" s="27" t="s">
        <v>1138</v>
      </c>
      <c r="B11" s="27">
        <v>0</v>
      </c>
      <c r="C11" s="27">
        <v>1</v>
      </c>
      <c r="D11" s="27">
        <v>1</v>
      </c>
      <c r="E11" s="27">
        <v>3</v>
      </c>
      <c r="F11" s="27">
        <v>-100</v>
      </c>
      <c r="G11" s="27">
        <v>-66.7</v>
      </c>
      <c r="H11" s="27">
        <v>0</v>
      </c>
      <c r="I11" s="27">
        <v>0</v>
      </c>
      <c r="J11" s="27"/>
    </row>
    <row r="12" spans="1:10">
      <c r="A12" s="27" t="s">
        <v>274</v>
      </c>
      <c r="B12" s="27">
        <v>82</v>
      </c>
      <c r="C12" s="27">
        <v>3</v>
      </c>
      <c r="D12" s="27">
        <v>234</v>
      </c>
      <c r="E12" s="27">
        <v>59</v>
      </c>
      <c r="F12" s="27">
        <v>2633.3</v>
      </c>
      <c r="G12" s="27">
        <v>296.60000000000002</v>
      </c>
      <c r="H12" s="27">
        <v>1.5</v>
      </c>
      <c r="I12" s="27">
        <v>0.4</v>
      </c>
      <c r="J12" s="27"/>
    </row>
    <row r="13" spans="1:10">
      <c r="A13" s="27" t="s">
        <v>275</v>
      </c>
      <c r="B13" s="27">
        <v>494</v>
      </c>
      <c r="C13" s="27">
        <v>487</v>
      </c>
      <c r="D13" s="27">
        <v>2554</v>
      </c>
      <c r="E13" s="27">
        <v>2141</v>
      </c>
      <c r="F13" s="27">
        <v>1.4</v>
      </c>
      <c r="G13" s="27">
        <v>19.3</v>
      </c>
      <c r="H13" s="27">
        <v>15.8</v>
      </c>
      <c r="I13" s="27">
        <v>15.2</v>
      </c>
      <c r="J13" s="27"/>
    </row>
    <row r="14" spans="1:10">
      <c r="A14" s="27" t="s">
        <v>379</v>
      </c>
      <c r="B14" s="66">
        <v>80</v>
      </c>
      <c r="C14" s="66">
        <v>99</v>
      </c>
      <c r="D14" s="66">
        <v>342</v>
      </c>
      <c r="E14" s="66">
        <v>276</v>
      </c>
      <c r="F14" s="27">
        <v>-19.2</v>
      </c>
      <c r="G14" s="27">
        <v>23.9</v>
      </c>
      <c r="H14" s="27">
        <v>2.1</v>
      </c>
      <c r="I14" s="27">
        <v>2</v>
      </c>
      <c r="J14" s="27"/>
    </row>
    <row r="15" spans="1:10">
      <c r="A15" s="27" t="s">
        <v>278</v>
      </c>
      <c r="B15" s="66">
        <v>56</v>
      </c>
      <c r="C15" s="66">
        <v>83</v>
      </c>
      <c r="D15" s="66">
        <v>385</v>
      </c>
      <c r="E15" s="66">
        <v>236</v>
      </c>
      <c r="F15" s="27">
        <v>-32.5</v>
      </c>
      <c r="G15" s="27">
        <v>63.1</v>
      </c>
      <c r="H15" s="27">
        <v>2.4</v>
      </c>
      <c r="I15" s="27">
        <v>1.7</v>
      </c>
      <c r="J15" s="27"/>
    </row>
    <row r="16" spans="1:10">
      <c r="A16" s="27" t="s">
        <v>280</v>
      </c>
      <c r="B16" s="66">
        <v>4</v>
      </c>
      <c r="C16" s="66">
        <v>0</v>
      </c>
      <c r="D16" s="66">
        <v>11</v>
      </c>
      <c r="E16" s="66">
        <v>0</v>
      </c>
      <c r="F16" s="27">
        <v>0</v>
      </c>
      <c r="G16" s="27">
        <v>0</v>
      </c>
      <c r="H16" s="27">
        <v>0.1</v>
      </c>
      <c r="I16" s="27">
        <v>0</v>
      </c>
      <c r="J16" s="27"/>
    </row>
    <row r="17" spans="1:10">
      <c r="A17" s="27" t="s">
        <v>1139</v>
      </c>
      <c r="B17" s="66">
        <v>1</v>
      </c>
      <c r="C17" s="66">
        <v>3</v>
      </c>
      <c r="D17" s="66">
        <v>2</v>
      </c>
      <c r="E17" s="66">
        <v>11</v>
      </c>
      <c r="F17" s="27">
        <v>-66.7</v>
      </c>
      <c r="G17" s="27">
        <v>-81.8</v>
      </c>
      <c r="H17" s="27">
        <v>0</v>
      </c>
      <c r="I17" s="27">
        <v>0.1</v>
      </c>
      <c r="J17" s="27"/>
    </row>
    <row r="18" spans="1:10">
      <c r="A18" s="27" t="s">
        <v>285</v>
      </c>
      <c r="B18" s="66">
        <v>5</v>
      </c>
      <c r="C18" s="66">
        <v>9</v>
      </c>
      <c r="D18" s="66">
        <v>23</v>
      </c>
      <c r="E18" s="66">
        <v>44</v>
      </c>
      <c r="F18" s="27">
        <v>-44.4</v>
      </c>
      <c r="G18" s="27">
        <v>-47.7</v>
      </c>
      <c r="H18" s="27">
        <v>0.1</v>
      </c>
      <c r="I18" s="27">
        <v>0.3</v>
      </c>
      <c r="J18" s="27"/>
    </row>
    <row r="19" spans="1:10">
      <c r="A19" s="27" t="s">
        <v>435</v>
      </c>
      <c r="B19" s="66">
        <v>87</v>
      </c>
      <c r="C19" s="66">
        <v>37</v>
      </c>
      <c r="D19" s="66">
        <v>324</v>
      </c>
      <c r="E19" s="66">
        <v>161</v>
      </c>
      <c r="F19" s="27">
        <v>135.1</v>
      </c>
      <c r="G19" s="27">
        <v>101.2</v>
      </c>
      <c r="H19" s="27">
        <v>2</v>
      </c>
      <c r="I19" s="27">
        <v>1.1000000000000001</v>
      </c>
      <c r="J19" s="27"/>
    </row>
    <row r="20" spans="1:10">
      <c r="A20" s="27" t="s">
        <v>397</v>
      </c>
      <c r="B20" s="66">
        <v>509</v>
      </c>
      <c r="C20" s="66">
        <v>451</v>
      </c>
      <c r="D20" s="66">
        <v>1930</v>
      </c>
      <c r="E20" s="66">
        <v>2118</v>
      </c>
      <c r="F20" s="27">
        <v>12.9</v>
      </c>
      <c r="G20" s="27">
        <v>-8.9</v>
      </c>
      <c r="H20" s="27">
        <v>12</v>
      </c>
      <c r="I20" s="27">
        <v>15.1</v>
      </c>
      <c r="J20" s="27"/>
    </row>
    <row r="21" spans="1:10">
      <c r="A21" s="27" t="s">
        <v>291</v>
      </c>
      <c r="B21" s="66">
        <v>101</v>
      </c>
      <c r="C21" s="66">
        <v>77</v>
      </c>
      <c r="D21" s="66">
        <v>438</v>
      </c>
      <c r="E21" s="66">
        <v>277</v>
      </c>
      <c r="F21" s="27">
        <v>31.2</v>
      </c>
      <c r="G21" s="27">
        <v>58.1</v>
      </c>
      <c r="H21" s="27">
        <v>2.7</v>
      </c>
      <c r="I21" s="27">
        <v>2</v>
      </c>
      <c r="J21" s="27"/>
    </row>
    <row r="22" spans="1:10">
      <c r="A22" s="27" t="s">
        <v>292</v>
      </c>
      <c r="B22" s="66">
        <v>210</v>
      </c>
      <c r="C22" s="66">
        <v>54</v>
      </c>
      <c r="D22" s="66">
        <v>546</v>
      </c>
      <c r="E22" s="66">
        <v>343</v>
      </c>
      <c r="F22" s="27">
        <v>288.89999999999998</v>
      </c>
      <c r="G22" s="27">
        <v>59.2</v>
      </c>
      <c r="H22" s="27">
        <v>3.4</v>
      </c>
      <c r="I22" s="27">
        <v>2.4</v>
      </c>
      <c r="J22" s="27"/>
    </row>
    <row r="23" spans="1:10">
      <c r="A23" s="27" t="s">
        <v>293</v>
      </c>
      <c r="B23" s="66">
        <v>210</v>
      </c>
      <c r="C23" s="66">
        <v>226</v>
      </c>
      <c r="D23" s="66">
        <v>1145</v>
      </c>
      <c r="E23" s="66">
        <v>1513</v>
      </c>
      <c r="F23" s="27">
        <v>-7.1</v>
      </c>
      <c r="G23" s="27">
        <v>-24.3</v>
      </c>
      <c r="H23" s="27">
        <v>7.1</v>
      </c>
      <c r="I23" s="27">
        <v>10.8</v>
      </c>
      <c r="J23" s="27"/>
    </row>
    <row r="24" spans="1:10">
      <c r="A24" s="27" t="s">
        <v>1173</v>
      </c>
      <c r="B24" s="66">
        <v>0</v>
      </c>
      <c r="C24" s="66">
        <v>0</v>
      </c>
      <c r="D24" s="66">
        <v>6</v>
      </c>
      <c r="E24" s="66">
        <v>0</v>
      </c>
      <c r="F24" s="27">
        <v>0</v>
      </c>
      <c r="G24" s="27">
        <v>0</v>
      </c>
      <c r="H24" s="27">
        <v>0</v>
      </c>
      <c r="I24" s="27">
        <v>0</v>
      </c>
      <c r="J24" s="27"/>
    </row>
    <row r="25" spans="1:10">
      <c r="A25" s="162" t="s">
        <v>295</v>
      </c>
      <c r="B25" s="163">
        <v>339</v>
      </c>
      <c r="C25" s="163">
        <v>291</v>
      </c>
      <c r="D25" s="163">
        <v>1621</v>
      </c>
      <c r="E25" s="163">
        <v>1492</v>
      </c>
      <c r="F25" s="164">
        <v>16.5</v>
      </c>
      <c r="G25" s="164">
        <v>8.6</v>
      </c>
      <c r="H25" s="162">
        <v>10.1</v>
      </c>
      <c r="I25" s="162">
        <v>10.6</v>
      </c>
      <c r="J25" s="27"/>
    </row>
    <row r="26" spans="1:10">
      <c r="A26" s="162" t="s">
        <v>299</v>
      </c>
      <c r="B26" s="163">
        <v>30</v>
      </c>
      <c r="C26" s="163">
        <v>7</v>
      </c>
      <c r="D26" s="163">
        <v>77</v>
      </c>
      <c r="E26" s="163">
        <v>96</v>
      </c>
      <c r="F26" s="162">
        <v>328.6</v>
      </c>
      <c r="G26" s="162">
        <v>-19.8</v>
      </c>
      <c r="H26" s="162">
        <v>0.5</v>
      </c>
      <c r="I26" s="162">
        <v>0.7</v>
      </c>
      <c r="J26" s="27"/>
    </row>
    <row r="27" spans="1:10">
      <c r="A27" s="162" t="s">
        <v>301</v>
      </c>
      <c r="B27" s="163">
        <v>365</v>
      </c>
      <c r="C27" s="163">
        <v>253</v>
      </c>
      <c r="D27" s="163">
        <v>1252</v>
      </c>
      <c r="E27" s="163">
        <v>1373</v>
      </c>
      <c r="F27" s="162">
        <v>44.3</v>
      </c>
      <c r="G27" s="162">
        <v>-8.8000000000000007</v>
      </c>
      <c r="H27" s="162">
        <v>7.8</v>
      </c>
      <c r="I27" s="162">
        <v>9.8000000000000007</v>
      </c>
      <c r="J27" s="27"/>
    </row>
    <row r="28" spans="1:10">
      <c r="A28" s="162" t="s">
        <v>302</v>
      </c>
      <c r="B28" s="163">
        <v>1222</v>
      </c>
      <c r="C28" s="163">
        <v>776</v>
      </c>
      <c r="D28" s="163">
        <v>4768</v>
      </c>
      <c r="E28" s="163">
        <v>3311</v>
      </c>
      <c r="F28" s="164">
        <v>57.5</v>
      </c>
      <c r="G28" s="164">
        <v>44</v>
      </c>
      <c r="H28" s="162">
        <v>29.6</v>
      </c>
      <c r="I28" s="162">
        <v>23.6</v>
      </c>
      <c r="J28" s="27"/>
    </row>
    <row r="29" spans="1:10">
      <c r="A29" s="162" t="s">
        <v>304</v>
      </c>
      <c r="B29" s="163">
        <v>10</v>
      </c>
      <c r="C29" s="163">
        <v>16</v>
      </c>
      <c r="D29" s="163">
        <v>53</v>
      </c>
      <c r="E29" s="163">
        <v>53</v>
      </c>
      <c r="F29" s="162">
        <v>-37.5</v>
      </c>
      <c r="G29" s="162">
        <v>0</v>
      </c>
      <c r="H29" s="162">
        <v>0.3</v>
      </c>
      <c r="I29" s="162">
        <v>0.4</v>
      </c>
      <c r="J29" s="27"/>
    </row>
    <row r="30" spans="1:10">
      <c r="A30" s="162" t="s">
        <v>475</v>
      </c>
      <c r="B30" s="163">
        <f>SUBTOTAL(109,Table_bdsql12_BDnewRegistrations_getAggMakes[antalPerioden])</f>
        <v>3919</v>
      </c>
      <c r="C30" s="163">
        <f>SUBTOTAL(109,Table_bdsql12_BDnewRegistrations_getAggMakes[antalPeriodenFG])</f>
        <v>2983</v>
      </c>
      <c r="D30" s="163">
        <f>SUBTOTAL(109,Table_bdsql12_BDnewRegistrations_getAggMakes[antalAret])</f>
        <v>16115</v>
      </c>
      <c r="E30" s="163">
        <f>SUBTOTAL(109,Table_bdsql12_BDnewRegistrations_getAggMakes[antalAretFG])</f>
        <v>14045</v>
      </c>
      <c r="F30" s="164">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31.377807576265504</v>
      </c>
      <c r="G30" s="164">
        <f>IF(Table_bdsql12_BDnewRegistrations_getAggMakes[[#Totals],[antalAretFG]] &gt; 0,( Table_bdsql12_BDnewRegistrations_getAggMakes[[#Totals],[antalAret]] - Table_bdsql12_BDnewRegistrations_getAggMakes[[#Totals],[antalAretFG]] ) / Table_bdsql12_BDnewRegistrations_getAggMakes[[#Totals],[antalAretFG]] * 100,0)</f>
        <v>14.738341046635814</v>
      </c>
      <c r="H30" s="166" t="str">
        <f>TEXT(100,"0,0")</f>
        <v>100,0</v>
      </c>
      <c r="I30" s="166" t="str">
        <f>TEXT(100,"0,0")</f>
        <v>100,0</v>
      </c>
      <c r="J30" s="27"/>
    </row>
    <row r="31" spans="1:10">
      <c r="A31" s="162"/>
      <c r="B31" s="163"/>
      <c r="C31" s="163"/>
      <c r="D31" s="163"/>
      <c r="E31" s="163"/>
      <c r="F31" s="162"/>
      <c r="G31" s="162"/>
      <c r="H31" s="162"/>
      <c r="I31" s="162"/>
      <c r="J31" s="27"/>
    </row>
    <row r="32" spans="1:10">
      <c r="B32" s="27"/>
      <c r="C32" s="27"/>
      <c r="D32" s="27"/>
      <c r="E32" s="27"/>
      <c r="F32" s="27"/>
      <c r="G32" s="27"/>
      <c r="H32" s="27"/>
      <c r="I32" s="27"/>
      <c r="J32" s="27"/>
    </row>
    <row r="34" spans="1:1">
      <c r="A34" s="27" t="s">
        <v>705</v>
      </c>
    </row>
    <row r="63" spans="2:8" ht="16">
      <c r="B63" s="6"/>
      <c r="C63" s="6"/>
      <c r="D63" s="6"/>
      <c r="E63" s="6"/>
      <c r="F63" s="6"/>
      <c r="G63" s="15"/>
      <c r="H63" s="15"/>
    </row>
    <row r="64" spans="2:8">
      <c r="B64" s="6"/>
      <c r="C64" s="14"/>
      <c r="D64" s="6"/>
      <c r="E64" s="14"/>
      <c r="F64" s="6"/>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M5" sqref="M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60" t="s">
        <v>488</v>
      </c>
      <c r="D2" s="60"/>
      <c r="E2" s="60"/>
      <c r="F2" s="60"/>
      <c r="G2" s="60"/>
      <c r="H2" s="60"/>
    </row>
    <row r="4" spans="1:13">
      <c r="A4" s="64" t="s">
        <v>472</v>
      </c>
      <c r="B4" s="27"/>
      <c r="C4" s="27"/>
      <c r="D4" s="27"/>
      <c r="E4" s="27"/>
      <c r="F4" s="27"/>
      <c r="G4" s="27"/>
      <c r="H4" s="274" t="s">
        <v>473</v>
      </c>
      <c r="I4" s="274"/>
      <c r="J4" s="274"/>
      <c r="K4" s="274"/>
      <c r="L4" s="274"/>
      <c r="M4" s="27"/>
    </row>
    <row r="5" spans="1:13">
      <c r="A5" s="117"/>
      <c r="B5" s="117"/>
      <c r="C5" s="117" t="s">
        <v>560</v>
      </c>
      <c r="D5" s="117"/>
      <c r="E5" s="117" t="s">
        <v>560</v>
      </c>
      <c r="F5" s="117"/>
      <c r="G5" s="117" t="s">
        <v>561</v>
      </c>
      <c r="H5" s="117"/>
      <c r="I5" s="117" t="s">
        <v>562</v>
      </c>
      <c r="J5" s="117"/>
      <c r="K5" s="117" t="s">
        <v>562</v>
      </c>
      <c r="L5" s="117"/>
      <c r="M5" s="27"/>
    </row>
    <row r="6" spans="1:13">
      <c r="A6" s="117"/>
      <c r="B6" s="117" t="s">
        <v>489</v>
      </c>
      <c r="C6" s="117" t="str">
        <f>Innehåll!D79</f>
        <v xml:space="preserve"> 2023-05</v>
      </c>
      <c r="D6" s="117" t="str">
        <f>Innehåll!D80</f>
        <v xml:space="preserve"> 2022-05</v>
      </c>
      <c r="E6" s="117" t="str">
        <f>Innehåll!D81</f>
        <v>YTD  2023</v>
      </c>
      <c r="F6" s="117" t="str">
        <f>Innehåll!D82</f>
        <v>YTD  2022</v>
      </c>
      <c r="G6" s="117" t="str">
        <f>C6</f>
        <v xml:space="preserve"> 2023-05</v>
      </c>
      <c r="H6" s="117" t="str">
        <f>E6</f>
        <v>YTD  2023</v>
      </c>
      <c r="I6" s="117" t="str">
        <f>C6</f>
        <v xml:space="preserve"> 2023-05</v>
      </c>
      <c r="J6" s="117" t="str">
        <f>E6</f>
        <v>YTD  2023</v>
      </c>
      <c r="K6" s="117" t="str">
        <f>D6</f>
        <v xml:space="preserve"> 2022-05</v>
      </c>
      <c r="L6" s="117" t="str">
        <f>F6</f>
        <v>YTD  2022</v>
      </c>
      <c r="M6" s="27"/>
    </row>
    <row r="7" spans="1:13" ht="15" hidden="1" customHeight="1">
      <c r="A7" s="27" t="s">
        <v>33</v>
      </c>
      <c r="B7" s="27" t="s">
        <v>34</v>
      </c>
      <c r="C7" s="27" t="s">
        <v>35</v>
      </c>
      <c r="D7" s="27" t="s">
        <v>36</v>
      </c>
      <c r="E7" s="27" t="s">
        <v>37</v>
      </c>
      <c r="F7" s="27" t="s">
        <v>38</v>
      </c>
      <c r="G7" s="27" t="s">
        <v>39</v>
      </c>
      <c r="H7" s="27" t="s">
        <v>40</v>
      </c>
      <c r="I7" s="27" t="s">
        <v>41</v>
      </c>
      <c r="J7" s="27" t="s">
        <v>42</v>
      </c>
      <c r="K7" s="27" t="s">
        <v>43</v>
      </c>
      <c r="L7" s="27" t="s">
        <v>44</v>
      </c>
      <c r="M7" s="27"/>
    </row>
    <row r="8" spans="1:13">
      <c r="A8" s="27">
        <v>1</v>
      </c>
      <c r="B8" s="27" t="s">
        <v>647</v>
      </c>
      <c r="C8" s="66">
        <v>110</v>
      </c>
      <c r="D8" s="66">
        <v>29</v>
      </c>
      <c r="E8" s="66">
        <v>344</v>
      </c>
      <c r="F8" s="66">
        <v>122</v>
      </c>
      <c r="G8" s="27">
        <v>279.31</v>
      </c>
      <c r="H8" s="27">
        <v>181.97</v>
      </c>
      <c r="I8" s="27">
        <v>4.5999999999999996</v>
      </c>
      <c r="J8" s="27">
        <v>14.4</v>
      </c>
      <c r="K8" s="27">
        <v>10.78</v>
      </c>
      <c r="L8" s="27">
        <v>8.98</v>
      </c>
      <c r="M8" s="27"/>
    </row>
    <row r="9" spans="1:13">
      <c r="A9" s="27">
        <v>2</v>
      </c>
      <c r="B9" s="27" t="s">
        <v>1047</v>
      </c>
      <c r="C9" s="66">
        <v>118</v>
      </c>
      <c r="D9" s="66">
        <v>0</v>
      </c>
      <c r="E9" s="66">
        <v>344</v>
      </c>
      <c r="F9" s="66">
        <v>0</v>
      </c>
      <c r="G9" s="27">
        <v>0</v>
      </c>
      <c r="H9" s="27">
        <v>0</v>
      </c>
      <c r="I9" s="27">
        <v>4.9400000000000004</v>
      </c>
      <c r="J9" s="27">
        <v>14.4</v>
      </c>
      <c r="K9" s="27">
        <v>0</v>
      </c>
      <c r="L9" s="27">
        <v>0</v>
      </c>
      <c r="M9" s="27"/>
    </row>
    <row r="10" spans="1:13">
      <c r="A10" s="27">
        <v>3</v>
      </c>
      <c r="B10" s="27" t="s">
        <v>646</v>
      </c>
      <c r="C10" s="66">
        <v>42</v>
      </c>
      <c r="D10" s="66">
        <v>52</v>
      </c>
      <c r="E10" s="66">
        <v>299</v>
      </c>
      <c r="F10" s="66">
        <v>230</v>
      </c>
      <c r="G10" s="27">
        <v>-19.23</v>
      </c>
      <c r="H10" s="27">
        <v>30</v>
      </c>
      <c r="I10" s="27">
        <v>1.76</v>
      </c>
      <c r="J10" s="27">
        <v>12.52</v>
      </c>
      <c r="K10" s="27">
        <v>19.329999999999998</v>
      </c>
      <c r="L10" s="27">
        <v>16.920000000000002</v>
      </c>
      <c r="M10" s="27"/>
    </row>
    <row r="11" spans="1:13">
      <c r="A11" s="27">
        <v>4</v>
      </c>
      <c r="B11" s="27" t="s">
        <v>1046</v>
      </c>
      <c r="C11" s="66">
        <v>35</v>
      </c>
      <c r="D11" s="66">
        <v>57</v>
      </c>
      <c r="E11" s="66">
        <v>228</v>
      </c>
      <c r="F11" s="66">
        <v>301</v>
      </c>
      <c r="G11" s="27">
        <v>-38.6</v>
      </c>
      <c r="H11" s="27">
        <v>-24.25</v>
      </c>
      <c r="I11" s="27">
        <v>1.47</v>
      </c>
      <c r="J11" s="27">
        <v>9.5399999999999991</v>
      </c>
      <c r="K11" s="27">
        <v>21.19</v>
      </c>
      <c r="L11" s="27">
        <v>22.15</v>
      </c>
      <c r="M11" s="27"/>
    </row>
    <row r="12" spans="1:13">
      <c r="A12" s="27">
        <v>5</v>
      </c>
      <c r="B12" s="27" t="s">
        <v>681</v>
      </c>
      <c r="C12" s="66">
        <v>65</v>
      </c>
      <c r="D12" s="66">
        <v>25</v>
      </c>
      <c r="E12" s="66">
        <v>205</v>
      </c>
      <c r="F12" s="66">
        <v>137</v>
      </c>
      <c r="G12" s="27">
        <v>160</v>
      </c>
      <c r="H12" s="27">
        <v>49.64</v>
      </c>
      <c r="I12" s="27">
        <v>2.72</v>
      </c>
      <c r="J12" s="27">
        <v>8.58</v>
      </c>
      <c r="K12" s="27">
        <v>9.2899999999999991</v>
      </c>
      <c r="L12" s="27">
        <v>10.08</v>
      </c>
      <c r="M12" s="27"/>
    </row>
    <row r="13" spans="1:13">
      <c r="A13" s="27">
        <v>6</v>
      </c>
      <c r="B13" s="27" t="s">
        <v>650</v>
      </c>
      <c r="C13" s="66">
        <v>90</v>
      </c>
      <c r="D13" s="66">
        <v>1</v>
      </c>
      <c r="E13" s="66">
        <v>181</v>
      </c>
      <c r="F13" s="66">
        <v>34</v>
      </c>
      <c r="G13" s="27">
        <v>8900</v>
      </c>
      <c r="H13" s="27">
        <v>432.35</v>
      </c>
      <c r="I13" s="27">
        <v>3.77</v>
      </c>
      <c r="J13" s="27">
        <v>7.58</v>
      </c>
      <c r="K13" s="27">
        <v>0.37</v>
      </c>
      <c r="L13" s="27">
        <v>2.5</v>
      </c>
      <c r="M13" s="27"/>
    </row>
    <row r="14" spans="1:13">
      <c r="A14" s="27">
        <v>7</v>
      </c>
      <c r="B14" s="27" t="s">
        <v>675</v>
      </c>
      <c r="C14" s="66">
        <v>55</v>
      </c>
      <c r="D14" s="66">
        <v>33</v>
      </c>
      <c r="E14" s="66">
        <v>123</v>
      </c>
      <c r="F14" s="66">
        <v>117</v>
      </c>
      <c r="G14" s="27">
        <v>66.67</v>
      </c>
      <c r="H14" s="27">
        <v>5.13</v>
      </c>
      <c r="I14" s="27">
        <v>2.2999999999999998</v>
      </c>
      <c r="J14" s="27">
        <v>5.15</v>
      </c>
      <c r="K14" s="27">
        <v>12.27</v>
      </c>
      <c r="L14" s="27">
        <v>8.61</v>
      </c>
      <c r="M14" s="27"/>
    </row>
    <row r="15" spans="1:13">
      <c r="A15" s="27">
        <v>8</v>
      </c>
      <c r="B15" s="27" t="s">
        <v>682</v>
      </c>
      <c r="C15" s="66">
        <v>52</v>
      </c>
      <c r="D15" s="66">
        <v>0</v>
      </c>
      <c r="E15" s="66">
        <v>123</v>
      </c>
      <c r="F15" s="66">
        <v>33</v>
      </c>
      <c r="G15" s="65">
        <v>0</v>
      </c>
      <c r="H15" s="65">
        <v>272.73</v>
      </c>
      <c r="I15" s="27">
        <v>2.1800000000000002</v>
      </c>
      <c r="J15" s="27">
        <v>5.15</v>
      </c>
      <c r="K15" s="27">
        <v>0</v>
      </c>
      <c r="L15" s="27">
        <v>2.4300000000000002</v>
      </c>
      <c r="M15" s="27"/>
    </row>
    <row r="16" spans="1:13">
      <c r="A16" s="27">
        <v>9</v>
      </c>
      <c r="B16" s="27" t="s">
        <v>168</v>
      </c>
      <c r="C16" s="66">
        <v>10</v>
      </c>
      <c r="D16" s="66">
        <v>3</v>
      </c>
      <c r="E16" s="66">
        <v>91</v>
      </c>
      <c r="F16" s="66">
        <v>3</v>
      </c>
      <c r="G16" s="27">
        <v>233.33</v>
      </c>
      <c r="H16" s="27">
        <v>2933.33</v>
      </c>
      <c r="I16" s="27">
        <v>0.42</v>
      </c>
      <c r="J16" s="27">
        <v>3.81</v>
      </c>
      <c r="K16" s="27">
        <v>1.1200000000000001</v>
      </c>
      <c r="L16" s="27">
        <v>0.22</v>
      </c>
      <c r="M16" s="27"/>
    </row>
    <row r="17" spans="1:13">
      <c r="A17" s="27">
        <v>10</v>
      </c>
      <c r="B17" s="27" t="s">
        <v>649</v>
      </c>
      <c r="C17" s="66">
        <v>19</v>
      </c>
      <c r="D17" s="66">
        <v>10</v>
      </c>
      <c r="E17" s="66">
        <v>85</v>
      </c>
      <c r="F17" s="66">
        <v>46</v>
      </c>
      <c r="G17" s="84">
        <v>90</v>
      </c>
      <c r="H17" s="84">
        <v>84.78</v>
      </c>
      <c r="I17" s="27">
        <v>0.8</v>
      </c>
      <c r="J17" s="27">
        <v>3.56</v>
      </c>
      <c r="K17" s="27">
        <v>3.72</v>
      </c>
      <c r="L17" s="27">
        <v>3.38</v>
      </c>
      <c r="M17" s="27"/>
    </row>
    <row r="18" spans="1:13">
      <c r="A18" s="27">
        <v>11</v>
      </c>
      <c r="B18" s="27" t="s">
        <v>1100</v>
      </c>
      <c r="C18" s="66">
        <v>11</v>
      </c>
      <c r="D18" s="66">
        <v>0</v>
      </c>
      <c r="E18" s="66">
        <v>77</v>
      </c>
      <c r="F18" s="66">
        <v>0</v>
      </c>
      <c r="G18" s="65">
        <v>0</v>
      </c>
      <c r="H18" s="65">
        <v>0</v>
      </c>
      <c r="I18" s="27">
        <v>0.46</v>
      </c>
      <c r="J18" s="27">
        <v>3.22</v>
      </c>
      <c r="K18" s="27">
        <v>0</v>
      </c>
      <c r="L18" s="27">
        <v>0</v>
      </c>
      <c r="M18" s="27"/>
    </row>
    <row r="19" spans="1:13">
      <c r="A19" s="27">
        <v>12</v>
      </c>
      <c r="B19" s="27" t="s">
        <v>731</v>
      </c>
      <c r="C19" s="66">
        <v>17</v>
      </c>
      <c r="D19" s="66">
        <v>0</v>
      </c>
      <c r="E19" s="66">
        <v>65</v>
      </c>
      <c r="F19" s="66">
        <v>0</v>
      </c>
      <c r="G19" s="27">
        <v>0</v>
      </c>
      <c r="H19" s="27">
        <v>0</v>
      </c>
      <c r="I19" s="27">
        <v>0.71</v>
      </c>
      <c r="J19" s="27">
        <v>2.72</v>
      </c>
      <c r="K19" s="27">
        <v>0</v>
      </c>
      <c r="L19" s="27">
        <v>0</v>
      </c>
      <c r="M19" s="27"/>
    </row>
    <row r="20" spans="1:13">
      <c r="A20" s="27">
        <v>13</v>
      </c>
      <c r="B20" s="27" t="s">
        <v>445</v>
      </c>
      <c r="C20" s="66">
        <v>4</v>
      </c>
      <c r="D20" s="66">
        <v>8</v>
      </c>
      <c r="E20" s="66">
        <v>43</v>
      </c>
      <c r="F20" s="66">
        <v>64</v>
      </c>
      <c r="G20" s="27">
        <v>-50</v>
      </c>
      <c r="H20" s="27">
        <v>-32.81</v>
      </c>
      <c r="I20" s="27">
        <v>0.17</v>
      </c>
      <c r="J20" s="27">
        <v>1.8</v>
      </c>
      <c r="K20" s="27">
        <v>2.97</v>
      </c>
      <c r="L20" s="27">
        <v>4.71</v>
      </c>
      <c r="M20" s="27"/>
    </row>
    <row r="21" spans="1:13">
      <c r="A21" s="27">
        <v>14</v>
      </c>
      <c r="B21" s="27" t="s">
        <v>1014</v>
      </c>
      <c r="C21" s="66">
        <v>11</v>
      </c>
      <c r="D21" s="66">
        <v>11</v>
      </c>
      <c r="E21" s="66">
        <v>42</v>
      </c>
      <c r="F21" s="66">
        <v>21</v>
      </c>
      <c r="G21" s="27">
        <v>0</v>
      </c>
      <c r="H21" s="27">
        <v>100</v>
      </c>
      <c r="I21" s="27">
        <v>0.46</v>
      </c>
      <c r="J21" s="27">
        <v>1.76</v>
      </c>
      <c r="K21" s="27">
        <v>4.09</v>
      </c>
      <c r="L21" s="27">
        <v>1.55</v>
      </c>
      <c r="M21" s="27"/>
    </row>
    <row r="22" spans="1:13">
      <c r="A22" s="27">
        <v>15</v>
      </c>
      <c r="B22" s="27" t="s">
        <v>1074</v>
      </c>
      <c r="C22" s="66">
        <v>13</v>
      </c>
      <c r="D22" s="66">
        <v>0</v>
      </c>
      <c r="E22" s="66">
        <v>38</v>
      </c>
      <c r="F22" s="66">
        <v>0</v>
      </c>
      <c r="G22" s="27">
        <v>0</v>
      </c>
      <c r="H22" s="27">
        <v>0</v>
      </c>
      <c r="I22" s="27">
        <v>0.54</v>
      </c>
      <c r="J22" s="27">
        <v>1.59</v>
      </c>
      <c r="K22" s="27">
        <v>0</v>
      </c>
      <c r="L22" s="27">
        <v>0</v>
      </c>
      <c r="M22" s="27"/>
    </row>
    <row r="23" spans="1:13">
      <c r="A23" s="27">
        <v>16</v>
      </c>
      <c r="B23" s="27" t="s">
        <v>458</v>
      </c>
      <c r="C23" s="66">
        <v>9</v>
      </c>
      <c r="D23" s="66">
        <v>22</v>
      </c>
      <c r="E23" s="66">
        <v>23</v>
      </c>
      <c r="F23" s="66">
        <v>51</v>
      </c>
      <c r="G23" s="27">
        <v>-59.09</v>
      </c>
      <c r="H23" s="27">
        <v>-54.9</v>
      </c>
      <c r="I23" s="27">
        <v>0.38</v>
      </c>
      <c r="J23" s="27">
        <v>0.96</v>
      </c>
      <c r="K23" s="27">
        <v>8.18</v>
      </c>
      <c r="L23" s="27">
        <v>3.75</v>
      </c>
      <c r="M23" s="27"/>
    </row>
    <row r="24" spans="1:13">
      <c r="A24" s="27">
        <v>17</v>
      </c>
      <c r="B24" s="27" t="s">
        <v>674</v>
      </c>
      <c r="C24" s="66">
        <v>11</v>
      </c>
      <c r="D24" s="66">
        <v>6</v>
      </c>
      <c r="E24" s="66">
        <v>17</v>
      </c>
      <c r="F24" s="66">
        <v>68</v>
      </c>
      <c r="G24" s="27">
        <v>83.33</v>
      </c>
      <c r="H24" s="27">
        <v>-75</v>
      </c>
      <c r="I24" s="27">
        <v>0.46</v>
      </c>
      <c r="J24" s="27">
        <v>0.71</v>
      </c>
      <c r="K24" s="27">
        <v>2.23</v>
      </c>
      <c r="L24" s="27">
        <v>5</v>
      </c>
      <c r="M24" s="27"/>
    </row>
    <row r="25" spans="1:13">
      <c r="A25" s="27">
        <v>18</v>
      </c>
      <c r="B25" s="27" t="s">
        <v>1022</v>
      </c>
      <c r="C25" s="66">
        <v>3</v>
      </c>
      <c r="D25" s="66">
        <v>0</v>
      </c>
      <c r="E25" s="66">
        <v>16</v>
      </c>
      <c r="F25" s="66">
        <v>0</v>
      </c>
      <c r="G25" s="27">
        <v>0</v>
      </c>
      <c r="H25" s="27">
        <v>0</v>
      </c>
      <c r="I25" s="27">
        <v>0.13</v>
      </c>
      <c r="J25" s="27">
        <v>0.67</v>
      </c>
      <c r="K25" s="27">
        <v>0</v>
      </c>
      <c r="L25" s="27">
        <v>0</v>
      </c>
      <c r="M25" s="27"/>
    </row>
    <row r="26" spans="1:13">
      <c r="A26" s="27">
        <v>19</v>
      </c>
      <c r="B26" s="27" t="s">
        <v>652</v>
      </c>
      <c r="C26" s="66">
        <v>1</v>
      </c>
      <c r="D26" s="66">
        <v>0</v>
      </c>
      <c r="E26" s="66">
        <v>5</v>
      </c>
      <c r="F26" s="66">
        <v>9</v>
      </c>
      <c r="G26" s="27">
        <v>0</v>
      </c>
      <c r="H26" s="27">
        <v>-44.44</v>
      </c>
      <c r="I26" s="27">
        <v>0.04</v>
      </c>
      <c r="J26" s="27">
        <v>0.21</v>
      </c>
      <c r="K26" s="27">
        <v>0</v>
      </c>
      <c r="L26" s="27">
        <v>0.66</v>
      </c>
      <c r="M26" s="27"/>
    </row>
    <row r="27" spans="1:13">
      <c r="A27" s="27">
        <v>20</v>
      </c>
      <c r="B27" s="27" t="s">
        <v>1140</v>
      </c>
      <c r="C27" s="66">
        <v>0</v>
      </c>
      <c r="D27" s="66">
        <v>0</v>
      </c>
      <c r="E27" s="66">
        <v>3</v>
      </c>
      <c r="F27" s="66">
        <v>7</v>
      </c>
      <c r="G27" s="27">
        <v>0</v>
      </c>
      <c r="H27" s="27">
        <v>-57.14</v>
      </c>
      <c r="I27" s="27">
        <v>0</v>
      </c>
      <c r="J27" s="27">
        <v>0.13</v>
      </c>
      <c r="K27" s="27">
        <v>0</v>
      </c>
      <c r="L27" s="27">
        <v>0.52</v>
      </c>
      <c r="M27" s="27"/>
    </row>
    <row r="28" spans="1:13">
      <c r="A28" s="162">
        <v>21</v>
      </c>
      <c r="B28" s="162" t="s">
        <v>1239</v>
      </c>
      <c r="C28" s="163">
        <v>3</v>
      </c>
      <c r="D28" s="163">
        <v>0</v>
      </c>
      <c r="E28" s="163">
        <v>3</v>
      </c>
      <c r="F28" s="163">
        <v>0</v>
      </c>
      <c r="G28" s="162">
        <v>0</v>
      </c>
      <c r="H28" s="162">
        <v>0</v>
      </c>
      <c r="I28" s="162">
        <v>0.13</v>
      </c>
      <c r="J28" s="162">
        <v>0.13</v>
      </c>
      <c r="K28" s="162">
        <v>0</v>
      </c>
      <c r="L28" s="162">
        <v>0</v>
      </c>
      <c r="M28" s="27"/>
    </row>
    <row r="29" spans="1:13">
      <c r="A29" s="162">
        <v>22</v>
      </c>
      <c r="B29" s="162" t="s">
        <v>1174</v>
      </c>
      <c r="C29" s="163">
        <v>0</v>
      </c>
      <c r="D29" s="163">
        <v>0</v>
      </c>
      <c r="E29" s="163">
        <v>2</v>
      </c>
      <c r="F29" s="163">
        <v>0</v>
      </c>
      <c r="G29" s="162">
        <v>0</v>
      </c>
      <c r="H29" s="162">
        <v>0</v>
      </c>
      <c r="I29" s="162">
        <v>0</v>
      </c>
      <c r="J29" s="162">
        <v>0.08</v>
      </c>
      <c r="K29" s="162">
        <v>0</v>
      </c>
      <c r="L29" s="162">
        <v>0</v>
      </c>
      <c r="M29" s="27"/>
    </row>
    <row r="30" spans="1:13">
      <c r="A30" s="162">
        <v>23</v>
      </c>
      <c r="B30" s="162" t="s">
        <v>651</v>
      </c>
      <c r="C30" s="163">
        <v>0</v>
      </c>
      <c r="D30" s="163">
        <v>1</v>
      </c>
      <c r="E30" s="163">
        <v>1</v>
      </c>
      <c r="F30" s="163">
        <v>15</v>
      </c>
      <c r="G30" s="162">
        <v>-100</v>
      </c>
      <c r="H30" s="162">
        <v>-93.33</v>
      </c>
      <c r="I30" s="162">
        <v>0</v>
      </c>
      <c r="J30" s="162">
        <v>0.04</v>
      </c>
      <c r="K30" s="162">
        <v>0.37</v>
      </c>
      <c r="L30" s="162">
        <v>1.1000000000000001</v>
      </c>
      <c r="M30" s="27"/>
    </row>
    <row r="31" spans="1:13">
      <c r="A31" s="162">
        <v>24</v>
      </c>
      <c r="B31" s="162" t="s">
        <v>246</v>
      </c>
      <c r="C31" s="163">
        <v>0</v>
      </c>
      <c r="D31" s="163">
        <v>4</v>
      </c>
      <c r="E31" s="163">
        <v>0</v>
      </c>
      <c r="F31" s="163">
        <v>54</v>
      </c>
      <c r="G31" s="162">
        <v>-100</v>
      </c>
      <c r="H31" s="162">
        <v>-100</v>
      </c>
      <c r="I31" s="162">
        <v>0</v>
      </c>
      <c r="J31" s="162">
        <v>0</v>
      </c>
      <c r="K31" s="162">
        <v>1.49</v>
      </c>
      <c r="L31" s="162">
        <v>3.97</v>
      </c>
      <c r="M31" s="27"/>
    </row>
    <row r="32" spans="1:13">
      <c r="A32" s="162">
        <v>25</v>
      </c>
      <c r="B32" s="162" t="s">
        <v>648</v>
      </c>
      <c r="C32" s="163">
        <v>0</v>
      </c>
      <c r="D32" s="163">
        <v>0</v>
      </c>
      <c r="E32" s="163">
        <v>0</v>
      </c>
      <c r="F32" s="163">
        <v>12</v>
      </c>
      <c r="G32" s="167">
        <v>0</v>
      </c>
      <c r="H32" s="167">
        <v>-100</v>
      </c>
      <c r="I32" s="162">
        <v>0</v>
      </c>
      <c r="J32" s="162">
        <v>0</v>
      </c>
      <c r="K32" s="162">
        <v>0</v>
      </c>
      <c r="L32" s="162">
        <v>0.88</v>
      </c>
      <c r="M32" s="27"/>
    </row>
    <row r="33" spans="1:13">
      <c r="A33" s="162">
        <v>26</v>
      </c>
      <c r="B33" s="162" t="s">
        <v>525</v>
      </c>
      <c r="C33" s="163">
        <v>0</v>
      </c>
      <c r="D33" s="163">
        <v>1</v>
      </c>
      <c r="E33" s="163">
        <v>0</v>
      </c>
      <c r="F33" s="163">
        <v>3</v>
      </c>
      <c r="G33" s="162">
        <v>-100</v>
      </c>
      <c r="H33" s="162">
        <v>-100</v>
      </c>
      <c r="I33" s="162">
        <v>0</v>
      </c>
      <c r="J33" s="162">
        <v>0</v>
      </c>
      <c r="K33" s="162">
        <v>0.37</v>
      </c>
      <c r="L33" s="162">
        <v>0.22</v>
      </c>
      <c r="M33" s="27"/>
    </row>
    <row r="34" spans="1:13">
      <c r="A34" s="162">
        <v>27</v>
      </c>
      <c r="B34" s="162" t="s">
        <v>1175</v>
      </c>
      <c r="C34" s="163">
        <v>0</v>
      </c>
      <c r="D34" s="163">
        <v>0</v>
      </c>
      <c r="E34" s="163">
        <v>0</v>
      </c>
      <c r="F34" s="163">
        <v>1</v>
      </c>
      <c r="G34" s="162">
        <v>0</v>
      </c>
      <c r="H34" s="162">
        <v>-100</v>
      </c>
      <c r="I34" s="162">
        <v>0</v>
      </c>
      <c r="J34" s="162">
        <v>0</v>
      </c>
      <c r="K34" s="162">
        <v>0</v>
      </c>
      <c r="L34" s="162">
        <v>7.0000000000000007E-2</v>
      </c>
    </row>
    <row r="35" spans="1:13">
      <c r="A35" s="162">
        <v>28</v>
      </c>
      <c r="B35" s="162" t="s">
        <v>457</v>
      </c>
      <c r="C35" s="163">
        <v>7</v>
      </c>
      <c r="D35" s="163">
        <v>6</v>
      </c>
      <c r="E35" s="163">
        <v>31</v>
      </c>
      <c r="F35" s="163">
        <v>31</v>
      </c>
      <c r="G35" s="162">
        <v>16.670000000000002</v>
      </c>
      <c r="H35" s="162">
        <v>0</v>
      </c>
      <c r="I35" s="162">
        <v>0.28999999999999998</v>
      </c>
      <c r="J35" s="162">
        <v>1.3</v>
      </c>
      <c r="K35" s="162">
        <v>2.23</v>
      </c>
      <c r="L35" s="162">
        <v>2.2799999999999998</v>
      </c>
    </row>
    <row r="36" spans="1:13">
      <c r="A36" s="162"/>
      <c r="B36" s="162" t="s">
        <v>475</v>
      </c>
      <c r="C36" s="163">
        <f>SUBTOTAL(109,Table_bdsql12_BDmodell_getAggModelsFuelTypeLB[antalPerioden])</f>
        <v>686</v>
      </c>
      <c r="D36" s="163">
        <f>SUBTOTAL(109,Table_bdsql12_BDmodell_getAggModelsFuelTypeLB[antalFGPeriod])</f>
        <v>269</v>
      </c>
      <c r="E36" s="163">
        <f>SUBTOTAL(109,Table_bdsql12_BDmodell_getAggModelsFuelTypeLB[antalÅret])</f>
        <v>2389</v>
      </c>
      <c r="F36" s="163">
        <f>SUBTOTAL(109,Table_bdsql12_BDmodell_getAggModelsFuelTypeLB[antalFGAr])</f>
        <v>1359</v>
      </c>
      <c r="G36" s="167">
        <f>IF(Table_bdsql12_BDmodell_getAggModelsFuelTypeLB[[#Totals],[antalFGPeriod]] &gt; 0,(Table_bdsql12_BDmodell_getAggModelsFuelTypeLB[[#Totals],[antalPerioden]] - Table_bdsql12_BDmodell_getAggModelsFuelTypeLB[[#Totals],[antalFGPeriod]]) / Table_bdsql12_BDmodell_getAggModelsFuelTypeLB[[#Totals],[antalFGPeriod]] *100,0)</f>
        <v>155.01858736059481</v>
      </c>
      <c r="H36" s="167">
        <f>IF(Table_bdsql12_BDmodell_getAggModelsFuelTypeLB[[#Totals],[antalFGAr]] &gt; 0,(Table_bdsql12_BDmodell_getAggModelsFuelTypeLB[[#Totals],[antalÅret]] - Table_bdsql12_BDmodell_getAggModelsFuelTypeLB[[#Totals],[antalFGAr]]) / Table_bdsql12_BDmodell_getAggModelsFuelTypeLB[[#Totals],[antalFGAr]] * 100,0)</f>
        <v>75.791022810890368</v>
      </c>
      <c r="I36" s="166" t="str">
        <f>TEXT(100,"0,0")</f>
        <v>100,0</v>
      </c>
      <c r="J36" s="166" t="str">
        <f>TEXT(100,"0,0")</f>
        <v>100,0</v>
      </c>
      <c r="K36" s="166" t="str">
        <f>TEXT(100,"0,0")</f>
        <v>100,0</v>
      </c>
      <c r="L36" s="166" t="str">
        <f>TEXT(100,"0,0")</f>
        <v>100,0</v>
      </c>
    </row>
    <row r="38" spans="1:13">
      <c r="A38" s="27" t="s">
        <v>705</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topLeftCell="E1" workbookViewId="0">
      <selection activeCell="W12" sqref="W12"/>
    </sheetView>
  </sheetViews>
  <sheetFormatPr baseColWidth="10" defaultColWidth="8.83203125" defaultRowHeight="15"/>
  <sheetData>
    <row r="3" spans="16:22" ht="19.25" customHeight="1" thickBot="1">
      <c r="P3" s="27"/>
      <c r="Q3" s="72" t="s">
        <v>16</v>
      </c>
      <c r="R3" s="72"/>
      <c r="S3" s="72"/>
      <c r="T3" s="72"/>
      <c r="U3" s="72"/>
      <c r="V3" s="127"/>
    </row>
    <row r="4" spans="16:22">
      <c r="P4" s="27"/>
      <c r="Q4" s="27"/>
      <c r="R4" s="27"/>
      <c r="S4" s="27"/>
      <c r="T4" s="27"/>
      <c r="U4" s="27"/>
      <c r="V4" s="27"/>
    </row>
    <row r="5" spans="16:22" ht="16" thickBot="1">
      <c r="P5" s="27"/>
      <c r="Q5" s="20" t="s">
        <v>476</v>
      </c>
      <c r="R5" s="26">
        <v>2021</v>
      </c>
      <c r="S5" s="26">
        <v>2022</v>
      </c>
      <c r="T5" s="26">
        <v>2023</v>
      </c>
      <c r="U5" s="27"/>
      <c r="V5" s="27"/>
    </row>
    <row r="6" spans="16:22">
      <c r="P6" s="27"/>
      <c r="Q6" s="17" t="s">
        <v>2</v>
      </c>
      <c r="R6" s="27">
        <v>383</v>
      </c>
      <c r="S6" s="27">
        <v>283</v>
      </c>
      <c r="T6" s="27">
        <v>446</v>
      </c>
      <c r="V6" s="27"/>
    </row>
    <row r="7" spans="16:22">
      <c r="P7" s="27"/>
      <c r="Q7" s="17" t="s">
        <v>3</v>
      </c>
      <c r="R7" s="27">
        <v>461</v>
      </c>
      <c r="S7" s="27">
        <v>352</v>
      </c>
      <c r="T7" s="27">
        <v>504</v>
      </c>
      <c r="V7" s="27"/>
    </row>
    <row r="8" spans="16:22">
      <c r="P8" s="27"/>
      <c r="Q8" s="17" t="s">
        <v>4</v>
      </c>
      <c r="R8" s="27">
        <v>511</v>
      </c>
      <c r="S8" s="27">
        <v>477</v>
      </c>
      <c r="T8" s="27">
        <v>615</v>
      </c>
      <c r="V8" s="27"/>
    </row>
    <row r="9" spans="16:22">
      <c r="P9" s="27"/>
      <c r="Q9" s="17" t="s">
        <v>5</v>
      </c>
      <c r="R9" s="27">
        <v>522</v>
      </c>
      <c r="S9" s="27">
        <v>472</v>
      </c>
      <c r="T9" s="27">
        <v>508</v>
      </c>
      <c r="U9" s="27"/>
      <c r="V9" s="27"/>
    </row>
    <row r="10" spans="16:22">
      <c r="P10" s="27"/>
      <c r="Q10" s="17" t="s">
        <v>6</v>
      </c>
      <c r="R10" s="27">
        <v>487</v>
      </c>
      <c r="S10" s="27">
        <v>502</v>
      </c>
      <c r="T10" s="27">
        <v>629</v>
      </c>
      <c r="U10" s="27"/>
      <c r="V10" s="27"/>
    </row>
    <row r="11" spans="16:22">
      <c r="P11" s="27"/>
      <c r="Q11" s="17" t="s">
        <v>7</v>
      </c>
      <c r="R11" s="27">
        <v>487</v>
      </c>
      <c r="S11" s="27">
        <v>486</v>
      </c>
      <c r="T11" s="27"/>
      <c r="U11" s="27"/>
      <c r="V11" s="27"/>
    </row>
    <row r="12" spans="16:22">
      <c r="P12" s="27"/>
      <c r="Q12" s="17" t="s">
        <v>8</v>
      </c>
      <c r="R12" s="27">
        <v>283</v>
      </c>
      <c r="S12" s="27">
        <v>218</v>
      </c>
      <c r="T12" s="27"/>
      <c r="U12" s="27"/>
      <c r="V12" s="27"/>
    </row>
    <row r="13" spans="16:22">
      <c r="P13" s="27"/>
      <c r="Q13" s="17" t="s">
        <v>9</v>
      </c>
      <c r="R13" s="27">
        <v>362</v>
      </c>
      <c r="S13" s="27">
        <v>393</v>
      </c>
      <c r="T13" s="27"/>
      <c r="U13" s="27"/>
      <c r="V13" s="27"/>
    </row>
    <row r="14" spans="16:22">
      <c r="P14" s="27"/>
      <c r="Q14" s="17" t="s">
        <v>10</v>
      </c>
      <c r="R14" s="27">
        <v>389</v>
      </c>
      <c r="S14" s="27">
        <v>533</v>
      </c>
      <c r="T14" s="27"/>
      <c r="U14" s="27"/>
      <c r="V14" s="27"/>
    </row>
    <row r="15" spans="16:22">
      <c r="P15" s="27"/>
      <c r="Q15" s="17" t="s">
        <v>11</v>
      </c>
      <c r="R15" s="27">
        <v>390</v>
      </c>
      <c r="S15" s="27">
        <v>495</v>
      </c>
      <c r="T15" s="27"/>
      <c r="U15" s="27"/>
      <c r="V15" s="27"/>
    </row>
    <row r="16" spans="16:22">
      <c r="P16" s="27"/>
      <c r="Q16" s="17" t="s">
        <v>12</v>
      </c>
      <c r="R16" s="27">
        <v>373</v>
      </c>
      <c r="S16" s="27">
        <v>559</v>
      </c>
      <c r="T16" s="27"/>
      <c r="U16" s="27"/>
      <c r="V16" s="27"/>
    </row>
    <row r="17" spans="16:22">
      <c r="P17" s="27"/>
      <c r="Q17" s="28" t="s">
        <v>13</v>
      </c>
      <c r="R17" s="29">
        <v>522</v>
      </c>
      <c r="S17" s="29">
        <v>600</v>
      </c>
      <c r="T17" s="29"/>
      <c r="U17" s="27"/>
      <c r="V17" s="27"/>
    </row>
    <row r="18" spans="16:22">
      <c r="P18" s="27"/>
      <c r="Q18" s="22" t="s">
        <v>559</v>
      </c>
      <c r="R18" s="66">
        <f>SUMIF(T6:T17,"&gt;0",R6:R17)</f>
        <v>2364</v>
      </c>
      <c r="S18" s="66">
        <f>SUMIF(T6:T17,"&gt;0",S6:S17)</f>
        <v>2086</v>
      </c>
      <c r="T18" s="66">
        <f>SUM(T6:T17)</f>
        <v>2702</v>
      </c>
      <c r="U18" s="27"/>
      <c r="V18" s="27"/>
    </row>
    <row r="19" spans="16:22">
      <c r="P19" s="27"/>
      <c r="Q19" s="23" t="s">
        <v>558</v>
      </c>
      <c r="R19" s="66">
        <f>SUM(R6:R17)</f>
        <v>5170</v>
      </c>
      <c r="S19" s="66">
        <f>SUM(S6:S17)</f>
        <v>5370</v>
      </c>
      <c r="T19" s="66"/>
      <c r="U19" s="27"/>
      <c r="V19" s="27"/>
    </row>
    <row r="20" spans="16:22">
      <c r="P20" s="27"/>
      <c r="Q20" s="27"/>
      <c r="R20" s="27"/>
      <c r="S20" s="27"/>
      <c r="T20" s="27"/>
      <c r="U20" s="27"/>
      <c r="V20" s="27"/>
    </row>
    <row r="21" spans="16:22">
      <c r="P21" s="27"/>
      <c r="Q21" s="27"/>
      <c r="R21" s="27"/>
      <c r="S21" s="27"/>
      <c r="T21" s="27"/>
      <c r="U21" s="27"/>
      <c r="V21" s="27"/>
    </row>
    <row r="22" spans="16:22">
      <c r="P22" s="27"/>
      <c r="Q22" s="27"/>
      <c r="R22" s="27"/>
      <c r="S22" s="27"/>
      <c r="T22" s="27"/>
      <c r="U22" s="27"/>
      <c r="V22" s="27"/>
    </row>
    <row r="23" spans="16:22">
      <c r="P23" s="27"/>
      <c r="Q23" s="68" t="s">
        <v>473</v>
      </c>
      <c r="R23" s="27"/>
      <c r="S23" s="27"/>
      <c r="T23" s="27"/>
      <c r="U23" s="27"/>
      <c r="V23" s="27"/>
    </row>
    <row r="24" spans="16:22">
      <c r="P24" s="27"/>
      <c r="Q24" s="27"/>
      <c r="R24" s="27"/>
      <c r="S24" s="27"/>
      <c r="T24" s="27"/>
      <c r="U24" s="27"/>
      <c r="V24" s="27"/>
    </row>
    <row r="25" spans="16:22">
      <c r="P25" s="27"/>
      <c r="Q25" s="27"/>
      <c r="R25" s="27"/>
      <c r="S25" s="27"/>
      <c r="T25" s="27"/>
      <c r="U25" s="27"/>
      <c r="V25" s="27"/>
    </row>
    <row r="26" spans="16:22">
      <c r="Q26" s="291" t="s">
        <v>1302</v>
      </c>
    </row>
    <row r="27" spans="16:22">
      <c r="Q27" s="291" t="s">
        <v>1303</v>
      </c>
    </row>
    <row r="28" spans="16:22">
      <c r="Q28" s="291" t="s">
        <v>1304</v>
      </c>
    </row>
    <row r="35" spans="16:24" ht="19.25" customHeight="1" thickBot="1">
      <c r="P35" s="27"/>
      <c r="Q35" s="72" t="s">
        <v>307</v>
      </c>
      <c r="R35" s="72"/>
      <c r="S35" s="72"/>
      <c r="T35" s="72"/>
      <c r="U35" s="72"/>
      <c r="V35" s="72"/>
      <c r="W35" s="72"/>
      <c r="X35" s="127"/>
    </row>
    <row r="36" spans="16:24">
      <c r="P36" s="27"/>
      <c r="Q36" s="27"/>
      <c r="R36" s="27"/>
      <c r="S36" s="27"/>
      <c r="T36" s="27"/>
      <c r="U36" s="27"/>
      <c r="V36" s="27"/>
      <c r="W36" s="27"/>
      <c r="X36" s="27"/>
    </row>
    <row r="37" spans="16:24">
      <c r="P37" s="27"/>
      <c r="Q37" s="104" t="s">
        <v>459</v>
      </c>
      <c r="R37" s="63">
        <v>-8.0952380952380949</v>
      </c>
      <c r="S37" s="27"/>
      <c r="T37" s="27"/>
      <c r="U37" s="27"/>
      <c r="V37" s="27"/>
      <c r="W37" s="27"/>
      <c r="X37" s="27"/>
    </row>
    <row r="38" spans="16:24">
      <c r="P38" s="27"/>
      <c r="Q38" s="102" t="s">
        <v>526</v>
      </c>
      <c r="R38" s="63">
        <v>10.189573459715639</v>
      </c>
      <c r="S38" s="27"/>
      <c r="T38" s="27"/>
      <c r="U38" s="27"/>
      <c r="V38" s="27"/>
      <c r="W38" s="27"/>
      <c r="X38" s="27"/>
    </row>
    <row r="39" spans="16:24">
      <c r="P39" s="27"/>
      <c r="Q39" s="102" t="s">
        <v>586</v>
      </c>
      <c r="R39" s="63">
        <v>3.373015873015873</v>
      </c>
      <c r="S39" s="27"/>
      <c r="T39" s="27"/>
      <c r="U39" s="27"/>
      <c r="V39" s="27"/>
      <c r="W39" s="27"/>
      <c r="X39" s="27"/>
    </row>
    <row r="40" spans="16:24">
      <c r="P40" s="27"/>
      <c r="Q40" s="102" t="s">
        <v>603</v>
      </c>
      <c r="R40" s="63">
        <v>16.62971175166297</v>
      </c>
      <c r="S40" s="27"/>
      <c r="T40" s="27"/>
      <c r="U40" s="27"/>
      <c r="V40" s="27"/>
      <c r="W40" s="27"/>
      <c r="X40" s="27"/>
    </row>
    <row r="41" spans="16:24">
      <c r="P41" s="27"/>
      <c r="Q41" s="102" t="s">
        <v>617</v>
      </c>
      <c r="R41" s="63">
        <v>29.210526315789476</v>
      </c>
      <c r="S41" s="27"/>
      <c r="T41" s="27"/>
      <c r="U41" s="27"/>
      <c r="V41" s="27"/>
      <c r="W41" s="27"/>
      <c r="X41" s="27"/>
    </row>
    <row r="42" spans="16:24">
      <c r="P42" s="27"/>
      <c r="Q42" s="102" t="s">
        <v>624</v>
      </c>
      <c r="R42" s="63">
        <v>36.95652173913043</v>
      </c>
      <c r="S42" s="27"/>
      <c r="T42" s="27"/>
      <c r="U42" s="27"/>
      <c r="V42" s="27"/>
      <c r="W42" s="27"/>
      <c r="X42" s="27"/>
    </row>
    <row r="43" spans="16:24">
      <c r="P43" s="27"/>
      <c r="Q43" s="102" t="s">
        <v>629</v>
      </c>
      <c r="R43" s="63">
        <v>18.699186991869919</v>
      </c>
      <c r="S43" s="27"/>
      <c r="T43" s="27"/>
      <c r="U43" s="27"/>
      <c r="V43" s="27"/>
      <c r="W43" s="27"/>
      <c r="X43" s="27"/>
    </row>
    <row r="44" spans="16:24">
      <c r="P44" s="27"/>
      <c r="Q44" s="102" t="s">
        <v>631</v>
      </c>
      <c r="R44" s="63">
        <v>13.846153846153847</v>
      </c>
      <c r="S44" s="27"/>
      <c r="T44" s="27"/>
      <c r="U44" s="27"/>
      <c r="V44" s="27"/>
      <c r="W44" s="27"/>
      <c r="X44" s="27"/>
    </row>
    <row r="45" spans="16:24">
      <c r="P45" s="27"/>
      <c r="Q45" s="102" t="s">
        <v>639</v>
      </c>
      <c r="R45" s="63">
        <v>-9.7345132743362832</v>
      </c>
      <c r="S45" s="27"/>
      <c r="T45" s="27"/>
      <c r="U45" s="27"/>
      <c r="V45" s="27"/>
      <c r="W45" s="27"/>
      <c r="X45" s="27"/>
    </row>
    <row r="46" spans="16:24">
      <c r="P46" s="27"/>
      <c r="Q46" s="102" t="s">
        <v>658</v>
      </c>
      <c r="R46" s="63">
        <v>-13.71308016877637</v>
      </c>
      <c r="S46" s="27"/>
      <c r="T46" s="27"/>
      <c r="U46" s="27"/>
      <c r="V46" s="27"/>
      <c r="W46" s="27"/>
      <c r="X46" s="27"/>
    </row>
    <row r="47" spans="16:24">
      <c r="P47" s="27"/>
      <c r="Q47" s="102" t="s">
        <v>667</v>
      </c>
      <c r="R47" s="63">
        <v>-19.753086419753085</v>
      </c>
      <c r="S47" s="27"/>
      <c r="T47" s="27"/>
      <c r="U47" s="27"/>
      <c r="V47" s="27"/>
      <c r="W47" s="27"/>
      <c r="X47" s="27"/>
    </row>
    <row r="48" spans="16:24">
      <c r="P48" s="27"/>
      <c r="Q48" s="102" t="s">
        <v>676</v>
      </c>
      <c r="R48" s="63">
        <v>25.231481481481481</v>
      </c>
      <c r="S48" s="27"/>
      <c r="T48" s="27"/>
      <c r="U48" s="27"/>
      <c r="V48" s="27"/>
      <c r="W48" s="27"/>
      <c r="X48" s="27"/>
    </row>
    <row r="49" spans="16:24">
      <c r="P49" s="27"/>
      <c r="Q49" s="102" t="s">
        <v>685</v>
      </c>
      <c r="R49" s="63">
        <f t="shared" ref="R49:R60" si="0">((S6-R6)/R6)*100</f>
        <v>-26.109660574412537</v>
      </c>
      <c r="S49" s="27"/>
      <c r="T49" s="27"/>
      <c r="U49" s="27"/>
      <c r="V49" s="27"/>
      <c r="W49" s="27"/>
      <c r="X49" s="27"/>
    </row>
    <row r="50" spans="16:24">
      <c r="P50" s="27"/>
      <c r="Q50" s="102" t="s">
        <v>700</v>
      </c>
      <c r="R50" s="63">
        <f t="shared" si="0"/>
        <v>-23.644251626898047</v>
      </c>
      <c r="S50" s="27"/>
      <c r="T50" s="27"/>
      <c r="U50" s="27"/>
      <c r="V50" s="27"/>
      <c r="W50" s="27"/>
      <c r="X50" s="27"/>
    </row>
    <row r="51" spans="16:24">
      <c r="P51" s="27"/>
      <c r="Q51" s="102" t="s">
        <v>719</v>
      </c>
      <c r="R51" s="63">
        <f t="shared" si="0"/>
        <v>-6.6536203522504884</v>
      </c>
      <c r="S51" s="27"/>
      <c r="T51" s="27"/>
      <c r="U51" s="27"/>
      <c r="V51" s="27"/>
      <c r="W51" s="27"/>
      <c r="X51" s="27"/>
    </row>
    <row r="52" spans="16:24">
      <c r="P52" s="27"/>
      <c r="Q52" s="102" t="s">
        <v>728</v>
      </c>
      <c r="R52" s="63">
        <f t="shared" si="0"/>
        <v>-9.5785440613026829</v>
      </c>
      <c r="S52" s="27"/>
      <c r="T52" s="27"/>
      <c r="U52" s="27"/>
      <c r="V52" s="27"/>
      <c r="W52" s="27"/>
      <c r="X52" s="27"/>
    </row>
    <row r="53" spans="16:24">
      <c r="P53" s="27"/>
      <c r="Q53" s="102" t="s">
        <v>734</v>
      </c>
      <c r="R53" s="63">
        <f t="shared" si="0"/>
        <v>3.0800821355236137</v>
      </c>
      <c r="S53" s="27"/>
      <c r="T53" s="27"/>
      <c r="U53" s="27"/>
      <c r="V53" s="27"/>
      <c r="W53" s="27"/>
      <c r="X53" s="27"/>
    </row>
    <row r="54" spans="16:24">
      <c r="P54" s="27"/>
      <c r="Q54" s="102" t="s">
        <v>737</v>
      </c>
      <c r="R54" s="63">
        <f t="shared" si="0"/>
        <v>-0.20533880903490762</v>
      </c>
      <c r="S54" s="27"/>
      <c r="T54" s="27"/>
      <c r="U54" s="27"/>
      <c r="V54" s="27"/>
      <c r="W54" s="27"/>
      <c r="X54" s="27"/>
    </row>
    <row r="55" spans="16:24">
      <c r="P55" s="27"/>
      <c r="Q55" s="102" t="s">
        <v>1015</v>
      </c>
      <c r="R55" s="63">
        <f t="shared" si="0"/>
        <v>-22.968197879858657</v>
      </c>
      <c r="S55" s="27"/>
      <c r="T55" s="27"/>
      <c r="U55" s="27"/>
      <c r="V55" s="27"/>
      <c r="W55" s="27"/>
      <c r="X55" s="27"/>
    </row>
    <row r="56" spans="16:24">
      <c r="P56" s="27"/>
      <c r="Q56" s="102" t="s">
        <v>1023</v>
      </c>
      <c r="R56" s="63">
        <f t="shared" si="0"/>
        <v>8.5635359116022105</v>
      </c>
      <c r="S56" s="27"/>
      <c r="T56" s="27"/>
      <c r="U56" s="27"/>
      <c r="V56" s="27"/>
      <c r="W56" s="27"/>
      <c r="X56" s="27"/>
    </row>
    <row r="57" spans="16:24">
      <c r="P57" s="27"/>
      <c r="Q57" s="102" t="s">
        <v>1039</v>
      </c>
      <c r="R57" s="63">
        <f t="shared" si="0"/>
        <v>37.017994858611821</v>
      </c>
      <c r="S57" s="27"/>
      <c r="T57" s="27"/>
      <c r="U57" s="27"/>
      <c r="V57" s="27"/>
      <c r="W57" s="27"/>
      <c r="X57" s="27"/>
    </row>
    <row r="58" spans="16:24">
      <c r="P58" s="27"/>
      <c r="Q58" s="102" t="s">
        <v>1049</v>
      </c>
      <c r="R58" s="63">
        <f t="shared" si="0"/>
        <v>26.923076923076923</v>
      </c>
      <c r="S58" s="27"/>
      <c r="T58" s="27"/>
      <c r="U58" s="27"/>
      <c r="V58" s="27"/>
      <c r="W58" s="27"/>
      <c r="X58" s="27"/>
    </row>
    <row r="59" spans="16:24">
      <c r="P59" s="27"/>
      <c r="Q59" s="102" t="s">
        <v>1061</v>
      </c>
      <c r="R59" s="63">
        <f t="shared" si="0"/>
        <v>49.865951742627345</v>
      </c>
      <c r="S59" s="27"/>
      <c r="T59" s="27"/>
      <c r="U59" s="27"/>
      <c r="V59" s="27"/>
      <c r="W59" s="27"/>
      <c r="X59" s="27"/>
    </row>
    <row r="60" spans="16:24">
      <c r="P60" s="27"/>
      <c r="Q60" s="102" t="s">
        <v>1077</v>
      </c>
      <c r="R60" s="63">
        <f t="shared" si="0"/>
        <v>14.942528735632186</v>
      </c>
      <c r="S60" s="27"/>
      <c r="T60" s="27"/>
      <c r="U60" s="27"/>
      <c r="V60" s="27"/>
      <c r="W60" s="27"/>
      <c r="X60" s="27"/>
    </row>
    <row r="61" spans="16:24">
      <c r="P61" s="27"/>
      <c r="Q61" s="102" t="s">
        <v>1105</v>
      </c>
      <c r="R61" s="63">
        <f>((V6-S6)/S6)*100</f>
        <v>-100</v>
      </c>
      <c r="S61" s="27"/>
      <c r="T61" s="27"/>
      <c r="U61" s="27"/>
      <c r="V61" s="27"/>
      <c r="W61" s="27"/>
      <c r="X61" s="27"/>
    </row>
    <row r="62" spans="16:24">
      <c r="P62" s="27"/>
      <c r="Q62" s="102" t="s">
        <v>1142</v>
      </c>
      <c r="R62" s="63">
        <f>((V7-S7)/S7)*100</f>
        <v>-100</v>
      </c>
      <c r="S62" s="27"/>
      <c r="T62" s="27"/>
      <c r="U62" s="27"/>
      <c r="V62" s="27"/>
      <c r="W62" s="27"/>
      <c r="X62" s="27"/>
    </row>
    <row r="63" spans="16:24">
      <c r="P63" s="27"/>
      <c r="Q63" s="102" t="s">
        <v>1176</v>
      </c>
      <c r="R63" s="63">
        <f>((V8-S8)/S8)*100</f>
        <v>-100</v>
      </c>
      <c r="S63" s="27"/>
      <c r="T63" s="27"/>
      <c r="U63" s="27"/>
      <c r="V63" s="27"/>
      <c r="W63" s="27"/>
      <c r="X63" s="27"/>
    </row>
    <row r="64" spans="16:24">
      <c r="P64" s="27"/>
      <c r="Q64" s="102" t="s">
        <v>1202</v>
      </c>
      <c r="R64" s="63">
        <f>((T9-S9)/S9)*100</f>
        <v>7.6271186440677967</v>
      </c>
      <c r="S64" s="27"/>
      <c r="T64" s="27"/>
      <c r="U64" s="27"/>
      <c r="V64" s="27"/>
      <c r="W64" s="27"/>
      <c r="X64" s="27"/>
    </row>
    <row r="65" spans="1:24">
      <c r="P65" s="27"/>
      <c r="Q65" s="102" t="s">
        <v>1246</v>
      </c>
      <c r="R65" s="63">
        <f>((T10-S10)/S10)*100</f>
        <v>25.298804780876495</v>
      </c>
      <c r="S65" s="27"/>
      <c r="T65" s="27"/>
      <c r="U65" s="27"/>
      <c r="V65" s="27"/>
      <c r="W65" s="27"/>
      <c r="X65" s="27"/>
    </row>
    <row r="66" spans="1:24">
      <c r="A66" s="27" t="s">
        <v>705</v>
      </c>
      <c r="P66" s="27"/>
      <c r="Q66" s="102"/>
      <c r="R66" s="63"/>
      <c r="S66" s="27"/>
      <c r="T66" s="27"/>
      <c r="U66" s="27"/>
      <c r="V66" s="27"/>
      <c r="W66" s="27"/>
      <c r="X66" s="27"/>
    </row>
    <row r="67" spans="1:24">
      <c r="P67" s="27"/>
      <c r="Q67" s="102"/>
      <c r="R67" s="63"/>
      <c r="S67" s="27"/>
      <c r="T67" s="27"/>
      <c r="U67" s="27"/>
      <c r="V67" s="27"/>
      <c r="W67" s="27"/>
      <c r="X67" s="27"/>
    </row>
    <row r="68" spans="1:24">
      <c r="P68" s="27"/>
      <c r="Q68" s="102"/>
      <c r="R68" s="63"/>
      <c r="S68" s="27"/>
      <c r="T68" s="27"/>
      <c r="U68" s="27"/>
      <c r="V68" s="27"/>
      <c r="W68" s="27"/>
      <c r="X68" s="27"/>
    </row>
    <row r="69" spans="1:24">
      <c r="P69" s="27"/>
      <c r="Q69" s="102"/>
      <c r="R69" s="63"/>
      <c r="S69" s="27"/>
      <c r="T69" s="27"/>
      <c r="U69" s="27"/>
      <c r="V69" s="27"/>
      <c r="W69" s="27"/>
      <c r="X69" s="27"/>
    </row>
    <row r="70" spans="1:24">
      <c r="P70" s="27"/>
      <c r="R70" s="63"/>
      <c r="S70" s="27"/>
      <c r="T70" s="27"/>
      <c r="U70" s="27"/>
      <c r="V70" s="27"/>
      <c r="W70" s="27"/>
      <c r="X70" s="27"/>
    </row>
    <row r="71" spans="1:24">
      <c r="P71" s="27"/>
      <c r="R71" s="63"/>
      <c r="S71" s="27"/>
      <c r="T71" s="27"/>
      <c r="U71" s="27"/>
      <c r="V71" s="27"/>
      <c r="W71" s="27"/>
      <c r="X71" s="27"/>
    </row>
    <row r="72" spans="1:24">
      <c r="P72" s="27"/>
      <c r="R72" s="63"/>
      <c r="S72" s="27"/>
      <c r="T72" s="27"/>
      <c r="U72" s="27"/>
      <c r="V72" s="27"/>
      <c r="W72" s="27"/>
      <c r="X72" s="27"/>
    </row>
    <row r="73" spans="1:24">
      <c r="P73" s="27"/>
      <c r="Q73" s="27"/>
      <c r="R73" s="63"/>
      <c r="S73" s="27"/>
      <c r="T73" s="27"/>
      <c r="U73" s="27"/>
      <c r="V73" s="27"/>
      <c r="W73" s="27"/>
      <c r="X73" s="27"/>
    </row>
    <row r="74" spans="1:24">
      <c r="P74" s="102"/>
      <c r="Q74" s="27"/>
      <c r="R74" s="63"/>
      <c r="S74" s="27"/>
      <c r="T74" s="27"/>
      <c r="U74" s="27"/>
      <c r="V74" s="27"/>
      <c r="W74" s="27"/>
      <c r="X74" s="27"/>
    </row>
    <row r="75" spans="1:24">
      <c r="P75" s="102"/>
      <c r="Q75" s="27"/>
      <c r="R75" s="63"/>
      <c r="S75" s="27"/>
      <c r="T75" s="27"/>
      <c r="U75" s="27"/>
      <c r="V75" s="27"/>
      <c r="W75" s="27"/>
      <c r="X75" s="27"/>
    </row>
    <row r="76" spans="1:24">
      <c r="P76" s="102"/>
      <c r="Q76" s="27"/>
      <c r="R76" s="63"/>
      <c r="S76" s="27"/>
      <c r="T76" s="27"/>
      <c r="U76" s="27"/>
      <c r="V76" s="27"/>
      <c r="W76" s="27"/>
      <c r="X76" s="27"/>
    </row>
    <row r="77" spans="1:24">
      <c r="P77" s="102"/>
      <c r="Q77" s="27"/>
      <c r="R77" s="63"/>
      <c r="S77" s="27"/>
      <c r="T77" s="27"/>
      <c r="U77" s="27"/>
      <c r="V77" s="27"/>
      <c r="W77" s="27"/>
      <c r="X77" s="27"/>
    </row>
    <row r="78" spans="1:24">
      <c r="P78" s="102"/>
      <c r="Q78" s="27"/>
      <c r="R78" s="63"/>
      <c r="S78" s="27"/>
      <c r="T78" s="27"/>
      <c r="U78" s="27"/>
      <c r="V78" s="27"/>
      <c r="W78" s="27"/>
      <c r="X78" s="27"/>
    </row>
    <row r="79" spans="1:24">
      <c r="P79" s="102"/>
      <c r="Q79" s="27"/>
      <c r="R79" s="63"/>
      <c r="S79" s="27"/>
      <c r="T79" s="27"/>
      <c r="U79" s="27"/>
      <c r="V79" s="27"/>
      <c r="W79" s="27"/>
      <c r="X79" s="27"/>
    </row>
    <row r="80" spans="1:24">
      <c r="P80" s="102"/>
      <c r="Q80" s="27"/>
      <c r="R80" s="63"/>
      <c r="S80" s="27"/>
      <c r="T80" s="27"/>
      <c r="U80" s="27"/>
      <c r="V80" s="27"/>
      <c r="W80" s="27"/>
      <c r="X80" s="27"/>
    </row>
    <row r="81" spans="16:24">
      <c r="P81" s="102"/>
      <c r="Q81" s="27"/>
      <c r="R81" s="63"/>
      <c r="S81" s="27"/>
      <c r="T81" s="27"/>
      <c r="U81" s="27"/>
      <c r="V81" s="27"/>
      <c r="W81" s="27"/>
      <c r="X81" s="27"/>
    </row>
    <row r="82" spans="16:24">
      <c r="P82" s="16"/>
      <c r="R82" s="9"/>
    </row>
    <row r="83" spans="16:24">
      <c r="P83" s="16"/>
      <c r="R83" s="9"/>
    </row>
    <row r="84" spans="16:24">
      <c r="P84" s="16"/>
      <c r="R84" s="9"/>
    </row>
    <row r="85" spans="16:24">
      <c r="P85" s="16"/>
      <c r="Q85"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30"/>
  <sheetViews>
    <sheetView workbookViewId="0">
      <selection activeCell="I29" sqref="I29"/>
    </sheetView>
  </sheetViews>
  <sheetFormatPr baseColWidth="10" defaultColWidth="8.83203125" defaultRowHeight="15"/>
  <cols>
    <col min="1" max="1" width="21.33203125" customWidth="1"/>
    <col min="2" max="9" width="10.33203125" customWidth="1"/>
  </cols>
  <sheetData>
    <row r="2" spans="1:10" ht="19.25" customHeight="1" thickBot="1">
      <c r="B2" s="60" t="s">
        <v>490</v>
      </c>
      <c r="C2" s="60"/>
      <c r="D2" s="60"/>
      <c r="E2" s="60"/>
      <c r="F2" s="60"/>
      <c r="G2" s="60"/>
    </row>
    <row r="4" spans="1:10">
      <c r="A4" s="8" t="s">
        <v>588</v>
      </c>
      <c r="B4" s="27"/>
      <c r="C4" s="27"/>
      <c r="D4" s="27"/>
      <c r="E4" s="275" t="s">
        <v>473</v>
      </c>
      <c r="F4" s="275"/>
      <c r="G4" s="275"/>
      <c r="H4" s="275"/>
      <c r="I4" s="275"/>
      <c r="J4" s="27"/>
    </row>
    <row r="5" spans="1:10">
      <c r="A5" s="117"/>
      <c r="B5" s="117" t="s">
        <v>560</v>
      </c>
      <c r="C5" s="117"/>
      <c r="D5" s="117" t="s">
        <v>560</v>
      </c>
      <c r="E5" s="117"/>
      <c r="F5" s="117" t="s">
        <v>561</v>
      </c>
      <c r="G5" s="117"/>
      <c r="H5" s="117" t="s">
        <v>562</v>
      </c>
      <c r="I5" s="117"/>
      <c r="J5" s="27"/>
    </row>
    <row r="6" spans="1:10">
      <c r="A6" s="117" t="s">
        <v>484</v>
      </c>
      <c r="B6" s="117" t="str">
        <f>Innehåll!D79</f>
        <v xml:space="preserve"> 2023-05</v>
      </c>
      <c r="C6" s="117" t="str">
        <f>Innehåll!D80</f>
        <v xml:space="preserve"> 2022-05</v>
      </c>
      <c r="D6" s="117" t="str">
        <f>Innehåll!D81</f>
        <v>YTD  2023</v>
      </c>
      <c r="E6" s="117" t="str">
        <f>Innehåll!D82</f>
        <v>YTD  2022</v>
      </c>
      <c r="F6" s="117" t="str">
        <f>B6</f>
        <v xml:space="preserve"> 2023-05</v>
      </c>
      <c r="G6" s="117" t="str">
        <f>D6</f>
        <v>YTD  2023</v>
      </c>
      <c r="H6" s="117" t="str">
        <f>D6</f>
        <v>YTD  2023</v>
      </c>
      <c r="I6" s="117" t="str">
        <f>E6</f>
        <v>YTD  2022</v>
      </c>
      <c r="J6" s="27"/>
    </row>
    <row r="7" spans="1:10" ht="15" hidden="1" customHeight="1">
      <c r="A7" s="27" t="s">
        <v>250</v>
      </c>
      <c r="B7" s="27" t="s">
        <v>35</v>
      </c>
      <c r="C7" s="27" t="s">
        <v>308</v>
      </c>
      <c r="D7" s="27" t="s">
        <v>309</v>
      </c>
      <c r="E7" s="27" t="s">
        <v>310</v>
      </c>
      <c r="F7" s="27" t="s">
        <v>311</v>
      </c>
      <c r="G7" s="27" t="s">
        <v>40</v>
      </c>
      <c r="H7" s="27" t="s">
        <v>312</v>
      </c>
      <c r="I7" s="27" t="s">
        <v>313</v>
      </c>
      <c r="J7" s="27"/>
    </row>
    <row r="8" spans="1:10">
      <c r="A8" s="27" t="s">
        <v>314</v>
      </c>
      <c r="B8" s="66">
        <v>8</v>
      </c>
      <c r="C8" s="66">
        <v>2</v>
      </c>
      <c r="D8" s="66">
        <v>41</v>
      </c>
      <c r="E8" s="66">
        <v>23</v>
      </c>
      <c r="F8" s="27">
        <v>300</v>
      </c>
      <c r="G8" s="27">
        <v>78.3</v>
      </c>
      <c r="H8" s="27">
        <v>1.5</v>
      </c>
      <c r="I8" s="27">
        <v>1.1000000000000001</v>
      </c>
      <c r="J8" s="27"/>
    </row>
    <row r="9" spans="1:10">
      <c r="A9" s="27" t="s">
        <v>278</v>
      </c>
      <c r="B9" s="66">
        <v>1</v>
      </c>
      <c r="C9" s="66">
        <v>0</v>
      </c>
      <c r="D9" s="66">
        <v>2</v>
      </c>
      <c r="E9" s="66">
        <v>0</v>
      </c>
      <c r="F9" s="27">
        <v>0</v>
      </c>
      <c r="G9" s="27">
        <v>0</v>
      </c>
      <c r="H9" s="27">
        <v>0.1</v>
      </c>
      <c r="I9" s="27">
        <v>0</v>
      </c>
      <c r="J9" s="27"/>
    </row>
    <row r="10" spans="1:10">
      <c r="A10" s="27" t="s">
        <v>285</v>
      </c>
      <c r="B10" s="66">
        <v>17</v>
      </c>
      <c r="C10" s="66">
        <v>11</v>
      </c>
      <c r="D10" s="66">
        <v>65</v>
      </c>
      <c r="E10" s="66">
        <v>60</v>
      </c>
      <c r="F10" s="27">
        <v>54.5</v>
      </c>
      <c r="G10" s="27">
        <v>8.3000000000000007</v>
      </c>
      <c r="H10" s="27">
        <v>2.4</v>
      </c>
      <c r="I10" s="27">
        <v>2.9</v>
      </c>
      <c r="J10" s="27"/>
    </row>
    <row r="11" spans="1:10">
      <c r="A11" s="27" t="s">
        <v>491</v>
      </c>
      <c r="B11" s="66">
        <v>48</v>
      </c>
      <c r="C11" s="66">
        <v>49</v>
      </c>
      <c r="D11" s="66">
        <v>198</v>
      </c>
      <c r="E11" s="66">
        <v>138</v>
      </c>
      <c r="F11" s="27">
        <v>-2</v>
      </c>
      <c r="G11" s="27">
        <v>43.5</v>
      </c>
      <c r="H11" s="27">
        <v>7.3</v>
      </c>
      <c r="I11" s="27">
        <v>6.6</v>
      </c>
      <c r="J11" s="27"/>
    </row>
    <row r="12" spans="1:10">
      <c r="A12" s="27" t="s">
        <v>295</v>
      </c>
      <c r="B12" s="66">
        <v>0</v>
      </c>
      <c r="C12" s="66">
        <v>0</v>
      </c>
      <c r="D12" s="66">
        <v>0</v>
      </c>
      <c r="E12" s="66">
        <v>1</v>
      </c>
      <c r="F12" s="27">
        <v>0</v>
      </c>
      <c r="G12" s="27">
        <v>-100</v>
      </c>
      <c r="H12" s="27">
        <v>0</v>
      </c>
      <c r="I12" s="27">
        <v>0</v>
      </c>
      <c r="J12" s="27"/>
    </row>
    <row r="13" spans="1:10">
      <c r="A13" s="27" t="s">
        <v>492</v>
      </c>
      <c r="B13" s="66">
        <v>285</v>
      </c>
      <c r="C13" s="66">
        <v>183</v>
      </c>
      <c r="D13" s="66">
        <v>1193</v>
      </c>
      <c r="E13" s="66">
        <v>863</v>
      </c>
      <c r="F13" s="27">
        <v>55.7</v>
      </c>
      <c r="G13" s="27">
        <v>38.200000000000003</v>
      </c>
      <c r="H13" s="27">
        <v>44.2</v>
      </c>
      <c r="I13" s="27">
        <v>41.4</v>
      </c>
      <c r="J13" s="27"/>
    </row>
    <row r="14" spans="1:10">
      <c r="A14" s="162" t="s">
        <v>303</v>
      </c>
      <c r="B14" s="163">
        <v>267</v>
      </c>
      <c r="C14" s="163">
        <v>254</v>
      </c>
      <c r="D14" s="163">
        <v>1192</v>
      </c>
      <c r="E14" s="163">
        <v>984</v>
      </c>
      <c r="F14" s="164">
        <v>5.0999999999999996</v>
      </c>
      <c r="G14" s="164">
        <v>21.1</v>
      </c>
      <c r="H14" s="162">
        <v>44.1</v>
      </c>
      <c r="I14" s="162">
        <v>47.2</v>
      </c>
      <c r="J14" s="27"/>
    </row>
    <row r="15" spans="1:10" s="6" customFormat="1">
      <c r="A15" s="162" t="s">
        <v>304</v>
      </c>
      <c r="B15" s="163">
        <v>3</v>
      </c>
      <c r="C15" s="163">
        <v>3</v>
      </c>
      <c r="D15" s="163">
        <v>11</v>
      </c>
      <c r="E15" s="163">
        <v>17</v>
      </c>
      <c r="F15" s="164">
        <v>0</v>
      </c>
      <c r="G15" s="164">
        <v>-35.299999999999997</v>
      </c>
      <c r="H15" s="162">
        <v>0.4</v>
      </c>
      <c r="I15" s="162">
        <v>0.8</v>
      </c>
      <c r="J15" s="42"/>
    </row>
    <row r="16" spans="1:10">
      <c r="A16" s="162" t="s">
        <v>475</v>
      </c>
      <c r="B16" s="163">
        <f>SUBTOTAL(109,Table_ExternalData_1[antalPerioden])</f>
        <v>629</v>
      </c>
      <c r="C16" s="163">
        <f>SUBTOTAL(109,Table_ExternalData_1[antalPeriodenFG])</f>
        <v>502</v>
      </c>
      <c r="D16" s="163">
        <f>SUBTOTAL(109,Table_ExternalData_1[antalAret])</f>
        <v>2702</v>
      </c>
      <c r="E16" s="163">
        <f>SUBTOTAL(109,Table_ExternalData_1[antalAretFG])</f>
        <v>2086</v>
      </c>
      <c r="F16" s="164">
        <f>IF(Table_ExternalData_1[[#Totals],[antalPeriodenFG]] &gt; 0,( Table_ExternalData_1[[#Totals],[antalPerioden]] - Table_ExternalData_1[[#Totals],[antalPeriodenFG]] ) / Table_ExternalData_1[[#Totals],[antalPeriodenFG]] * 100,0)</f>
        <v>25.298804780876495</v>
      </c>
      <c r="G16" s="164">
        <f>IF(Table_ExternalData_1[[#Totals],[antalAretFG]] &gt; 0,( Table_ExternalData_1[[#Totals],[antalAret]] - Table_ExternalData_1[[#Totals],[antalAretFG]] ) / Table_ExternalData_1[[#Totals],[antalAretFG]] * 100,0)</f>
        <v>29.530201342281881</v>
      </c>
      <c r="H16" s="166" t="str">
        <f>TEXT(100,"0,0")</f>
        <v>100,0</v>
      </c>
      <c r="I16" s="166" t="str">
        <f>TEXT(100,"0,0")</f>
        <v>100,0</v>
      </c>
      <c r="J16" s="27"/>
    </row>
    <row r="17" spans="1:10">
      <c r="A17" s="27"/>
      <c r="B17" s="27"/>
      <c r="C17" s="27"/>
      <c r="D17" s="27"/>
      <c r="E17" s="27"/>
      <c r="F17" s="27"/>
      <c r="G17" s="27"/>
      <c r="H17" s="27"/>
      <c r="I17" s="27"/>
      <c r="J17" s="27"/>
    </row>
    <row r="18" spans="1:10">
      <c r="A18" s="291" t="s">
        <v>1302</v>
      </c>
      <c r="B18" s="27"/>
      <c r="C18" s="27"/>
      <c r="D18" s="27"/>
      <c r="E18" s="27"/>
      <c r="F18" s="27"/>
      <c r="H18" s="27"/>
      <c r="I18" s="27"/>
      <c r="J18" s="27"/>
    </row>
    <row r="19" spans="1:10">
      <c r="A19" s="291" t="s">
        <v>1303</v>
      </c>
      <c r="B19" s="27"/>
      <c r="C19" s="27"/>
      <c r="D19" s="27"/>
      <c r="E19" s="27"/>
      <c r="F19" s="27"/>
    </row>
    <row r="20" spans="1:10">
      <c r="A20" s="291" t="s">
        <v>1306</v>
      </c>
      <c r="B20" s="27"/>
      <c r="C20" s="27"/>
      <c r="D20" s="27"/>
      <c r="E20" s="27"/>
      <c r="F20" s="27"/>
    </row>
    <row r="21" spans="1:10">
      <c r="D21" s="27"/>
    </row>
    <row r="22" spans="1:10" ht="16">
      <c r="A22" s="292"/>
      <c r="B22" s="292">
        <v>2023</v>
      </c>
      <c r="C22" s="292">
        <v>2022</v>
      </c>
    </row>
    <row r="23" spans="1:10" ht="16">
      <c r="A23" s="292"/>
      <c r="B23" s="292" t="s">
        <v>1305</v>
      </c>
      <c r="C23" s="292" t="s">
        <v>1305</v>
      </c>
    </row>
    <row r="24" spans="1:10">
      <c r="A24" s="293" t="s">
        <v>314</v>
      </c>
      <c r="B24" s="294">
        <v>-4</v>
      </c>
      <c r="C24" s="294">
        <v>-3</v>
      </c>
    </row>
    <row r="25" spans="1:10">
      <c r="A25" s="295" t="s">
        <v>491</v>
      </c>
      <c r="B25" s="294">
        <v>-7</v>
      </c>
      <c r="C25" s="294">
        <v>0</v>
      </c>
    </row>
    <row r="26" spans="1:10">
      <c r="A26" s="293" t="s">
        <v>303</v>
      </c>
      <c r="B26" s="294">
        <v>-32</v>
      </c>
      <c r="C26" s="294">
        <v>-27</v>
      </c>
    </row>
    <row r="30" spans="1:10">
      <c r="A30" s="27" t="s">
        <v>705</v>
      </c>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60" t="s">
        <v>589</v>
      </c>
      <c r="D2" s="60"/>
      <c r="E2" s="60"/>
      <c r="F2" s="60"/>
    </row>
    <row r="4" spans="1:9">
      <c r="A4" s="8" t="s">
        <v>472</v>
      </c>
      <c r="B4" s="27"/>
      <c r="C4" s="27"/>
      <c r="D4" s="27"/>
      <c r="E4" s="275" t="s">
        <v>473</v>
      </c>
      <c r="F4" s="275"/>
      <c r="G4" s="275"/>
      <c r="H4" s="275"/>
      <c r="I4" s="275"/>
    </row>
    <row r="5" spans="1:9">
      <c r="A5" s="117"/>
      <c r="B5" s="278" t="s">
        <v>560</v>
      </c>
      <c r="C5" s="279"/>
      <c r="D5" s="278" t="s">
        <v>560</v>
      </c>
      <c r="E5" s="279"/>
      <c r="F5" s="289" t="s">
        <v>561</v>
      </c>
      <c r="G5" s="290"/>
      <c r="H5" s="276" t="s">
        <v>562</v>
      </c>
      <c r="I5" s="277"/>
    </row>
    <row r="6" spans="1:9">
      <c r="A6" s="117" t="s">
        <v>484</v>
      </c>
      <c r="B6" s="131" t="str">
        <f>Innehåll!D79</f>
        <v xml:space="preserve"> 2023-05</v>
      </c>
      <c r="C6" s="131" t="str">
        <f>Innehåll!D80</f>
        <v xml:space="preserve"> 2022-05</v>
      </c>
      <c r="D6" s="131" t="str">
        <f>Innehåll!D81</f>
        <v>YTD  2023</v>
      </c>
      <c r="E6" s="131" t="str">
        <f>Innehåll!D82</f>
        <v>YTD  2022</v>
      </c>
      <c r="F6" s="146" t="str">
        <f>B6</f>
        <v xml:space="preserve"> 2023-05</v>
      </c>
      <c r="G6" s="132" t="str">
        <f>D6</f>
        <v>YTD  2023</v>
      </c>
      <c r="H6" s="131" t="str">
        <f>D6</f>
        <v>YTD  2023</v>
      </c>
      <c r="I6" s="147" t="str">
        <f>E6</f>
        <v>YTD  2022</v>
      </c>
    </row>
    <row r="7" spans="1:9" ht="15" hidden="1" customHeight="1">
      <c r="A7" s="27"/>
      <c r="B7" s="27"/>
      <c r="C7" s="27"/>
      <c r="D7" s="27"/>
      <c r="E7" s="27"/>
      <c r="F7" s="27"/>
      <c r="G7" s="27"/>
      <c r="H7" s="27"/>
      <c r="I7" s="27"/>
    </row>
    <row r="8" spans="1:9" ht="15" hidden="1" customHeight="1">
      <c r="A8" s="27" t="s">
        <v>250</v>
      </c>
      <c r="B8" s="27" t="s">
        <v>35</v>
      </c>
      <c r="C8" s="27" t="s">
        <v>308</v>
      </c>
      <c r="D8" s="27" t="s">
        <v>309</v>
      </c>
      <c r="E8" s="27" t="s">
        <v>310</v>
      </c>
      <c r="F8" s="27" t="s">
        <v>311</v>
      </c>
      <c r="G8" s="27" t="s">
        <v>40</v>
      </c>
      <c r="H8" s="27" t="s">
        <v>312</v>
      </c>
      <c r="I8" s="27" t="s">
        <v>313</v>
      </c>
    </row>
    <row r="9" spans="1:9">
      <c r="A9" s="27" t="s">
        <v>491</v>
      </c>
      <c r="B9" s="66">
        <v>22</v>
      </c>
      <c r="C9" s="66">
        <v>7</v>
      </c>
      <c r="D9" s="66">
        <v>80</v>
      </c>
      <c r="E9" s="66">
        <v>30</v>
      </c>
      <c r="F9" s="63">
        <v>214.3</v>
      </c>
      <c r="G9" s="63">
        <v>166.7</v>
      </c>
      <c r="H9" s="63">
        <v>27.5</v>
      </c>
      <c r="I9" s="63">
        <v>6.8</v>
      </c>
    </row>
    <row r="10" spans="1:9">
      <c r="A10" s="27" t="s">
        <v>303</v>
      </c>
      <c r="B10" s="66">
        <v>4</v>
      </c>
      <c r="C10" s="66">
        <v>63</v>
      </c>
      <c r="D10" s="66">
        <v>68</v>
      </c>
      <c r="E10" s="66">
        <v>124</v>
      </c>
      <c r="F10" s="63">
        <v>-93.7</v>
      </c>
      <c r="G10" s="63">
        <v>-45.2</v>
      </c>
      <c r="H10" s="63">
        <v>23.4</v>
      </c>
      <c r="I10" s="63">
        <v>28.1</v>
      </c>
    </row>
    <row r="11" spans="1:9">
      <c r="A11" s="27" t="s">
        <v>285</v>
      </c>
      <c r="B11" s="66">
        <v>34</v>
      </c>
      <c r="C11" s="66">
        <v>40</v>
      </c>
      <c r="D11" s="66">
        <v>45</v>
      </c>
      <c r="E11" s="66">
        <v>61</v>
      </c>
      <c r="F11" s="63">
        <v>-15</v>
      </c>
      <c r="G11" s="63">
        <v>-26.2</v>
      </c>
      <c r="H11" s="63">
        <v>15.5</v>
      </c>
      <c r="I11" s="63">
        <v>13.8</v>
      </c>
    </row>
    <row r="12" spans="1:9">
      <c r="A12" s="27" t="s">
        <v>1141</v>
      </c>
      <c r="B12" s="66">
        <v>12</v>
      </c>
      <c r="C12" s="66">
        <v>0</v>
      </c>
      <c r="D12" s="66">
        <v>38</v>
      </c>
      <c r="E12" s="66">
        <v>0</v>
      </c>
      <c r="F12" s="63">
        <v>0</v>
      </c>
      <c r="G12" s="63">
        <v>0</v>
      </c>
      <c r="H12" s="63">
        <v>13.1</v>
      </c>
      <c r="I12" s="63">
        <v>0</v>
      </c>
    </row>
    <row r="13" spans="1:9">
      <c r="A13" s="27" t="s">
        <v>496</v>
      </c>
      <c r="B13" s="66">
        <v>2</v>
      </c>
      <c r="C13" s="66">
        <v>0</v>
      </c>
      <c r="D13" s="66">
        <v>22</v>
      </c>
      <c r="E13" s="66">
        <v>0</v>
      </c>
      <c r="F13" s="63">
        <v>0</v>
      </c>
      <c r="G13" s="63">
        <v>0</v>
      </c>
      <c r="H13" s="63">
        <v>7.6</v>
      </c>
      <c r="I13" s="63">
        <v>0</v>
      </c>
    </row>
    <row r="14" spans="1:9">
      <c r="A14" s="27" t="s">
        <v>275</v>
      </c>
      <c r="B14" s="66">
        <v>0</v>
      </c>
      <c r="C14" s="66">
        <v>0</v>
      </c>
      <c r="D14" s="66">
        <v>14</v>
      </c>
      <c r="E14" s="66">
        <v>0</v>
      </c>
      <c r="F14" s="63">
        <v>0</v>
      </c>
      <c r="G14" s="63">
        <v>0</v>
      </c>
      <c r="H14" s="63">
        <v>4.8</v>
      </c>
      <c r="I14" s="63">
        <v>0</v>
      </c>
    </row>
    <row r="15" spans="1:9">
      <c r="A15" s="27" t="s">
        <v>278</v>
      </c>
      <c r="B15" s="66">
        <v>2</v>
      </c>
      <c r="C15" s="66">
        <v>1</v>
      </c>
      <c r="D15" s="66">
        <v>8</v>
      </c>
      <c r="E15" s="66">
        <v>7</v>
      </c>
      <c r="F15" s="63">
        <v>100</v>
      </c>
      <c r="G15" s="63">
        <v>14.3</v>
      </c>
      <c r="H15" s="63">
        <v>2.7</v>
      </c>
      <c r="I15" s="63">
        <v>1.6</v>
      </c>
    </row>
    <row r="16" spans="1:9">
      <c r="A16" s="27" t="s">
        <v>492</v>
      </c>
      <c r="B16" s="66">
        <v>2</v>
      </c>
      <c r="C16" s="66">
        <v>148</v>
      </c>
      <c r="D16" s="66">
        <v>6</v>
      </c>
      <c r="E16" s="66">
        <v>189</v>
      </c>
      <c r="F16" s="63">
        <v>-98.6</v>
      </c>
      <c r="G16" s="63">
        <v>-96.8</v>
      </c>
      <c r="H16" s="63">
        <v>2.1</v>
      </c>
      <c r="I16" s="63">
        <v>42.9</v>
      </c>
    </row>
    <row r="17" spans="1:9">
      <c r="A17" s="27" t="s">
        <v>736</v>
      </c>
      <c r="B17" s="66">
        <v>4</v>
      </c>
      <c r="C17" s="66">
        <v>0</v>
      </c>
      <c r="D17" s="66">
        <v>5</v>
      </c>
      <c r="E17" s="66">
        <v>0</v>
      </c>
      <c r="F17" s="63">
        <v>0</v>
      </c>
      <c r="G17" s="63">
        <v>0</v>
      </c>
      <c r="H17" s="63">
        <v>1.7</v>
      </c>
      <c r="I17" s="63">
        <v>0</v>
      </c>
    </row>
    <row r="18" spans="1:9">
      <c r="A18" s="162" t="s">
        <v>701</v>
      </c>
      <c r="B18" s="163">
        <v>0</v>
      </c>
      <c r="C18" s="163">
        <v>0</v>
      </c>
      <c r="D18" s="163">
        <v>0</v>
      </c>
      <c r="E18" s="163">
        <v>18</v>
      </c>
      <c r="F18" s="164">
        <v>0</v>
      </c>
      <c r="G18" s="164">
        <v>-100</v>
      </c>
      <c r="H18" s="164">
        <v>0</v>
      </c>
      <c r="I18" s="164">
        <v>4.0999999999999996</v>
      </c>
    </row>
    <row r="19" spans="1:9">
      <c r="A19" s="162" t="s">
        <v>379</v>
      </c>
      <c r="B19" s="163">
        <v>0</v>
      </c>
      <c r="C19" s="163">
        <v>0</v>
      </c>
      <c r="D19" s="163">
        <v>0</v>
      </c>
      <c r="E19" s="163">
        <v>1</v>
      </c>
      <c r="F19" s="164">
        <v>0</v>
      </c>
      <c r="G19" s="164">
        <v>-100</v>
      </c>
      <c r="H19" s="164">
        <v>0</v>
      </c>
      <c r="I19" s="164">
        <v>0.2</v>
      </c>
    </row>
    <row r="20" spans="1:9">
      <c r="A20" s="162" t="s">
        <v>304</v>
      </c>
      <c r="B20" s="163">
        <v>3</v>
      </c>
      <c r="C20" s="163">
        <v>1</v>
      </c>
      <c r="D20" s="163">
        <v>5</v>
      </c>
      <c r="E20" s="163">
        <v>11</v>
      </c>
      <c r="F20" s="164">
        <v>200</v>
      </c>
      <c r="G20" s="164">
        <v>-54.5</v>
      </c>
      <c r="H20" s="164">
        <v>1.7</v>
      </c>
      <c r="I20" s="164">
        <v>2.5</v>
      </c>
    </row>
    <row r="21" spans="1:9">
      <c r="A21" s="162" t="s">
        <v>373</v>
      </c>
      <c r="B21" s="163">
        <f>SUBTOTAL(109,getAggBussAll[antalPerioden])</f>
        <v>85</v>
      </c>
      <c r="C21" s="163">
        <f>SUBTOTAL(109,getAggBussAll[antalPeriodenFG])</f>
        <v>260</v>
      </c>
      <c r="D21" s="163">
        <f>SUBTOTAL(109,getAggBussAll[antalAret])</f>
        <v>291</v>
      </c>
      <c r="E21" s="163">
        <f>SUBTOTAL(109,getAggBussAll[antalAretFG])</f>
        <v>441</v>
      </c>
      <c r="F21" s="164">
        <f>IF(getAggBussAll[[#Totals],[antalPeriodenFG]] &gt; 0,( getAggBussAll[[#Totals],[antalPerioden]] - getAggBussAll[[#Totals],[antalPeriodenFG]] ) / getAggBussAll[[#Totals],[antalPeriodenFG]] * 100,0)</f>
        <v>-67.307692307692307</v>
      </c>
      <c r="G21" s="164">
        <f>IF(getAggBussAll[[#Totals],[antalAretFG]] &gt; 0,( getAggBussAll[[#Totals],[antalAret]] - getAggBussAll[[#Totals],[antalAretFG]] ) / getAggBussAll[[#Totals],[antalAretFG]] * 100,0)</f>
        <v>-34.013605442176868</v>
      </c>
      <c r="H21" s="168" t="str">
        <f>TEXT(100,"0,0")</f>
        <v>100,0</v>
      </c>
      <c r="I21" s="168" t="str">
        <f>TEXT(100,"0,0")</f>
        <v>100,0</v>
      </c>
    </row>
    <row r="22" spans="1:9">
      <c r="A22" s="162"/>
      <c r="B22" s="163"/>
      <c r="C22" s="163"/>
      <c r="D22" s="163"/>
      <c r="E22" s="163"/>
      <c r="F22" s="164"/>
      <c r="G22" s="164"/>
      <c r="H22" s="164"/>
      <c r="I22" s="164"/>
    </row>
    <row r="23" spans="1:9">
      <c r="A23" s="162"/>
      <c r="B23" s="163"/>
      <c r="C23" s="163"/>
      <c r="D23" s="163"/>
      <c r="E23" s="163"/>
      <c r="F23" s="164"/>
      <c r="G23" s="164"/>
      <c r="H23" s="164"/>
      <c r="I23" s="164"/>
    </row>
    <row r="24" spans="1:9">
      <c r="A24" s="27"/>
      <c r="B24" s="66"/>
      <c r="C24" s="66"/>
      <c r="D24" s="66"/>
      <c r="E24" s="66"/>
      <c r="F24" s="63"/>
      <c r="G24" s="63"/>
      <c r="H24" s="105"/>
      <c r="I24" s="105"/>
    </row>
    <row r="25" spans="1:9">
      <c r="A25" s="27"/>
      <c r="B25" s="66"/>
      <c r="C25" s="66"/>
      <c r="D25" s="66"/>
      <c r="E25" s="66"/>
      <c r="F25" s="63"/>
      <c r="G25" s="63"/>
      <c r="H25" s="105"/>
      <c r="I25" s="105"/>
    </row>
    <row r="26" spans="1:9" ht="19.25" customHeight="1" thickBot="1">
      <c r="A26" s="27"/>
      <c r="B26" s="27"/>
      <c r="C26" s="60" t="s">
        <v>590</v>
      </c>
      <c r="D26" s="60"/>
      <c r="E26" s="60"/>
      <c r="F26" s="60"/>
      <c r="G26" s="27"/>
      <c r="H26" s="27"/>
      <c r="I26" s="27"/>
    </row>
    <row r="27" spans="1:9">
      <c r="A27" s="27"/>
      <c r="B27" s="27"/>
      <c r="C27" s="27"/>
      <c r="D27" s="27"/>
      <c r="E27" s="27"/>
      <c r="F27" s="27"/>
      <c r="G27" s="27"/>
      <c r="H27" s="27"/>
      <c r="I27" s="27"/>
    </row>
    <row r="28" spans="1:9" s="6" customFormat="1">
      <c r="A28" s="8" t="s">
        <v>472</v>
      </c>
      <c r="B28" s="27"/>
      <c r="C28" s="27"/>
      <c r="D28" s="27"/>
      <c r="E28" s="275" t="s">
        <v>473</v>
      </c>
      <c r="F28" s="275"/>
      <c r="G28" s="275"/>
      <c r="H28" s="275"/>
      <c r="I28" s="275"/>
    </row>
    <row r="29" spans="1:9">
      <c r="A29" s="117"/>
      <c r="B29" s="117" t="s">
        <v>560</v>
      </c>
      <c r="C29" s="117"/>
      <c r="D29" s="117" t="s">
        <v>560</v>
      </c>
      <c r="E29" s="117"/>
      <c r="F29" s="117" t="s">
        <v>561</v>
      </c>
      <c r="G29" s="117"/>
      <c r="H29" s="117" t="s">
        <v>562</v>
      </c>
      <c r="I29" s="117"/>
    </row>
    <row r="30" spans="1:9">
      <c r="A30" s="117" t="s">
        <v>484</v>
      </c>
      <c r="B30" s="117" t="str">
        <f>Innehåll!D79</f>
        <v xml:space="preserve"> 2023-05</v>
      </c>
      <c r="C30" s="117" t="str">
        <f>Innehåll!D80</f>
        <v xml:space="preserve"> 2022-05</v>
      </c>
      <c r="D30" s="117" t="str">
        <f>Innehåll!D81</f>
        <v>YTD  2023</v>
      </c>
      <c r="E30" s="117" t="str">
        <f>Innehåll!D82</f>
        <v>YTD  2022</v>
      </c>
      <c r="F30" s="117" t="str">
        <f>B30</f>
        <v xml:space="preserve"> 2023-05</v>
      </c>
      <c r="G30" s="117" t="str">
        <f>D30</f>
        <v>YTD  2023</v>
      </c>
      <c r="H30" s="117" t="str">
        <f>D30</f>
        <v>YTD  2023</v>
      </c>
      <c r="I30" s="117" t="str">
        <f>E30</f>
        <v>YTD  2022</v>
      </c>
    </row>
    <row r="31" spans="1:9" ht="15" hidden="1" customHeight="1">
      <c r="A31" s="27" t="s">
        <v>250</v>
      </c>
      <c r="B31" s="27" t="s">
        <v>35</v>
      </c>
      <c r="C31" s="27" t="s">
        <v>308</v>
      </c>
      <c r="D31" s="27" t="s">
        <v>309</v>
      </c>
      <c r="E31" s="27" t="s">
        <v>310</v>
      </c>
      <c r="F31" s="27" t="s">
        <v>311</v>
      </c>
      <c r="G31" s="27" t="s">
        <v>40</v>
      </c>
      <c r="H31" s="27" t="s">
        <v>312</v>
      </c>
      <c r="I31" s="27" t="s">
        <v>313</v>
      </c>
    </row>
    <row r="32" spans="1:9">
      <c r="A32" s="27" t="s">
        <v>303</v>
      </c>
      <c r="B32" s="66">
        <v>4</v>
      </c>
      <c r="C32" s="66">
        <v>63</v>
      </c>
      <c r="D32" s="66">
        <v>68</v>
      </c>
      <c r="E32" s="66">
        <v>124</v>
      </c>
      <c r="F32" s="63">
        <v>-93.7</v>
      </c>
      <c r="G32" s="63">
        <v>-45.2</v>
      </c>
      <c r="H32" s="63">
        <v>36.799999999999997</v>
      </c>
      <c r="I32" s="63">
        <v>30.3</v>
      </c>
    </row>
    <row r="33" spans="1:9">
      <c r="A33" s="27" t="s">
        <v>285</v>
      </c>
      <c r="B33" s="66">
        <v>34</v>
      </c>
      <c r="C33" s="66">
        <v>39</v>
      </c>
      <c r="D33" s="66">
        <v>45</v>
      </c>
      <c r="E33" s="66">
        <v>57</v>
      </c>
      <c r="F33" s="63">
        <v>-12.8</v>
      </c>
      <c r="G33" s="63">
        <v>-21.1</v>
      </c>
      <c r="H33" s="63">
        <v>24.3</v>
      </c>
      <c r="I33" s="63">
        <v>13.9</v>
      </c>
    </row>
    <row r="34" spans="1:9">
      <c r="A34" s="27" t="s">
        <v>491</v>
      </c>
      <c r="B34" s="66">
        <v>7</v>
      </c>
      <c r="C34" s="66">
        <v>2</v>
      </c>
      <c r="D34" s="66">
        <v>33</v>
      </c>
      <c r="E34" s="66">
        <v>7</v>
      </c>
      <c r="F34" s="63">
        <v>250</v>
      </c>
      <c r="G34" s="63">
        <v>371.4</v>
      </c>
      <c r="H34" s="63">
        <v>17.8</v>
      </c>
      <c r="I34" s="63">
        <v>1.7</v>
      </c>
    </row>
    <row r="35" spans="1:9">
      <c r="A35" s="27" t="s">
        <v>496</v>
      </c>
      <c r="B35" s="66">
        <v>2</v>
      </c>
      <c r="C35" s="66">
        <v>0</v>
      </c>
      <c r="D35" s="66">
        <v>22</v>
      </c>
      <c r="E35" s="66">
        <v>0</v>
      </c>
      <c r="F35" s="63">
        <v>0</v>
      </c>
      <c r="G35" s="63">
        <v>0</v>
      </c>
      <c r="H35" s="63">
        <v>11.9</v>
      </c>
      <c r="I35" s="63">
        <v>0</v>
      </c>
    </row>
    <row r="36" spans="1:9" ht="15" customHeight="1">
      <c r="A36" s="27" t="s">
        <v>492</v>
      </c>
      <c r="B36" s="66">
        <v>2</v>
      </c>
      <c r="C36" s="66">
        <v>148</v>
      </c>
      <c r="D36" s="66">
        <v>6</v>
      </c>
      <c r="E36" s="66">
        <v>189</v>
      </c>
      <c r="F36" s="63">
        <v>-98.6</v>
      </c>
      <c r="G36" s="63">
        <v>-96.8</v>
      </c>
      <c r="H36" s="63">
        <v>3.2</v>
      </c>
      <c r="I36" s="63">
        <v>46.2</v>
      </c>
    </row>
    <row r="37" spans="1:9">
      <c r="A37" s="27" t="s">
        <v>736</v>
      </c>
      <c r="B37" s="66">
        <v>4</v>
      </c>
      <c r="C37" s="66">
        <v>0</v>
      </c>
      <c r="D37" s="66">
        <v>5</v>
      </c>
      <c r="E37" s="66">
        <v>0</v>
      </c>
      <c r="F37" s="63">
        <v>0</v>
      </c>
      <c r="G37" s="63">
        <v>0</v>
      </c>
      <c r="H37" s="63">
        <v>2.7</v>
      </c>
      <c r="I37" s="63">
        <v>0</v>
      </c>
    </row>
    <row r="38" spans="1:9">
      <c r="A38" s="27" t="s">
        <v>278</v>
      </c>
      <c r="B38" s="66">
        <v>0</v>
      </c>
      <c r="C38" s="66">
        <v>0</v>
      </c>
      <c r="D38" s="66">
        <v>1</v>
      </c>
      <c r="E38" s="66">
        <v>2</v>
      </c>
      <c r="F38" s="63">
        <v>0</v>
      </c>
      <c r="G38" s="63">
        <v>-50</v>
      </c>
      <c r="H38" s="63">
        <v>0.5</v>
      </c>
      <c r="I38" s="63">
        <v>0.5</v>
      </c>
    </row>
    <row r="39" spans="1:9">
      <c r="A39" s="162" t="s">
        <v>701</v>
      </c>
      <c r="B39" s="163">
        <v>0</v>
      </c>
      <c r="C39" s="163">
        <v>0</v>
      </c>
      <c r="D39" s="163">
        <v>0</v>
      </c>
      <c r="E39" s="163">
        <v>18</v>
      </c>
      <c r="F39" s="164">
        <v>0</v>
      </c>
      <c r="G39" s="164">
        <v>-100</v>
      </c>
      <c r="H39" s="164">
        <v>0</v>
      </c>
      <c r="I39" s="164">
        <v>4.4000000000000004</v>
      </c>
    </row>
    <row r="40" spans="1:9">
      <c r="A40" s="162" t="s">
        <v>379</v>
      </c>
      <c r="B40" s="163">
        <v>0</v>
      </c>
      <c r="C40" s="163">
        <v>0</v>
      </c>
      <c r="D40" s="163">
        <v>0</v>
      </c>
      <c r="E40" s="163">
        <v>1</v>
      </c>
      <c r="F40" s="164">
        <v>0</v>
      </c>
      <c r="G40" s="164">
        <v>-100</v>
      </c>
      <c r="H40" s="164">
        <v>0</v>
      </c>
      <c r="I40" s="164">
        <v>0.2</v>
      </c>
    </row>
    <row r="41" spans="1:9">
      <c r="A41" s="162" t="s">
        <v>304</v>
      </c>
      <c r="B41" s="163">
        <v>3</v>
      </c>
      <c r="C41" s="163">
        <v>1</v>
      </c>
      <c r="D41" s="163">
        <v>5</v>
      </c>
      <c r="E41" s="163">
        <v>11</v>
      </c>
      <c r="F41" s="164">
        <v>200</v>
      </c>
      <c r="G41" s="164">
        <v>-54.5</v>
      </c>
      <c r="H41" s="164">
        <v>2.7</v>
      </c>
      <c r="I41" s="164">
        <v>2.7</v>
      </c>
    </row>
    <row r="42" spans="1:9">
      <c r="A42" s="162" t="s">
        <v>373</v>
      </c>
      <c r="B42" s="163">
        <f>SUBTOTAL(109,getAggBuss[antalPerioden])</f>
        <v>56</v>
      </c>
      <c r="C42" s="163">
        <f>SUBTOTAL(109,getAggBuss[antalPeriodenFG])</f>
        <v>253</v>
      </c>
      <c r="D42" s="163">
        <f>SUBTOTAL(109,getAggBuss[antalAret])</f>
        <v>185</v>
      </c>
      <c r="E42" s="163">
        <f>SUBTOTAL(109,getAggBuss[antalAretFG])</f>
        <v>409</v>
      </c>
      <c r="F42" s="164">
        <f>IF(getAggBuss[[#Totals],[antalPeriodenFG]] &gt; 0,( getAggBuss[[#Totals],[antalPerioden]] - getAggBuss[[#Totals],[antalPeriodenFG]] ) / getAggBuss[[#Totals],[antalPeriodenFG]] * 100,0)</f>
        <v>-77.865612648221344</v>
      </c>
      <c r="G42" s="164">
        <f>IF(getAggBuss[[#Totals],[antalAretFG]] &gt; 0,( getAggBuss[[#Totals],[antalAret]] - getAggBuss[[#Totals],[antalAretFG]] ) / getAggBuss[[#Totals],[antalAretFG]] * 100,0)</f>
        <v>-54.76772616136919</v>
      </c>
      <c r="H42" s="168" t="str">
        <f>TEXT(100,"0,0")</f>
        <v>100,0</v>
      </c>
      <c r="I42" s="168" t="str">
        <f>TEXT(100,"0,0")</f>
        <v>100,0</v>
      </c>
    </row>
    <row r="43" spans="1:9">
      <c r="A43" s="27"/>
      <c r="B43" s="27"/>
      <c r="C43" s="27"/>
      <c r="D43" s="27"/>
      <c r="E43" s="27"/>
      <c r="F43" s="27"/>
      <c r="G43" s="27"/>
      <c r="H43" s="27"/>
      <c r="I43" s="27"/>
    </row>
    <row r="44" spans="1:9">
      <c r="A44" s="27" t="s">
        <v>705</v>
      </c>
      <c r="B44" s="27"/>
      <c r="C44" s="27"/>
      <c r="D44" s="27"/>
      <c r="E44" s="27"/>
      <c r="F44" s="27"/>
      <c r="G44" s="27"/>
      <c r="H44" s="27"/>
      <c r="I44" s="27"/>
    </row>
    <row r="45" spans="1:9">
      <c r="A45" s="27"/>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row r="56" spans="1:9">
      <c r="A56" s="27"/>
      <c r="B56" s="27"/>
      <c r="C56" s="27"/>
      <c r="D56" s="27"/>
      <c r="E56" s="27"/>
      <c r="F56" s="27"/>
      <c r="G56" s="27"/>
      <c r="H56" s="27"/>
      <c r="I56" s="27"/>
    </row>
    <row r="57" spans="1:9">
      <c r="A57" s="27"/>
      <c r="B57" s="27"/>
      <c r="C57" s="27"/>
      <c r="D57" s="27"/>
      <c r="E57" s="27"/>
      <c r="F57" s="27"/>
      <c r="G57" s="27"/>
      <c r="H57" s="27"/>
      <c r="I57" s="27"/>
    </row>
    <row r="58" spans="1:9">
      <c r="A58" s="27"/>
      <c r="B58" s="27"/>
      <c r="C58" s="27"/>
      <c r="D58" s="27"/>
      <c r="E58" s="27"/>
      <c r="F58" s="27"/>
      <c r="G58" s="27"/>
      <c r="H58" s="27"/>
      <c r="I58" s="27"/>
    </row>
    <row r="59" spans="1:9">
      <c r="A59" s="27"/>
      <c r="B59" s="27"/>
      <c r="C59" s="27"/>
      <c r="D59" s="27"/>
      <c r="E59" s="27"/>
      <c r="F59" s="27"/>
      <c r="G59" s="27"/>
      <c r="H59" s="27"/>
      <c r="I59" s="27"/>
    </row>
    <row r="60" spans="1:9">
      <c r="A60" s="27"/>
      <c r="B60" s="27"/>
      <c r="C60" s="27"/>
      <c r="D60" s="27"/>
      <c r="E60" s="27"/>
      <c r="F60" s="27"/>
      <c r="G60" s="27"/>
      <c r="H60" s="27"/>
      <c r="I60" s="27"/>
    </row>
    <row r="61" spans="1:9">
      <c r="A61" s="27"/>
      <c r="B61" s="27"/>
      <c r="C61" s="27"/>
      <c r="D61" s="27"/>
      <c r="E61" s="27"/>
      <c r="F61" s="27"/>
      <c r="G61" s="27"/>
      <c r="H61" s="27"/>
      <c r="I61" s="27"/>
    </row>
    <row r="62" spans="1:9">
      <c r="A62" s="27"/>
      <c r="B62" s="27"/>
      <c r="C62" s="27"/>
      <c r="D62" s="27"/>
      <c r="E62" s="27"/>
      <c r="F62" s="27"/>
      <c r="G62" s="27"/>
      <c r="H62" s="27"/>
      <c r="I62" s="27"/>
    </row>
    <row r="63" spans="1:9">
      <c r="A63" s="27"/>
      <c r="B63" s="27"/>
      <c r="C63" s="27"/>
      <c r="D63" s="27"/>
      <c r="E63" s="27"/>
      <c r="F63" s="27"/>
      <c r="G63" s="27"/>
      <c r="H63" s="27"/>
      <c r="I63" s="27"/>
    </row>
    <row r="64" spans="1:9">
      <c r="A64" s="27"/>
      <c r="B64" s="27"/>
      <c r="C64" s="27"/>
      <c r="D64" s="27"/>
      <c r="E64" s="27"/>
      <c r="F64" s="27"/>
      <c r="G64" s="27"/>
      <c r="H64" s="27"/>
      <c r="I64" s="27"/>
    </row>
    <row r="65" spans="1:9">
      <c r="A65" s="27"/>
      <c r="B65" s="27"/>
      <c r="C65" s="27"/>
      <c r="D65" s="27"/>
      <c r="E65" s="27"/>
      <c r="F65" s="27"/>
      <c r="G65" s="27"/>
      <c r="H65" s="27"/>
      <c r="I65" s="27"/>
    </row>
    <row r="66" spans="1:9">
      <c r="A66" s="27"/>
      <c r="B66" s="27"/>
      <c r="C66" s="27"/>
      <c r="D66" s="27"/>
      <c r="E66" s="27"/>
      <c r="F66" s="27"/>
      <c r="G66" s="27"/>
      <c r="H66" s="27"/>
      <c r="I66" s="27"/>
    </row>
    <row r="67" spans="1:9">
      <c r="A67" s="27"/>
      <c r="B67" s="27"/>
      <c r="C67" s="27"/>
      <c r="D67" s="27"/>
      <c r="E67" s="27"/>
      <c r="F67" s="27"/>
      <c r="G67" s="27"/>
      <c r="H67" s="27"/>
      <c r="I67" s="27"/>
    </row>
    <row r="68" spans="1:9">
      <c r="A68" s="27"/>
      <c r="B68" s="27"/>
      <c r="C68" s="27"/>
      <c r="D68" s="27"/>
      <c r="E68" s="27"/>
      <c r="F68" s="27"/>
      <c r="G68" s="27"/>
      <c r="H68" s="27"/>
      <c r="I68" s="27"/>
    </row>
    <row r="69" spans="1:9">
      <c r="A69" s="27"/>
      <c r="B69" s="27"/>
      <c r="C69" s="27"/>
      <c r="D69" s="27"/>
      <c r="E69" s="27"/>
      <c r="F69" s="27"/>
      <c r="G69" s="27"/>
      <c r="H69" s="27"/>
      <c r="I69" s="27"/>
    </row>
    <row r="70" spans="1:9">
      <c r="A70" s="27"/>
      <c r="B70" s="27"/>
      <c r="C70" s="27"/>
      <c r="D70" s="27"/>
      <c r="E70" s="27"/>
      <c r="F70" s="27"/>
      <c r="G70" s="27"/>
      <c r="H70" s="27"/>
      <c r="I70" s="27"/>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7"/>
      <c r="B1" s="27"/>
      <c r="C1" s="27"/>
      <c r="D1" s="27"/>
      <c r="E1" s="27"/>
      <c r="F1" s="27"/>
      <c r="G1" s="27"/>
      <c r="H1" s="27"/>
      <c r="I1" s="27"/>
      <c r="J1" s="27"/>
    </row>
    <row r="2" spans="1:10" ht="19.25" customHeight="1" thickBot="1">
      <c r="A2" s="27"/>
      <c r="B2" s="27"/>
      <c r="C2" s="60" t="s">
        <v>591</v>
      </c>
      <c r="D2" s="60"/>
      <c r="E2" s="60"/>
      <c r="F2" s="60"/>
      <c r="G2" s="60"/>
      <c r="H2" s="27"/>
      <c r="I2" s="27"/>
      <c r="J2" s="27"/>
    </row>
    <row r="3" spans="1:10">
      <c r="A3" s="27"/>
      <c r="B3" s="27"/>
      <c r="C3" s="27"/>
      <c r="D3" s="27"/>
      <c r="E3" s="27"/>
      <c r="F3" s="27"/>
      <c r="G3" s="27"/>
      <c r="H3" s="27"/>
      <c r="I3" s="27"/>
      <c r="J3" s="27"/>
    </row>
    <row r="4" spans="1:10">
      <c r="A4" s="8" t="s">
        <v>472</v>
      </c>
      <c r="B4" s="27"/>
      <c r="C4" s="27"/>
      <c r="D4" s="27"/>
      <c r="E4" s="275" t="s">
        <v>473</v>
      </c>
      <c r="F4" s="275"/>
      <c r="G4" s="275"/>
      <c r="H4" s="275"/>
      <c r="I4" s="275"/>
      <c r="J4" s="27"/>
    </row>
    <row r="5" spans="1:10">
      <c r="A5" s="117"/>
      <c r="B5" s="278" t="s">
        <v>560</v>
      </c>
      <c r="C5" s="279"/>
      <c r="D5" s="278" t="s">
        <v>560</v>
      </c>
      <c r="E5" s="279"/>
      <c r="F5" s="289" t="s">
        <v>561</v>
      </c>
      <c r="G5" s="290"/>
      <c r="H5" s="276" t="s">
        <v>562</v>
      </c>
      <c r="I5" s="277"/>
      <c r="J5" s="27"/>
    </row>
    <row r="6" spans="1:10">
      <c r="A6" s="117" t="s">
        <v>484</v>
      </c>
      <c r="B6" s="131" t="str">
        <f>Innehåll!D79</f>
        <v xml:space="preserve"> 2023-05</v>
      </c>
      <c r="C6" s="131" t="str">
        <f>Innehåll!D80</f>
        <v xml:space="preserve"> 2022-05</v>
      </c>
      <c r="D6" s="131" t="str">
        <f>Innehåll!D81</f>
        <v>YTD  2023</v>
      </c>
      <c r="E6" s="131" t="str">
        <f>Innehåll!D82</f>
        <v>YTD  2022</v>
      </c>
      <c r="F6" s="146" t="str">
        <f>B6</f>
        <v xml:space="preserve"> 2023-05</v>
      </c>
      <c r="G6" s="132" t="str">
        <f>D6</f>
        <v>YTD  2023</v>
      </c>
      <c r="H6" s="131" t="str">
        <f>D6</f>
        <v>YTD  2023</v>
      </c>
      <c r="I6" s="147" t="str">
        <f>E6</f>
        <v>YTD  2022</v>
      </c>
      <c r="J6" s="27"/>
    </row>
    <row r="7" spans="1:10" ht="15" hidden="1" customHeight="1">
      <c r="A7" s="27" t="s">
        <v>250</v>
      </c>
      <c r="B7" s="27" t="s">
        <v>35</v>
      </c>
      <c r="C7" s="27" t="s">
        <v>308</v>
      </c>
      <c r="D7" s="27" t="s">
        <v>309</v>
      </c>
      <c r="E7" s="27" t="s">
        <v>310</v>
      </c>
      <c r="F7" s="27" t="s">
        <v>311</v>
      </c>
      <c r="G7" s="27" t="s">
        <v>40</v>
      </c>
      <c r="H7" s="27" t="s">
        <v>312</v>
      </c>
      <c r="I7" s="27" t="s">
        <v>313</v>
      </c>
      <c r="J7" s="27"/>
    </row>
    <row r="8" spans="1:10">
      <c r="A8" s="27" t="s">
        <v>303</v>
      </c>
      <c r="B8" s="27">
        <v>1</v>
      </c>
      <c r="C8" s="27">
        <v>5</v>
      </c>
      <c r="D8" s="27">
        <v>43</v>
      </c>
      <c r="E8" s="27">
        <v>5</v>
      </c>
      <c r="F8" s="27">
        <v>-80</v>
      </c>
      <c r="G8" s="27">
        <v>760</v>
      </c>
      <c r="H8" s="27">
        <v>36.1</v>
      </c>
      <c r="I8" s="27">
        <v>6.3</v>
      </c>
      <c r="J8" s="27"/>
    </row>
    <row r="9" spans="1:10">
      <c r="A9" s="27" t="s">
        <v>1141</v>
      </c>
      <c r="B9" s="27">
        <v>12</v>
      </c>
      <c r="C9" s="27">
        <v>0</v>
      </c>
      <c r="D9" s="27">
        <v>38</v>
      </c>
      <c r="E9" s="27">
        <v>0</v>
      </c>
      <c r="F9" s="63">
        <v>0</v>
      </c>
      <c r="G9" s="63">
        <v>0</v>
      </c>
      <c r="H9" s="27">
        <v>31.9</v>
      </c>
      <c r="I9" s="27">
        <v>0</v>
      </c>
      <c r="J9" s="27"/>
    </row>
    <row r="10" spans="1:10">
      <c r="A10" s="162" t="s">
        <v>285</v>
      </c>
      <c r="B10" s="162">
        <v>31</v>
      </c>
      <c r="C10" s="162">
        <v>31</v>
      </c>
      <c r="D10" s="162">
        <v>33</v>
      </c>
      <c r="E10" s="162">
        <v>46</v>
      </c>
      <c r="F10" s="164">
        <v>0</v>
      </c>
      <c r="G10" s="164">
        <v>-28.3</v>
      </c>
      <c r="H10" s="162">
        <v>27.7</v>
      </c>
      <c r="I10" s="162">
        <v>57.5</v>
      </c>
      <c r="J10" s="27"/>
    </row>
    <row r="11" spans="1:10">
      <c r="A11" s="162" t="s">
        <v>491</v>
      </c>
      <c r="B11" s="162">
        <v>0</v>
      </c>
      <c r="C11" s="162">
        <v>0</v>
      </c>
      <c r="D11" s="162">
        <v>4</v>
      </c>
      <c r="E11" s="162">
        <v>1</v>
      </c>
      <c r="F11" s="164">
        <v>0</v>
      </c>
      <c r="G11" s="164">
        <v>300</v>
      </c>
      <c r="H11" s="162">
        <v>3.4</v>
      </c>
      <c r="I11" s="162">
        <v>1.3</v>
      </c>
      <c r="J11" s="27"/>
    </row>
    <row r="12" spans="1:10">
      <c r="A12" s="162" t="s">
        <v>492</v>
      </c>
      <c r="B12" s="163">
        <v>0</v>
      </c>
      <c r="C12" s="162">
        <v>0</v>
      </c>
      <c r="D12" s="163">
        <v>0</v>
      </c>
      <c r="E12" s="162">
        <v>1</v>
      </c>
      <c r="F12" s="162">
        <v>0</v>
      </c>
      <c r="G12" s="162">
        <v>-100</v>
      </c>
      <c r="H12" s="162">
        <v>0</v>
      </c>
      <c r="I12" s="162">
        <v>1.3</v>
      </c>
      <c r="J12" s="27"/>
    </row>
    <row r="13" spans="1:10">
      <c r="A13" s="162" t="s">
        <v>701</v>
      </c>
      <c r="B13" s="162">
        <v>0</v>
      </c>
      <c r="C13" s="162">
        <v>0</v>
      </c>
      <c r="D13" s="162">
        <v>0</v>
      </c>
      <c r="E13" s="162">
        <v>18</v>
      </c>
      <c r="F13" s="162">
        <v>0</v>
      </c>
      <c r="G13" s="162">
        <v>-100</v>
      </c>
      <c r="H13" s="162">
        <v>0</v>
      </c>
      <c r="I13" s="162">
        <v>22.5</v>
      </c>
      <c r="J13" s="27"/>
    </row>
    <row r="14" spans="1:10" s="6" customFormat="1">
      <c r="A14" s="162" t="s">
        <v>304</v>
      </c>
      <c r="B14" s="162">
        <v>0</v>
      </c>
      <c r="C14" s="162">
        <v>0</v>
      </c>
      <c r="D14" s="162">
        <v>1</v>
      </c>
      <c r="E14" s="162">
        <v>9</v>
      </c>
      <c r="F14" s="162">
        <v>0</v>
      </c>
      <c r="G14" s="162">
        <v>-88.9</v>
      </c>
      <c r="H14" s="162">
        <v>0.8</v>
      </c>
      <c r="I14" s="162">
        <v>11.3</v>
      </c>
      <c r="J14" s="42"/>
    </row>
    <row r="15" spans="1:10">
      <c r="A15" s="162" t="s">
        <v>475</v>
      </c>
      <c r="B15" s="162">
        <f>SUBTOTAL(109,Table_bdsql12_BDnewRegistrations_getAggBussEL[antalPerioden])</f>
        <v>44</v>
      </c>
      <c r="C15" s="162">
        <f>SUBTOTAL(109,Table_bdsql12_BDnewRegistrations_getAggBussEL[antalPeriodenFG])</f>
        <v>36</v>
      </c>
      <c r="D15" s="162">
        <f>SUBTOTAL(109,Table_bdsql12_BDnewRegistrations_getAggBussEL[antalAret])</f>
        <v>119</v>
      </c>
      <c r="E15" s="162">
        <f>SUBTOTAL(109,Table_bdsql12_BDnewRegistrations_getAggBussEL[antalAretFG])</f>
        <v>80</v>
      </c>
      <c r="F15" s="164">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22.222222222222221</v>
      </c>
      <c r="G15" s="164">
        <f>IF(Table_bdsql12_BDnewRegistrations_getAggBussEL[[#Totals],[antalAretFG]] &gt; 0,( Table_bdsql12_BDnewRegistrations_getAggBussEL[[#Totals],[antalAret]] - Table_bdsql12_BDnewRegistrations_getAggBussEL[[#Totals],[antalAretFG]] ) / Table_bdsql12_BDnewRegistrations_getAggBussEL[[#Totals],[antalAretFG]] * 100,0)</f>
        <v>48.75</v>
      </c>
      <c r="H15" s="166" t="str">
        <f>TEXT(100,"0,0")</f>
        <v>100,0</v>
      </c>
      <c r="I15" s="166" t="str">
        <f>TEXT(100,"0,0")</f>
        <v>100,0</v>
      </c>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705</v>
      </c>
      <c r="B20" s="27"/>
      <c r="C20" s="27"/>
      <c r="D20" s="27"/>
      <c r="E20" s="27"/>
      <c r="F20" s="27"/>
      <c r="G20" s="27"/>
      <c r="H20" s="27"/>
      <c r="I20" s="27"/>
      <c r="J20" s="27"/>
    </row>
    <row r="21" spans="1:10">
      <c r="A21" s="27"/>
      <c r="B21" s="27"/>
      <c r="C21" s="27"/>
      <c r="D21" s="27"/>
      <c r="E21" s="27"/>
      <c r="F21" s="27"/>
      <c r="G21" s="27"/>
      <c r="H21" s="27"/>
      <c r="I21" s="27"/>
      <c r="J21" s="27"/>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72" t="s">
        <v>499</v>
      </c>
      <c r="R3" s="72"/>
      <c r="S3" s="72"/>
      <c r="T3" s="72"/>
      <c r="U3" s="106"/>
    </row>
    <row r="4" spans="17:21">
      <c r="Q4" s="27"/>
      <c r="R4" s="27"/>
      <c r="S4" s="27"/>
      <c r="T4" s="27"/>
      <c r="U4" s="27"/>
    </row>
    <row r="5" spans="17:21" ht="16" thickBot="1">
      <c r="Q5" s="20" t="s">
        <v>476</v>
      </c>
      <c r="R5" s="20">
        <v>2021</v>
      </c>
      <c r="S5" s="20">
        <v>2022</v>
      </c>
      <c r="T5" s="20">
        <v>2023</v>
      </c>
      <c r="U5" s="27"/>
    </row>
    <row r="6" spans="17:21">
      <c r="Q6" s="34" t="s">
        <v>2</v>
      </c>
      <c r="R6" s="34">
        <v>20573</v>
      </c>
      <c r="S6" s="34">
        <v>19893</v>
      </c>
      <c r="T6" s="34">
        <v>14601</v>
      </c>
      <c r="U6" s="27"/>
    </row>
    <row r="7" spans="17:21">
      <c r="Q7" s="34" t="s">
        <v>3</v>
      </c>
      <c r="R7" s="34">
        <v>22837</v>
      </c>
      <c r="S7" s="34">
        <v>21136</v>
      </c>
      <c r="T7" s="34">
        <v>18442</v>
      </c>
      <c r="U7" s="27"/>
    </row>
    <row r="8" spans="17:21">
      <c r="Q8" s="34" t="s">
        <v>4</v>
      </c>
      <c r="R8" s="34">
        <v>47460</v>
      </c>
      <c r="S8" s="34">
        <v>28710</v>
      </c>
      <c r="T8" s="34">
        <v>30261</v>
      </c>
      <c r="U8" s="27"/>
    </row>
    <row r="9" spans="17:21">
      <c r="Q9" s="34" t="s">
        <v>5</v>
      </c>
      <c r="R9" s="34">
        <v>21871</v>
      </c>
      <c r="S9" s="34">
        <v>21942</v>
      </c>
      <c r="T9" s="34">
        <v>20586</v>
      </c>
      <c r="U9" s="27"/>
    </row>
    <row r="10" spans="17:21">
      <c r="Q10" s="34" t="s">
        <v>6</v>
      </c>
      <c r="R10" s="34">
        <v>24327</v>
      </c>
      <c r="S10" s="34">
        <v>26413</v>
      </c>
      <c r="T10" s="34">
        <v>28490</v>
      </c>
      <c r="U10" s="27"/>
    </row>
    <row r="11" spans="17:21">
      <c r="Q11" s="34" t="s">
        <v>7</v>
      </c>
      <c r="R11" s="34">
        <v>36095</v>
      </c>
      <c r="S11" s="34">
        <v>26088</v>
      </c>
      <c r="T11" s="34"/>
      <c r="U11" s="27"/>
    </row>
    <row r="12" spans="17:21">
      <c r="Q12" s="34" t="s">
        <v>8</v>
      </c>
      <c r="R12" s="34">
        <v>16778</v>
      </c>
      <c r="S12" s="34">
        <v>17834</v>
      </c>
      <c r="T12" s="34"/>
      <c r="U12" s="27"/>
    </row>
    <row r="13" spans="17:21">
      <c r="Q13" s="34" t="s">
        <v>9</v>
      </c>
      <c r="R13" s="34">
        <v>19808</v>
      </c>
      <c r="S13" s="34">
        <v>20576</v>
      </c>
      <c r="T13" s="34"/>
      <c r="U13" s="27"/>
    </row>
    <row r="14" spans="17:21">
      <c r="Q14" s="34" t="s">
        <v>10</v>
      </c>
      <c r="R14" s="34">
        <v>22634</v>
      </c>
      <c r="S14" s="34">
        <v>22048</v>
      </c>
      <c r="T14" s="34"/>
      <c r="U14" s="27"/>
    </row>
    <row r="15" spans="17:21">
      <c r="Q15" s="34" t="s">
        <v>11</v>
      </c>
      <c r="R15" s="34">
        <v>19962</v>
      </c>
      <c r="S15" s="34">
        <v>22383</v>
      </c>
      <c r="T15" s="34"/>
      <c r="U15" s="27"/>
    </row>
    <row r="16" spans="17:21">
      <c r="Q16" s="34" t="s">
        <v>12</v>
      </c>
      <c r="R16" s="34">
        <v>21056</v>
      </c>
      <c r="S16" s="34">
        <v>25588</v>
      </c>
      <c r="T16" s="34"/>
      <c r="U16" s="27"/>
    </row>
    <row r="17" spans="17:21">
      <c r="Q17" s="34" t="s">
        <v>13</v>
      </c>
      <c r="R17" s="34">
        <v>27582</v>
      </c>
      <c r="S17" s="34">
        <v>35476</v>
      </c>
      <c r="T17" s="34"/>
      <c r="U17" s="27"/>
    </row>
    <row r="18" spans="17:21">
      <c r="Q18" s="32" t="s">
        <v>559</v>
      </c>
      <c r="R18" s="32">
        <f>SUMIF(T6:T17,"&gt;0",R6:R17)</f>
        <v>137068</v>
      </c>
      <c r="S18" s="32">
        <f>SUMIF(T6:T17,"&gt;0",S6:S17)</f>
        <v>118094</v>
      </c>
      <c r="T18" s="32">
        <f>SUM(T6:T17)</f>
        <v>112380</v>
      </c>
      <c r="U18" s="27"/>
    </row>
    <row r="19" spans="17:21">
      <c r="Q19" s="36" t="s">
        <v>558</v>
      </c>
      <c r="R19" s="36">
        <f>SUM(R6:R17)</f>
        <v>300983</v>
      </c>
      <c r="S19" s="36">
        <f>SUM(S6:S17)</f>
        <v>288087</v>
      </c>
      <c r="T19" s="36"/>
      <c r="U19" s="27"/>
    </row>
    <row r="20" spans="17:21">
      <c r="Q20" s="27"/>
      <c r="R20" s="27"/>
      <c r="S20" s="27"/>
      <c r="T20" s="27"/>
      <c r="U20" s="27"/>
    </row>
    <row r="21" spans="17:21">
      <c r="Q21" s="34" t="s">
        <v>473</v>
      </c>
      <c r="R21" s="27"/>
      <c r="S21" s="27"/>
      <c r="T21" s="27"/>
      <c r="U21" s="27"/>
    </row>
    <row r="22" spans="17:21">
      <c r="Q22" s="27"/>
      <c r="R22" s="27"/>
      <c r="S22" s="27"/>
      <c r="T22" s="27"/>
      <c r="U22" s="27"/>
    </row>
    <row r="23" spans="17:21" ht="17" thickBot="1">
      <c r="Q23" s="72" t="s">
        <v>571</v>
      </c>
      <c r="R23" s="72"/>
      <c r="S23" s="72"/>
      <c r="T23" s="72"/>
      <c r="U23" s="72"/>
    </row>
    <row r="24" spans="17:21">
      <c r="Q24" s="27"/>
      <c r="R24" s="27"/>
      <c r="S24" s="27"/>
      <c r="T24" s="27"/>
      <c r="U24" s="27"/>
    </row>
    <row r="25" spans="17:21">
      <c r="Q25" s="107" t="s">
        <v>568</v>
      </c>
      <c r="R25" s="108" t="s">
        <v>547</v>
      </c>
      <c r="S25" s="108" t="str">
        <f>[0]!Manaden</f>
        <v>Maj</v>
      </c>
      <c r="T25" s="108" t="s">
        <v>559</v>
      </c>
      <c r="U25" s="27"/>
    </row>
    <row r="26" spans="17:21">
      <c r="Q26" s="59" t="s">
        <v>569</v>
      </c>
      <c r="R26" s="59">
        <v>2023</v>
      </c>
      <c r="S26" s="59">
        <v>780</v>
      </c>
      <c r="T26" s="59">
        <v>3105</v>
      </c>
      <c r="U26" s="27"/>
    </row>
    <row r="27" spans="17:21">
      <c r="Q27" s="59" t="s">
        <v>569</v>
      </c>
      <c r="R27" s="59">
        <v>2022</v>
      </c>
      <c r="S27" s="59">
        <v>1042</v>
      </c>
      <c r="T27" s="59">
        <v>4112</v>
      </c>
      <c r="U27" s="27"/>
    </row>
    <row r="28" spans="17:21">
      <c r="Q28" s="59" t="s">
        <v>570</v>
      </c>
      <c r="R28" s="59">
        <v>2023</v>
      </c>
      <c r="S28" s="59">
        <v>52</v>
      </c>
      <c r="T28" s="59">
        <v>297</v>
      </c>
      <c r="U28" s="27"/>
    </row>
    <row r="29" spans="17:21">
      <c r="Q29" s="59" t="s">
        <v>570</v>
      </c>
      <c r="R29" s="59">
        <v>2022</v>
      </c>
      <c r="S29" s="59">
        <v>120</v>
      </c>
      <c r="T29" s="59">
        <v>489</v>
      </c>
      <c r="U29" s="27"/>
    </row>
    <row r="30" spans="17:21">
      <c r="Q30" s="27"/>
      <c r="R30" s="27"/>
      <c r="S30" s="27"/>
      <c r="T30" s="27"/>
      <c r="U30" s="27"/>
    </row>
    <row r="31" spans="17:21">
      <c r="Q31" s="34" t="s">
        <v>572</v>
      </c>
      <c r="R31" s="27"/>
      <c r="S31" s="27"/>
      <c r="T31" s="27"/>
      <c r="U31" s="27"/>
    </row>
    <row r="32" spans="17:21">
      <c r="Q32" s="27"/>
      <c r="R32" s="27"/>
      <c r="S32" s="27"/>
      <c r="T32" s="27"/>
      <c r="U32" s="27"/>
    </row>
    <row r="33" spans="14:22">
      <c r="Q33" s="27"/>
      <c r="R33" s="27"/>
      <c r="S33" s="27"/>
      <c r="T33" s="27"/>
      <c r="U33" s="27"/>
    </row>
    <row r="34" spans="14:22">
      <c r="Q34" s="27"/>
      <c r="R34" s="27"/>
      <c r="S34" s="27"/>
      <c r="T34" s="27"/>
      <c r="U34" s="27"/>
    </row>
    <row r="35" spans="14:22" ht="21" thickBot="1">
      <c r="Q35" s="72" t="s">
        <v>14</v>
      </c>
      <c r="R35" s="72"/>
      <c r="S35" s="72"/>
      <c r="T35" s="72"/>
      <c r="U35" s="72"/>
      <c r="V35" s="10"/>
    </row>
    <row r="36" spans="14:22">
      <c r="Q36" s="27"/>
      <c r="R36" s="27"/>
      <c r="S36" s="27"/>
      <c r="T36" s="27"/>
      <c r="U36" s="27"/>
    </row>
    <row r="37" spans="14:22">
      <c r="Q37" s="34" t="s">
        <v>459</v>
      </c>
      <c r="R37" s="62">
        <v>-3.3053030671268169</v>
      </c>
      <c r="S37" s="27"/>
      <c r="T37" s="27"/>
      <c r="U37" s="27"/>
    </row>
    <row r="38" spans="14:22">
      <c r="Q38" s="34" t="s">
        <v>526</v>
      </c>
      <c r="R38" s="62">
        <v>5.2687378998801515</v>
      </c>
      <c r="S38" s="27"/>
      <c r="T38" s="27"/>
      <c r="U38" s="27"/>
    </row>
    <row r="39" spans="14:22">
      <c r="Q39" s="34" t="s">
        <v>586</v>
      </c>
      <c r="R39" s="62">
        <v>71.651777641144349</v>
      </c>
      <c r="S39" s="27"/>
      <c r="T39" s="27"/>
      <c r="U39" s="27"/>
    </row>
    <row r="40" spans="14:22">
      <c r="Q40" s="34" t="s">
        <v>603</v>
      </c>
      <c r="R40" s="62">
        <v>15.621695918798901</v>
      </c>
      <c r="S40" s="27"/>
      <c r="T40" s="27"/>
      <c r="U40" s="27"/>
    </row>
    <row r="41" spans="14:22">
      <c r="Q41" s="34" t="s">
        <v>617</v>
      </c>
      <c r="R41" s="62">
        <v>53.183048926390029</v>
      </c>
      <c r="S41" s="27"/>
      <c r="T41" s="27"/>
      <c r="U41" s="27"/>
    </row>
    <row r="42" spans="14:22">
      <c r="Q42" s="34" t="s">
        <v>624</v>
      </c>
      <c r="R42" s="62">
        <v>45.856063361215497</v>
      </c>
      <c r="S42" s="27"/>
      <c r="T42" s="27"/>
      <c r="U42" s="27"/>
    </row>
    <row r="43" spans="14:22">
      <c r="N43" s="39"/>
      <c r="Q43" s="34" t="s">
        <v>629</v>
      </c>
      <c r="R43" s="62">
        <v>-26.146667840478916</v>
      </c>
      <c r="S43" s="27"/>
      <c r="T43" s="27"/>
      <c r="U43" s="27"/>
    </row>
    <row r="44" spans="14:22">
      <c r="Q44" s="34" t="s">
        <v>631</v>
      </c>
      <c r="R44" s="62">
        <v>-22.388527544863255</v>
      </c>
      <c r="S44" s="27"/>
      <c r="T44" s="27"/>
      <c r="U44" s="27"/>
    </row>
    <row r="45" spans="14:22">
      <c r="Q45" s="34" t="s">
        <v>639</v>
      </c>
      <c r="R45" s="62">
        <v>-21.188063651241336</v>
      </c>
      <c r="S45" s="27"/>
      <c r="T45" s="27"/>
      <c r="U45" s="27"/>
    </row>
    <row r="46" spans="14:22">
      <c r="Q46" s="34" t="s">
        <v>658</v>
      </c>
      <c r="R46" s="62">
        <v>-29.079475610189366</v>
      </c>
      <c r="S46" s="27"/>
      <c r="T46" s="27"/>
      <c r="U46" s="27"/>
    </row>
    <row r="47" spans="14:22">
      <c r="Q47" s="34" t="s">
        <v>667</v>
      </c>
      <c r="R47" s="62">
        <v>-20.755711113620112</v>
      </c>
      <c r="S47" s="27"/>
      <c r="T47" s="27"/>
      <c r="U47" s="27"/>
    </row>
    <row r="48" spans="14:22">
      <c r="Q48" s="34" t="s">
        <v>676</v>
      </c>
      <c r="R48" s="62">
        <v>-20.42582655357452</v>
      </c>
      <c r="S48" s="27"/>
      <c r="T48" s="27"/>
      <c r="U48" s="27"/>
    </row>
    <row r="49" spans="17:21">
      <c r="Q49" s="34" t="s">
        <v>685</v>
      </c>
      <c r="R49" s="62">
        <f>((S6-R6)/R6)*100</f>
        <v>-3.3053030671268169</v>
      </c>
      <c r="S49" s="27"/>
      <c r="T49" s="27"/>
      <c r="U49" s="27"/>
    </row>
    <row r="50" spans="17:21">
      <c r="Q50" s="34" t="s">
        <v>700</v>
      </c>
      <c r="R50" s="62">
        <f t="shared" ref="R50:R60" si="0">((S7-R7)/R7)*100</f>
        <v>-7.4484389368130666</v>
      </c>
      <c r="S50" s="27"/>
      <c r="T50" s="27"/>
      <c r="U50" s="27"/>
    </row>
    <row r="51" spans="17:21">
      <c r="Q51" s="34" t="s">
        <v>719</v>
      </c>
      <c r="R51" s="62">
        <f t="shared" si="0"/>
        <v>-39.506953223767383</v>
      </c>
      <c r="S51" s="27"/>
      <c r="T51" s="27"/>
      <c r="U51" s="27"/>
    </row>
    <row r="52" spans="17:21">
      <c r="Q52" s="34" t="s">
        <v>728</v>
      </c>
      <c r="R52" s="62">
        <f t="shared" si="0"/>
        <v>0.32463078963010383</v>
      </c>
      <c r="S52" s="27"/>
      <c r="T52" s="27"/>
      <c r="U52" s="27"/>
    </row>
    <row r="53" spans="17:21">
      <c r="Q53" s="34" t="s">
        <v>734</v>
      </c>
      <c r="R53" s="62">
        <f t="shared" si="0"/>
        <v>8.5748345459777209</v>
      </c>
      <c r="S53" s="27"/>
      <c r="T53" s="27"/>
      <c r="U53" s="27"/>
    </row>
    <row r="54" spans="17:21">
      <c r="Q54" s="34" t="s">
        <v>737</v>
      </c>
      <c r="R54" s="62">
        <f t="shared" si="0"/>
        <v>-27.724061504363483</v>
      </c>
      <c r="S54" s="27"/>
      <c r="T54" s="27"/>
      <c r="U54" s="27"/>
    </row>
    <row r="55" spans="17:21">
      <c r="Q55" s="34" t="s">
        <v>1015</v>
      </c>
      <c r="R55" s="62">
        <f t="shared" si="0"/>
        <v>6.2939563714387887</v>
      </c>
      <c r="S55" s="27"/>
      <c r="T55" s="27"/>
      <c r="U55" s="27"/>
    </row>
    <row r="56" spans="17:21">
      <c r="Q56" s="34" t="s">
        <v>1023</v>
      </c>
      <c r="R56" s="62">
        <f t="shared" si="0"/>
        <v>3.877221324717286</v>
      </c>
      <c r="S56" s="27"/>
      <c r="T56" s="27"/>
      <c r="U56" s="27"/>
    </row>
    <row r="57" spans="17:21">
      <c r="Q57" s="34" t="s">
        <v>1039</v>
      </c>
      <c r="R57" s="62">
        <f t="shared" si="0"/>
        <v>-2.5890253600777591</v>
      </c>
      <c r="S57" s="27"/>
      <c r="T57" s="27"/>
      <c r="U57" s="27"/>
    </row>
    <row r="58" spans="17:21">
      <c r="Q58" s="34" t="s">
        <v>1049</v>
      </c>
      <c r="R58" s="62">
        <f t="shared" si="0"/>
        <v>12.128043282236249</v>
      </c>
      <c r="S58" s="27"/>
      <c r="T58" s="27"/>
      <c r="U58" s="27"/>
    </row>
    <row r="59" spans="17:21">
      <c r="Q59" s="34" t="s">
        <v>1061</v>
      </c>
      <c r="R59" s="62">
        <f t="shared" si="0"/>
        <v>21.523556231003038</v>
      </c>
      <c r="S59" s="27"/>
      <c r="T59" s="27"/>
      <c r="U59" s="27"/>
    </row>
    <row r="60" spans="17:21">
      <c r="Q60" s="34" t="s">
        <v>1077</v>
      </c>
      <c r="R60" s="62">
        <f t="shared" si="0"/>
        <v>28.620114567471539</v>
      </c>
      <c r="S60" s="27"/>
      <c r="T60" s="27"/>
      <c r="U60" s="27"/>
    </row>
    <row r="61" spans="17:21">
      <c r="Q61" s="34" t="s">
        <v>1105</v>
      </c>
      <c r="R61" s="62">
        <f>((T6-S6)/S6)*100</f>
        <v>-26.602322424973607</v>
      </c>
      <c r="S61" s="27"/>
      <c r="T61" s="27"/>
      <c r="U61" s="27"/>
    </row>
    <row r="62" spans="17:21">
      <c r="Q62" s="240" t="s">
        <v>1142</v>
      </c>
      <c r="R62" s="62">
        <f>((T7-S7)/S7)*100</f>
        <v>-12.746025738077213</v>
      </c>
      <c r="S62" s="27"/>
      <c r="T62" s="27"/>
      <c r="U62" s="27"/>
    </row>
    <row r="63" spans="17:21">
      <c r="Q63" s="240" t="s">
        <v>1176</v>
      </c>
      <c r="R63" s="62">
        <f>((T8-S8)/S8)*100</f>
        <v>5.4022988505747129</v>
      </c>
      <c r="S63" s="27"/>
      <c r="T63" s="27"/>
      <c r="U63" s="27"/>
    </row>
    <row r="64" spans="17:21">
      <c r="Q64" s="240" t="s">
        <v>1202</v>
      </c>
      <c r="R64" s="62">
        <f>((T9-S9)/S9)*100</f>
        <v>-6.179928903472792</v>
      </c>
      <c r="S64" s="27"/>
      <c r="T64" s="27"/>
      <c r="U64" s="27"/>
    </row>
    <row r="65" spans="1:21">
      <c r="A65" s="109"/>
      <c r="Q65" s="240" t="s">
        <v>1246</v>
      </c>
      <c r="R65" s="62">
        <f>((T10-S10)/S10)*100</f>
        <v>7.8635520387687885</v>
      </c>
      <c r="S65" s="27"/>
      <c r="T65" s="27"/>
      <c r="U65" s="27"/>
    </row>
    <row r="66" spans="1:21">
      <c r="Q66" s="34"/>
      <c r="R66" s="62"/>
      <c r="S66" s="27"/>
      <c r="T66" s="27"/>
      <c r="U66" s="27"/>
    </row>
    <row r="67" spans="1:21">
      <c r="A67" s="109" t="s">
        <v>705</v>
      </c>
      <c r="Q67" s="34"/>
      <c r="R67" s="62"/>
      <c r="S67" s="27"/>
      <c r="T67" s="27"/>
      <c r="U67" s="27"/>
    </row>
    <row r="68" spans="1:21">
      <c r="Q68" s="34"/>
      <c r="R68" s="62"/>
      <c r="S68" s="27"/>
      <c r="T68" s="27"/>
      <c r="U68" s="27"/>
    </row>
    <row r="69" spans="1:21">
      <c r="Q69" s="34"/>
      <c r="R69" s="62"/>
      <c r="S69" s="27"/>
      <c r="T69" s="27"/>
      <c r="U69" s="27"/>
    </row>
    <row r="70" spans="1:21">
      <c r="Q70" s="34"/>
      <c r="R70" s="62"/>
      <c r="S70" s="27"/>
      <c r="T70" s="27"/>
      <c r="U70" s="27"/>
    </row>
    <row r="71" spans="1:21">
      <c r="Q71" s="34"/>
      <c r="R71" s="62"/>
      <c r="S71" s="27"/>
      <c r="T71" s="27"/>
      <c r="U71" s="27"/>
    </row>
    <row r="72" spans="1:21">
      <c r="R72" s="62"/>
      <c r="S72" s="27"/>
      <c r="T72" s="27"/>
      <c r="U72" s="27"/>
    </row>
    <row r="73" spans="1:21">
      <c r="Q73" s="27"/>
      <c r="R73" s="62"/>
      <c r="S73" s="27"/>
      <c r="T73" s="27"/>
      <c r="U73" s="27"/>
    </row>
    <row r="74" spans="1:21">
      <c r="Q74" s="27"/>
      <c r="R74" s="63"/>
      <c r="S74" s="27"/>
      <c r="T74" s="27"/>
      <c r="U74" s="27"/>
    </row>
    <row r="75" spans="1:21">
      <c r="Q75" s="27"/>
      <c r="R75" s="27"/>
      <c r="S75" s="27"/>
      <c r="T75" s="27"/>
      <c r="U75" s="27"/>
    </row>
    <row r="76" spans="1:21">
      <c r="Q76" s="27"/>
      <c r="R76" s="27"/>
      <c r="S76" s="27"/>
      <c r="T76" s="27"/>
      <c r="U76" s="27"/>
    </row>
    <row r="77" spans="1:21">
      <c r="Q77" s="27"/>
      <c r="R77" s="27"/>
      <c r="S77" s="27"/>
      <c r="T77" s="27"/>
      <c r="U77" s="27"/>
    </row>
    <row r="78" spans="1:21">
      <c r="A78" s="19"/>
      <c r="Q78" s="27"/>
      <c r="R78" s="27"/>
      <c r="S78" s="27"/>
      <c r="T78" s="27"/>
      <c r="U78" s="27"/>
    </row>
    <row r="88" spans="17:18">
      <c r="Q88" s="9"/>
      <c r="R88" s="9"/>
    </row>
    <row r="89" spans="17:18">
      <c r="Q89" s="9"/>
      <c r="R89" s="9"/>
    </row>
    <row r="90" spans="17:18">
      <c r="Q90" s="9"/>
      <c r="R90" s="9"/>
    </row>
    <row r="91" spans="17:18">
      <c r="Q91" s="9"/>
      <c r="R91" s="9"/>
    </row>
    <row r="92" spans="17:18">
      <c r="Q92" s="9"/>
      <c r="R92" s="9"/>
    </row>
    <row r="93" spans="17:18">
      <c r="Q93" s="9"/>
      <c r="R93" s="9"/>
    </row>
    <row r="94" spans="17:18">
      <c r="R94" s="9"/>
    </row>
    <row r="95" spans="17:18">
      <c r="R95" s="9"/>
    </row>
    <row r="96" spans="17:18">
      <c r="R96" s="9"/>
    </row>
    <row r="97" spans="18:18">
      <c r="R97" s="9"/>
    </row>
    <row r="98" spans="18:18">
      <c r="R98" s="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60" t="s">
        <v>549</v>
      </c>
      <c r="E2" s="60"/>
      <c r="F2" s="60"/>
      <c r="G2" s="60"/>
      <c r="H2" s="60"/>
      <c r="I2" s="60"/>
      <c r="J2" s="60"/>
      <c r="K2" s="60"/>
      <c r="L2" s="60"/>
    </row>
    <row r="3" spans="1:17" ht="20.25" customHeight="1"/>
    <row r="4" spans="1:17">
      <c r="A4" s="59" t="s">
        <v>548</v>
      </c>
      <c r="B4" s="27"/>
      <c r="C4" s="27"/>
      <c r="D4" s="27"/>
      <c r="E4" s="92"/>
      <c r="F4" s="92"/>
      <c r="G4" s="275" t="s">
        <v>473</v>
      </c>
      <c r="H4" s="275"/>
      <c r="I4" s="275"/>
      <c r="J4" s="275"/>
      <c r="K4" s="275"/>
      <c r="L4" s="275"/>
      <c r="M4" s="275"/>
      <c r="N4" s="275"/>
      <c r="O4" s="275"/>
      <c r="P4" s="27"/>
      <c r="Q4" s="27"/>
    </row>
    <row r="5" spans="1:17">
      <c r="A5" s="117" t="s">
        <v>484</v>
      </c>
      <c r="B5" s="117" t="s">
        <v>547</v>
      </c>
      <c r="C5" s="229" t="s">
        <v>559</v>
      </c>
      <c r="D5" s="229" t="s">
        <v>2</v>
      </c>
      <c r="E5" s="229" t="s">
        <v>3</v>
      </c>
      <c r="F5" s="229" t="s">
        <v>546</v>
      </c>
      <c r="G5" s="229" t="s">
        <v>545</v>
      </c>
      <c r="H5" s="229" t="s">
        <v>6</v>
      </c>
      <c r="I5" s="229" t="s">
        <v>544</v>
      </c>
      <c r="J5" s="229" t="s">
        <v>543</v>
      </c>
      <c r="K5" s="229" t="s">
        <v>9</v>
      </c>
      <c r="L5" s="229" t="s">
        <v>10</v>
      </c>
      <c r="M5" s="229" t="s">
        <v>11</v>
      </c>
      <c r="N5" s="229" t="s">
        <v>12</v>
      </c>
      <c r="O5" s="229" t="s">
        <v>13</v>
      </c>
      <c r="P5" s="27"/>
      <c r="Q5" s="27"/>
    </row>
    <row r="6" spans="1:17" hidden="1">
      <c r="A6" s="162"/>
      <c r="B6" s="162"/>
      <c r="C6" s="162" t="s">
        <v>542</v>
      </c>
      <c r="D6" s="162" t="s">
        <v>541</v>
      </c>
      <c r="E6" s="162" t="s">
        <v>540</v>
      </c>
      <c r="F6" s="162" t="s">
        <v>539</v>
      </c>
      <c r="G6" s="162" t="s">
        <v>538</v>
      </c>
      <c r="H6" s="162" t="s">
        <v>537</v>
      </c>
      <c r="I6" s="162" t="s">
        <v>536</v>
      </c>
      <c r="J6" s="162" t="s">
        <v>535</v>
      </c>
      <c r="K6" s="162" t="s">
        <v>534</v>
      </c>
      <c r="L6" s="162" t="s">
        <v>533</v>
      </c>
      <c r="M6" s="162" t="s">
        <v>532</v>
      </c>
      <c r="N6" s="162" t="s">
        <v>531</v>
      </c>
      <c r="O6" s="162" t="s">
        <v>530</v>
      </c>
      <c r="P6" s="27"/>
      <c r="Q6" s="27"/>
    </row>
    <row r="7" spans="1:17">
      <c r="A7" s="181" t="s">
        <v>733</v>
      </c>
      <c r="B7" s="162"/>
      <c r="C7" s="163"/>
      <c r="D7" s="162"/>
      <c r="E7" s="162"/>
      <c r="F7" s="162"/>
      <c r="G7" s="162"/>
      <c r="H7" s="162"/>
      <c r="I7" s="162"/>
      <c r="J7" s="162"/>
      <c r="K7" s="162"/>
      <c r="L7" s="162"/>
      <c r="M7" s="162"/>
      <c r="N7" s="162"/>
      <c r="O7" s="162"/>
      <c r="P7" s="27"/>
      <c r="Q7" s="27"/>
    </row>
    <row r="8" spans="1:17">
      <c r="A8" s="162"/>
      <c r="B8" s="181">
        <v>2022</v>
      </c>
      <c r="C8" s="163">
        <v>1</v>
      </c>
      <c r="D8" s="162">
        <v>0</v>
      </c>
      <c r="E8" s="162">
        <v>0</v>
      </c>
      <c r="F8" s="162">
        <v>0</v>
      </c>
      <c r="G8" s="162">
        <v>0</v>
      </c>
      <c r="H8" s="162">
        <v>1</v>
      </c>
      <c r="I8" s="162">
        <v>0</v>
      </c>
      <c r="J8" s="162">
        <v>0</v>
      </c>
      <c r="K8" s="162">
        <v>0</v>
      </c>
      <c r="L8" s="162">
        <v>0</v>
      </c>
      <c r="M8" s="162">
        <v>0</v>
      </c>
      <c r="N8" s="162">
        <v>0</v>
      </c>
      <c r="O8" s="162">
        <v>0</v>
      </c>
      <c r="P8" s="27"/>
      <c r="Q8" s="27"/>
    </row>
    <row r="9" spans="1:17">
      <c r="A9" s="181"/>
      <c r="B9" s="162"/>
      <c r="C9" s="163"/>
      <c r="D9" s="162"/>
      <c r="E9" s="162"/>
      <c r="F9" s="162"/>
      <c r="G9" s="162"/>
      <c r="H9" s="162"/>
      <c r="I9" s="162"/>
      <c r="J9" s="162"/>
      <c r="K9" s="162"/>
      <c r="L9" s="162"/>
      <c r="M9" s="162"/>
      <c r="N9" s="162"/>
      <c r="O9" s="162"/>
      <c r="P9" s="27"/>
      <c r="Q9" s="27"/>
    </row>
    <row r="10" spans="1:17">
      <c r="A10" s="181" t="s">
        <v>278</v>
      </c>
      <c r="B10" s="162"/>
      <c r="C10" s="163"/>
      <c r="D10" s="162"/>
      <c r="E10" s="162"/>
      <c r="F10" s="162"/>
      <c r="G10" s="162"/>
      <c r="H10" s="162"/>
      <c r="I10" s="162"/>
      <c r="J10" s="162"/>
      <c r="K10" s="162"/>
      <c r="L10" s="162"/>
      <c r="M10" s="162"/>
      <c r="N10" s="162"/>
      <c r="O10" s="162"/>
      <c r="P10" s="27"/>
      <c r="Q10" s="27"/>
    </row>
    <row r="11" spans="1:17">
      <c r="A11" s="162"/>
      <c r="B11" s="181">
        <v>2023</v>
      </c>
      <c r="C11" s="163">
        <v>1</v>
      </c>
      <c r="D11" s="162">
        <v>0</v>
      </c>
      <c r="E11" s="162">
        <v>0</v>
      </c>
      <c r="F11" s="162">
        <v>0</v>
      </c>
      <c r="G11" s="162">
        <v>0</v>
      </c>
      <c r="H11" s="162">
        <v>1</v>
      </c>
      <c r="I11" s="162">
        <v>0</v>
      </c>
      <c r="J11" s="162">
        <v>0</v>
      </c>
      <c r="K11" s="162">
        <v>0</v>
      </c>
      <c r="L11" s="162">
        <v>0</v>
      </c>
      <c r="M11" s="162">
        <v>0</v>
      </c>
      <c r="N11" s="162">
        <v>0</v>
      </c>
      <c r="O11" s="162">
        <v>0</v>
      </c>
      <c r="P11" s="27"/>
      <c r="Q11" s="27"/>
    </row>
    <row r="12" spans="1:17">
      <c r="A12" s="162"/>
      <c r="B12" s="181">
        <v>2022</v>
      </c>
      <c r="C12" s="163">
        <v>2</v>
      </c>
      <c r="D12" s="162">
        <v>0</v>
      </c>
      <c r="E12" s="162">
        <v>1</v>
      </c>
      <c r="F12" s="162">
        <v>0</v>
      </c>
      <c r="G12" s="162">
        <v>1</v>
      </c>
      <c r="H12" s="162">
        <v>0</v>
      </c>
      <c r="I12" s="162">
        <v>0</v>
      </c>
      <c r="J12" s="162">
        <v>0</v>
      </c>
      <c r="K12" s="162">
        <v>0</v>
      </c>
      <c r="L12" s="162">
        <v>0</v>
      </c>
      <c r="M12" s="162">
        <v>0</v>
      </c>
      <c r="N12" s="162">
        <v>0</v>
      </c>
      <c r="O12" s="162">
        <v>0</v>
      </c>
      <c r="P12" s="27"/>
      <c r="Q12" s="27"/>
    </row>
    <row r="13" spans="1:17">
      <c r="A13" s="181"/>
      <c r="B13" s="162"/>
      <c r="C13" s="163"/>
      <c r="D13" s="162"/>
      <c r="E13" s="162"/>
      <c r="F13" s="162"/>
      <c r="G13" s="162"/>
      <c r="H13" s="162"/>
      <c r="I13" s="162"/>
      <c r="J13" s="162"/>
      <c r="K13" s="162"/>
      <c r="L13" s="162"/>
      <c r="M13" s="162"/>
      <c r="N13" s="162"/>
      <c r="O13" s="162"/>
      <c r="P13" s="27"/>
      <c r="Q13" s="27"/>
    </row>
    <row r="14" spans="1:17">
      <c r="A14" s="181" t="s">
        <v>285</v>
      </c>
      <c r="B14" s="162"/>
      <c r="C14" s="163"/>
      <c r="D14" s="162"/>
      <c r="E14" s="162"/>
      <c r="F14" s="162"/>
      <c r="G14" s="162"/>
      <c r="H14" s="162"/>
      <c r="I14" s="162"/>
      <c r="J14" s="162"/>
      <c r="K14" s="162"/>
      <c r="L14" s="162"/>
      <c r="M14" s="162"/>
      <c r="N14" s="162"/>
      <c r="O14" s="162"/>
      <c r="P14" s="27"/>
      <c r="Q14" s="27"/>
    </row>
    <row r="15" spans="1:17">
      <c r="A15" s="162"/>
      <c r="B15" s="181">
        <v>2022</v>
      </c>
      <c r="C15" s="163">
        <v>0</v>
      </c>
      <c r="D15" s="162">
        <v>0</v>
      </c>
      <c r="E15" s="162">
        <v>0</v>
      </c>
      <c r="F15" s="162">
        <v>0</v>
      </c>
      <c r="G15" s="162">
        <v>0</v>
      </c>
      <c r="H15" s="162">
        <v>0</v>
      </c>
      <c r="I15" s="162">
        <v>0</v>
      </c>
      <c r="J15" s="162">
        <v>0</v>
      </c>
      <c r="K15" s="162">
        <v>0</v>
      </c>
      <c r="L15" s="162">
        <v>1</v>
      </c>
      <c r="M15" s="162">
        <v>0</v>
      </c>
      <c r="N15" s="162">
        <v>0</v>
      </c>
      <c r="O15" s="162">
        <v>0</v>
      </c>
      <c r="P15" s="27"/>
      <c r="Q15" s="27"/>
    </row>
    <row r="16" spans="1:17">
      <c r="A16" s="181"/>
      <c r="B16" s="162"/>
      <c r="C16" s="163"/>
      <c r="D16" s="162"/>
      <c r="E16" s="162"/>
      <c r="F16" s="162"/>
      <c r="G16" s="162"/>
      <c r="H16" s="162"/>
      <c r="I16" s="162"/>
      <c r="J16" s="162"/>
      <c r="K16" s="162"/>
      <c r="L16" s="162"/>
      <c r="M16" s="162"/>
      <c r="N16" s="162"/>
      <c r="O16" s="162"/>
      <c r="P16" s="27"/>
      <c r="Q16" s="27"/>
    </row>
    <row r="17" spans="1:17">
      <c r="A17" s="181" t="s">
        <v>397</v>
      </c>
      <c r="B17" s="162"/>
      <c r="C17" s="163"/>
      <c r="D17" s="162"/>
      <c r="E17" s="162"/>
      <c r="F17" s="162"/>
      <c r="G17" s="162"/>
      <c r="H17" s="162"/>
      <c r="I17" s="162"/>
      <c r="J17" s="162"/>
      <c r="K17" s="162"/>
      <c r="L17" s="162"/>
      <c r="M17" s="162"/>
      <c r="N17" s="162"/>
      <c r="O17" s="162"/>
      <c r="P17" s="27"/>
      <c r="Q17" s="27"/>
    </row>
    <row r="18" spans="1:17">
      <c r="A18" s="162"/>
      <c r="B18" s="181">
        <v>2023</v>
      </c>
      <c r="C18" s="163">
        <v>11</v>
      </c>
      <c r="D18" s="162">
        <v>0</v>
      </c>
      <c r="E18" s="162">
        <v>2</v>
      </c>
      <c r="F18" s="162">
        <v>0</v>
      </c>
      <c r="G18" s="162">
        <v>8</v>
      </c>
      <c r="H18" s="162">
        <v>1</v>
      </c>
      <c r="I18" s="162">
        <v>0</v>
      </c>
      <c r="J18" s="162">
        <v>0</v>
      </c>
      <c r="K18" s="162">
        <v>0</v>
      </c>
      <c r="L18" s="162">
        <v>0</v>
      </c>
      <c r="M18" s="162">
        <v>0</v>
      </c>
      <c r="N18" s="162">
        <v>0</v>
      </c>
      <c r="O18" s="162">
        <v>0</v>
      </c>
      <c r="P18" s="27"/>
      <c r="Q18" s="27"/>
    </row>
    <row r="19" spans="1:17">
      <c r="A19" s="162"/>
      <c r="B19" s="181">
        <v>2022</v>
      </c>
      <c r="C19" s="163">
        <v>5</v>
      </c>
      <c r="D19" s="162">
        <v>1</v>
      </c>
      <c r="E19" s="162">
        <v>0</v>
      </c>
      <c r="F19" s="162">
        <v>2</v>
      </c>
      <c r="G19" s="162">
        <v>1</v>
      </c>
      <c r="H19" s="162">
        <v>1</v>
      </c>
      <c r="I19" s="162">
        <v>1</v>
      </c>
      <c r="J19" s="162">
        <v>1</v>
      </c>
      <c r="K19" s="162">
        <v>0</v>
      </c>
      <c r="L19" s="162">
        <v>0</v>
      </c>
      <c r="M19" s="162">
        <v>3</v>
      </c>
      <c r="N19" s="162">
        <v>0</v>
      </c>
      <c r="O19" s="162">
        <v>0</v>
      </c>
      <c r="P19" s="27"/>
      <c r="Q19" s="27"/>
    </row>
    <row r="20" spans="1:17">
      <c r="A20" s="181"/>
      <c r="B20" s="162"/>
      <c r="C20" s="163"/>
      <c r="D20" s="162"/>
      <c r="E20" s="162"/>
      <c r="F20" s="162"/>
      <c r="G20" s="162"/>
      <c r="H20" s="162"/>
      <c r="I20" s="162"/>
      <c r="J20" s="162"/>
      <c r="K20" s="162"/>
      <c r="L20" s="162"/>
      <c r="M20" s="162"/>
      <c r="N20" s="162"/>
      <c r="O20" s="162"/>
      <c r="P20" s="27"/>
      <c r="Q20" s="27"/>
    </row>
    <row r="21" spans="1:17">
      <c r="A21" s="181" t="s">
        <v>492</v>
      </c>
      <c r="B21" s="162"/>
      <c r="C21" s="163"/>
      <c r="D21" s="162"/>
      <c r="E21" s="162"/>
      <c r="F21" s="162"/>
      <c r="G21" s="162"/>
      <c r="H21" s="162"/>
      <c r="I21" s="162"/>
      <c r="J21" s="162"/>
      <c r="K21" s="162"/>
      <c r="L21" s="162"/>
      <c r="M21" s="162"/>
      <c r="N21" s="162"/>
      <c r="O21" s="162"/>
      <c r="P21" s="27"/>
      <c r="Q21" s="27"/>
    </row>
    <row r="22" spans="1:17">
      <c r="A22" s="162"/>
      <c r="B22" s="181">
        <v>2023</v>
      </c>
      <c r="C22" s="163">
        <v>11</v>
      </c>
      <c r="D22" s="162">
        <v>2</v>
      </c>
      <c r="E22" s="162">
        <v>4</v>
      </c>
      <c r="F22" s="162">
        <v>1</v>
      </c>
      <c r="G22" s="162">
        <v>1</v>
      </c>
      <c r="H22" s="162">
        <v>3</v>
      </c>
      <c r="I22" s="162">
        <v>0</v>
      </c>
      <c r="J22" s="162">
        <v>0</v>
      </c>
      <c r="K22" s="162">
        <v>0</v>
      </c>
      <c r="L22" s="162">
        <v>0</v>
      </c>
      <c r="M22" s="162">
        <v>0</v>
      </c>
      <c r="N22" s="162">
        <v>0</v>
      </c>
      <c r="O22" s="162">
        <v>0</v>
      </c>
      <c r="P22" s="27"/>
      <c r="Q22" s="27"/>
    </row>
    <row r="23" spans="1:17">
      <c r="A23" s="162"/>
      <c r="B23" s="181">
        <v>2022</v>
      </c>
      <c r="C23" s="163">
        <v>1</v>
      </c>
      <c r="D23" s="162">
        <v>0</v>
      </c>
      <c r="E23" s="162">
        <v>0</v>
      </c>
      <c r="F23" s="162">
        <v>0</v>
      </c>
      <c r="G23" s="162">
        <v>1</v>
      </c>
      <c r="H23" s="162">
        <v>0</v>
      </c>
      <c r="I23" s="162">
        <v>0</v>
      </c>
      <c r="J23" s="162">
        <v>0</v>
      </c>
      <c r="K23" s="162">
        <v>0</v>
      </c>
      <c r="L23" s="162">
        <v>0</v>
      </c>
      <c r="M23" s="162">
        <v>0</v>
      </c>
      <c r="N23" s="162">
        <v>6</v>
      </c>
      <c r="O23" s="162">
        <v>5</v>
      </c>
      <c r="P23" s="27"/>
      <c r="Q23" s="27"/>
    </row>
    <row r="24" spans="1:17">
      <c r="A24" s="181"/>
      <c r="B24" s="162"/>
      <c r="C24" s="163"/>
      <c r="D24" s="162"/>
      <c r="E24" s="162"/>
      <c r="F24" s="162"/>
      <c r="G24" s="162"/>
      <c r="H24" s="162"/>
      <c r="I24" s="162"/>
      <c r="J24" s="162"/>
      <c r="K24" s="162"/>
      <c r="L24" s="162"/>
      <c r="M24" s="162"/>
      <c r="N24" s="162"/>
      <c r="O24" s="162"/>
      <c r="P24" s="27"/>
      <c r="Q24" s="27"/>
    </row>
    <row r="25" spans="1:17">
      <c r="A25" s="181" t="s">
        <v>528</v>
      </c>
      <c r="B25" s="162"/>
      <c r="C25" s="163"/>
      <c r="D25" s="162"/>
      <c r="E25" s="162"/>
      <c r="F25" s="162"/>
      <c r="G25" s="162"/>
      <c r="H25" s="162"/>
      <c r="I25" s="162"/>
      <c r="J25" s="162"/>
      <c r="K25" s="162"/>
      <c r="L25" s="162"/>
      <c r="M25" s="162"/>
      <c r="N25" s="162"/>
      <c r="O25" s="162"/>
      <c r="P25" s="27"/>
      <c r="Q25" s="27"/>
    </row>
    <row r="26" spans="1:17">
      <c r="A26" s="162"/>
      <c r="B26" s="181">
        <v>2023</v>
      </c>
      <c r="C26" s="163">
        <v>6</v>
      </c>
      <c r="D26" s="162">
        <v>0</v>
      </c>
      <c r="E26" s="162">
        <v>0</v>
      </c>
      <c r="F26" s="162">
        <v>3</v>
      </c>
      <c r="G26" s="162">
        <v>3</v>
      </c>
      <c r="H26" s="162">
        <v>0</v>
      </c>
      <c r="I26" s="162">
        <v>0</v>
      </c>
      <c r="J26" s="162">
        <v>0</v>
      </c>
      <c r="K26" s="162">
        <v>0</v>
      </c>
      <c r="L26" s="162">
        <v>0</v>
      </c>
      <c r="M26" s="162">
        <v>0</v>
      </c>
      <c r="N26" s="162">
        <v>0</v>
      </c>
      <c r="O26" s="162">
        <v>0</v>
      </c>
      <c r="P26" s="27"/>
      <c r="Q26" s="27"/>
    </row>
    <row r="27" spans="1:17">
      <c r="A27" s="162"/>
      <c r="B27" s="181">
        <v>2022</v>
      </c>
      <c r="C27" s="163">
        <v>2</v>
      </c>
      <c r="D27" s="162">
        <v>1</v>
      </c>
      <c r="E27" s="162">
        <v>0</v>
      </c>
      <c r="F27" s="162">
        <v>0</v>
      </c>
      <c r="G27" s="162">
        <v>0</v>
      </c>
      <c r="H27" s="162">
        <v>1</v>
      </c>
      <c r="I27" s="162">
        <v>0</v>
      </c>
      <c r="J27" s="162">
        <v>0</v>
      </c>
      <c r="K27" s="162">
        <v>0</v>
      </c>
      <c r="L27" s="162">
        <v>1</v>
      </c>
      <c r="M27" s="162">
        <v>0</v>
      </c>
      <c r="N27" s="162">
        <v>0</v>
      </c>
      <c r="O27" s="162">
        <v>0</v>
      </c>
      <c r="P27" s="27"/>
      <c r="Q27" s="27"/>
    </row>
    <row r="28" spans="1:17">
      <c r="A28" s="181"/>
      <c r="B28" s="162"/>
      <c r="C28" s="163"/>
      <c r="D28" s="162"/>
      <c r="E28" s="162"/>
      <c r="F28" s="162"/>
      <c r="G28" s="162"/>
      <c r="H28" s="162"/>
      <c r="I28" s="162"/>
      <c r="J28" s="162"/>
      <c r="K28" s="162"/>
      <c r="L28" s="162"/>
      <c r="M28" s="162"/>
      <c r="N28" s="162"/>
      <c r="O28" s="162"/>
      <c r="P28" s="27"/>
      <c r="Q28" s="27"/>
    </row>
    <row r="29" spans="1:17">
      <c r="A29" s="181" t="s">
        <v>303</v>
      </c>
      <c r="B29" s="162"/>
      <c r="C29" s="163"/>
      <c r="D29" s="162"/>
      <c r="E29" s="162"/>
      <c r="F29" s="162"/>
      <c r="G29" s="162"/>
      <c r="H29" s="162"/>
      <c r="I29" s="162"/>
      <c r="J29" s="162"/>
      <c r="K29" s="162"/>
      <c r="L29" s="162"/>
      <c r="M29" s="162"/>
      <c r="N29" s="162"/>
      <c r="O29" s="162"/>
      <c r="P29" s="27"/>
      <c r="Q29" s="27"/>
    </row>
    <row r="30" spans="1:17">
      <c r="A30" s="162"/>
      <c r="B30" s="181">
        <v>2023</v>
      </c>
      <c r="C30" s="163">
        <v>32</v>
      </c>
      <c r="D30" s="162">
        <v>5</v>
      </c>
      <c r="E30" s="162">
        <v>14</v>
      </c>
      <c r="F30" s="162">
        <v>5</v>
      </c>
      <c r="G30" s="162">
        <v>9</v>
      </c>
      <c r="H30" s="162">
        <v>3</v>
      </c>
      <c r="I30" s="162">
        <v>0</v>
      </c>
      <c r="J30" s="162">
        <v>0</v>
      </c>
      <c r="K30" s="162">
        <v>0</v>
      </c>
      <c r="L30" s="162">
        <v>0</v>
      </c>
      <c r="M30" s="162">
        <v>0</v>
      </c>
      <c r="N30" s="162">
        <v>0</v>
      </c>
      <c r="O30" s="162">
        <v>0</v>
      </c>
      <c r="P30" s="27"/>
      <c r="Q30" s="27"/>
    </row>
    <row r="31" spans="1:17">
      <c r="A31" s="162"/>
      <c r="B31" s="181">
        <v>2022</v>
      </c>
      <c r="C31" s="163">
        <v>35</v>
      </c>
      <c r="D31" s="162">
        <v>4</v>
      </c>
      <c r="E31" s="162">
        <v>6</v>
      </c>
      <c r="F31" s="162">
        <v>3</v>
      </c>
      <c r="G31" s="162">
        <v>14</v>
      </c>
      <c r="H31" s="162">
        <v>8</v>
      </c>
      <c r="I31" s="162">
        <v>5</v>
      </c>
      <c r="J31" s="162">
        <v>2</v>
      </c>
      <c r="K31" s="162">
        <v>8</v>
      </c>
      <c r="L31" s="162">
        <v>0</v>
      </c>
      <c r="M31" s="162">
        <v>3</v>
      </c>
      <c r="N31" s="162">
        <v>4</v>
      </c>
      <c r="O31" s="162">
        <v>8</v>
      </c>
      <c r="P31" s="27"/>
      <c r="Q31" s="27"/>
    </row>
    <row r="32" spans="1:17">
      <c r="A32" s="181"/>
      <c r="B32" s="162"/>
      <c r="C32" s="163"/>
      <c r="D32" s="162"/>
      <c r="E32" s="162"/>
      <c r="F32" s="162"/>
      <c r="G32" s="162"/>
      <c r="H32" s="162"/>
      <c r="I32" s="162"/>
      <c r="J32" s="162"/>
      <c r="K32" s="162"/>
      <c r="L32" s="162"/>
      <c r="M32" s="162"/>
      <c r="N32" s="162"/>
      <c r="O32" s="162"/>
      <c r="P32" s="27"/>
      <c r="Q32" s="27"/>
    </row>
    <row r="33" spans="1:17">
      <c r="A33" s="181" t="s">
        <v>304</v>
      </c>
      <c r="B33" s="162"/>
      <c r="C33" s="163"/>
      <c r="D33" s="162"/>
      <c r="E33" s="162"/>
      <c r="F33" s="162"/>
      <c r="G33" s="162"/>
      <c r="H33" s="162"/>
      <c r="I33" s="162"/>
      <c r="J33" s="162"/>
      <c r="K33" s="162"/>
      <c r="L33" s="162"/>
      <c r="M33" s="162"/>
      <c r="N33" s="162"/>
      <c r="O33" s="162"/>
      <c r="P33" s="27"/>
      <c r="Q33" s="27"/>
    </row>
    <row r="34" spans="1:17">
      <c r="A34" s="162"/>
      <c r="B34" s="181">
        <v>2023</v>
      </c>
      <c r="C34" s="163">
        <v>6</v>
      </c>
      <c r="D34" s="162">
        <v>0</v>
      </c>
      <c r="E34" s="162">
        <v>3</v>
      </c>
      <c r="F34" s="162">
        <v>1</v>
      </c>
      <c r="G34" s="162">
        <v>2</v>
      </c>
      <c r="H34" s="162">
        <v>0</v>
      </c>
      <c r="I34" s="162">
        <v>0</v>
      </c>
      <c r="J34" s="162">
        <v>0</v>
      </c>
      <c r="K34" s="162">
        <v>0</v>
      </c>
      <c r="L34" s="162">
        <v>0</v>
      </c>
      <c r="M34" s="162">
        <v>0</v>
      </c>
      <c r="N34" s="162">
        <v>0</v>
      </c>
      <c r="O34" s="162">
        <v>0</v>
      </c>
      <c r="P34" s="27"/>
      <c r="Q34" s="27"/>
    </row>
    <row r="35" spans="1:17">
      <c r="A35" s="162"/>
      <c r="B35" s="181">
        <v>2022</v>
      </c>
      <c r="C35" s="163">
        <v>5</v>
      </c>
      <c r="D35" s="162">
        <v>1</v>
      </c>
      <c r="E35" s="162">
        <v>1</v>
      </c>
      <c r="F35" s="162">
        <v>1</v>
      </c>
      <c r="G35" s="162">
        <v>0</v>
      </c>
      <c r="H35" s="162">
        <v>2</v>
      </c>
      <c r="I35" s="162">
        <v>0</v>
      </c>
      <c r="J35" s="162">
        <v>0</v>
      </c>
      <c r="K35" s="162">
        <v>1</v>
      </c>
      <c r="L35" s="162">
        <v>0</v>
      </c>
      <c r="M35" s="162">
        <v>1</v>
      </c>
      <c r="N35" s="162">
        <v>1</v>
      </c>
      <c r="O35" s="162">
        <v>1</v>
      </c>
      <c r="P35" s="27"/>
      <c r="Q35" s="27"/>
    </row>
    <row r="36" spans="1:17">
      <c r="A36" s="181"/>
      <c r="B36" s="162"/>
      <c r="C36" s="163"/>
      <c r="D36" s="162"/>
      <c r="E36" s="162"/>
      <c r="F36" s="162"/>
      <c r="G36" s="162"/>
      <c r="H36" s="162"/>
      <c r="I36" s="162"/>
      <c r="J36" s="162"/>
      <c r="K36" s="162"/>
      <c r="L36" s="162"/>
      <c r="M36" s="162"/>
      <c r="N36" s="162"/>
      <c r="O36" s="162"/>
      <c r="P36" s="27"/>
      <c r="Q36" s="27"/>
    </row>
    <row r="37" spans="1:17">
      <c r="A37" s="181" t="s">
        <v>527</v>
      </c>
      <c r="B37" s="162"/>
      <c r="C37" s="163"/>
      <c r="D37" s="162"/>
      <c r="E37" s="162"/>
      <c r="F37" s="162"/>
      <c r="G37" s="162"/>
      <c r="H37" s="162"/>
      <c r="I37" s="162"/>
      <c r="J37" s="162"/>
      <c r="K37" s="162"/>
      <c r="L37" s="162"/>
      <c r="M37" s="162"/>
      <c r="N37" s="162"/>
      <c r="O37" s="162"/>
      <c r="P37" s="27"/>
      <c r="Q37" s="27"/>
    </row>
    <row r="38" spans="1:17">
      <c r="A38" s="162"/>
      <c r="B38" s="181">
        <v>2023</v>
      </c>
      <c r="C38" s="163">
        <v>67</v>
      </c>
      <c r="D38" s="162">
        <v>7</v>
      </c>
      <c r="E38" s="162">
        <v>23</v>
      </c>
      <c r="F38" s="162">
        <v>10</v>
      </c>
      <c r="G38" s="162">
        <v>23</v>
      </c>
      <c r="H38" s="162">
        <v>8</v>
      </c>
      <c r="I38" s="162">
        <v>0</v>
      </c>
      <c r="J38" s="162">
        <v>0</v>
      </c>
      <c r="K38" s="162">
        <v>0</v>
      </c>
      <c r="L38" s="162">
        <v>0</v>
      </c>
      <c r="M38" s="162">
        <v>0</v>
      </c>
      <c r="N38" s="162">
        <v>0</v>
      </c>
      <c r="O38" s="162">
        <v>0</v>
      </c>
      <c r="P38" s="27"/>
      <c r="Q38" s="27"/>
    </row>
    <row r="39" spans="1:17">
      <c r="A39" s="162"/>
      <c r="B39" s="181">
        <v>2022</v>
      </c>
      <c r="C39" s="163">
        <v>51</v>
      </c>
      <c r="D39" s="162">
        <v>7</v>
      </c>
      <c r="E39" s="162">
        <v>8</v>
      </c>
      <c r="F39" s="162">
        <v>6</v>
      </c>
      <c r="G39" s="162">
        <v>17</v>
      </c>
      <c r="H39" s="162">
        <v>13</v>
      </c>
      <c r="I39" s="162">
        <v>6</v>
      </c>
      <c r="J39" s="162">
        <v>3</v>
      </c>
      <c r="K39" s="162">
        <v>9</v>
      </c>
      <c r="L39" s="162">
        <v>2</v>
      </c>
      <c r="M39" s="162">
        <v>7</v>
      </c>
      <c r="N39" s="162">
        <v>11</v>
      </c>
      <c r="O39" s="162">
        <v>14</v>
      </c>
      <c r="P39" s="27"/>
      <c r="Q39" s="27"/>
    </row>
    <row r="40" spans="1:17">
      <c r="A40" s="181"/>
      <c r="B40" s="162"/>
      <c r="C40" s="163"/>
      <c r="D40" s="162"/>
      <c r="E40" s="162"/>
      <c r="F40" s="162"/>
      <c r="G40" s="162"/>
      <c r="H40" s="162"/>
      <c r="I40" s="162"/>
      <c r="J40" s="162"/>
      <c r="K40" s="162"/>
      <c r="L40" s="162"/>
      <c r="M40" s="162"/>
      <c r="N40" s="162"/>
      <c r="O40" s="162"/>
      <c r="P40" s="27"/>
      <c r="Q40" s="27"/>
    </row>
    <row r="41" spans="1:17">
      <c r="P41" s="27"/>
      <c r="Q41" s="27"/>
    </row>
    <row r="42" spans="1:17">
      <c r="A42" s="27"/>
      <c r="P42" s="27"/>
      <c r="Q42" s="27"/>
    </row>
    <row r="43" spans="1:17">
      <c r="P43" s="27"/>
      <c r="Q43" s="27"/>
    </row>
    <row r="44" spans="1:17">
      <c r="P44" s="27"/>
      <c r="Q44" s="27"/>
    </row>
    <row r="45" spans="1:17">
      <c r="P45" s="27"/>
      <c r="Q45" s="27"/>
    </row>
    <row r="46" spans="1:17">
      <c r="P46" s="27"/>
      <c r="Q46" s="27"/>
    </row>
    <row r="47" spans="1:17">
      <c r="P47" s="27"/>
      <c r="Q47" s="27"/>
    </row>
    <row r="48" spans="1:17">
      <c r="A48" t="s">
        <v>705</v>
      </c>
      <c r="P48" s="27"/>
      <c r="Q48" s="27"/>
    </row>
    <row r="49" spans="1:17">
      <c r="P49" s="27"/>
      <c r="Q49" s="27"/>
    </row>
    <row r="50" spans="1:17">
      <c r="P50" s="27"/>
      <c r="Q50" s="27"/>
    </row>
    <row r="51" spans="1:17">
      <c r="B51" s="27"/>
      <c r="C51" s="27"/>
      <c r="D51" s="27"/>
      <c r="E51" s="27"/>
      <c r="F51" s="27"/>
      <c r="G51" s="27"/>
      <c r="H51" s="27"/>
      <c r="I51" s="27"/>
      <c r="J51" s="27"/>
      <c r="K51" s="27"/>
      <c r="L51" s="27"/>
      <c r="M51" s="27"/>
      <c r="N51" s="27"/>
      <c r="O51" s="27"/>
      <c r="P51" s="27"/>
      <c r="Q51" s="27"/>
    </row>
    <row r="52" spans="1:17">
      <c r="A52" s="27"/>
      <c r="B52" s="27"/>
      <c r="C52" s="27"/>
      <c r="D52" s="27"/>
      <c r="E52" s="27"/>
      <c r="F52" s="27"/>
      <c r="G52" s="27"/>
      <c r="H52" s="27"/>
      <c r="I52" s="27"/>
      <c r="J52" s="27"/>
      <c r="K52" s="27"/>
      <c r="L52" s="27"/>
      <c r="M52" s="27"/>
      <c r="N52" s="27"/>
      <c r="O52" s="27"/>
      <c r="P52" s="27"/>
      <c r="Q52" s="27"/>
    </row>
    <row r="53" spans="1:17">
      <c r="A53" s="27"/>
      <c r="B53" s="27"/>
      <c r="C53" s="27"/>
      <c r="D53" s="27"/>
      <c r="E53" s="27"/>
      <c r="F53" s="27"/>
      <c r="G53" s="27"/>
      <c r="H53" s="27"/>
      <c r="I53" s="27"/>
      <c r="J53" s="27"/>
      <c r="K53" s="27"/>
      <c r="L53" s="27"/>
      <c r="M53" s="27"/>
      <c r="N53" s="27"/>
      <c r="O53" s="27"/>
      <c r="P53" s="27"/>
      <c r="Q53" s="27"/>
    </row>
    <row r="54" spans="1:17">
      <c r="A54" s="27"/>
      <c r="B54" s="27"/>
      <c r="C54" s="27"/>
      <c r="D54" s="27"/>
      <c r="E54" s="27"/>
      <c r="F54" s="27"/>
      <c r="G54" s="27"/>
      <c r="H54" s="27"/>
      <c r="I54" s="27"/>
      <c r="J54" s="27"/>
      <c r="K54" s="27"/>
      <c r="L54" s="27"/>
      <c r="M54" s="27"/>
      <c r="N54" s="27"/>
      <c r="O54" s="27"/>
      <c r="P54" s="27"/>
      <c r="Q54" s="27"/>
    </row>
    <row r="55" spans="1:17">
      <c r="A55" s="27"/>
      <c r="B55" s="27"/>
      <c r="C55" s="27"/>
      <c r="D55" s="27"/>
      <c r="E55" s="27"/>
      <c r="F55" s="27"/>
      <c r="G55" s="27"/>
      <c r="H55" s="27"/>
      <c r="I55" s="27"/>
      <c r="J55" s="27"/>
      <c r="K55" s="27"/>
      <c r="L55" s="27"/>
      <c r="M55" s="27"/>
      <c r="N55" s="27"/>
      <c r="O55" s="27"/>
      <c r="P55" s="27"/>
      <c r="Q55" s="27"/>
    </row>
    <row r="56" spans="1:17">
      <c r="A56" s="27"/>
      <c r="B56" s="27"/>
      <c r="C56" s="27"/>
      <c r="D56" s="27"/>
      <c r="E56" s="27"/>
      <c r="F56" s="27"/>
      <c r="G56" s="27"/>
      <c r="H56" s="27"/>
      <c r="I56" s="27"/>
      <c r="J56" s="27"/>
      <c r="K56" s="27"/>
      <c r="L56" s="27"/>
      <c r="M56" s="27"/>
      <c r="N56" s="27"/>
      <c r="O56" s="27"/>
      <c r="P56" s="27"/>
      <c r="Q56" s="27"/>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8" activePane="bottomLeft" state="frozen"/>
      <selection activeCell="D49" sqref="D49"/>
      <selection pane="bottomLeft" activeCell="E309" sqref="E309"/>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60" t="s">
        <v>471</v>
      </c>
      <c r="D2" s="60"/>
      <c r="E2" s="60"/>
      <c r="F2" s="60"/>
      <c r="G2" s="60"/>
    </row>
    <row r="4" spans="1:12">
      <c r="A4" s="8" t="s">
        <v>472</v>
      </c>
      <c r="B4" s="59"/>
      <c r="C4" s="69"/>
      <c r="D4" s="69"/>
      <c r="E4" s="27"/>
      <c r="F4" s="27"/>
      <c r="G4" s="27"/>
      <c r="H4" s="245" t="s">
        <v>473</v>
      </c>
      <c r="I4" s="245"/>
      <c r="J4" s="245"/>
      <c r="K4" s="245"/>
      <c r="L4" s="245"/>
    </row>
    <row r="5" spans="1:12">
      <c r="A5" s="110"/>
      <c r="B5" s="111"/>
      <c r="C5" s="248" t="s">
        <v>560</v>
      </c>
      <c r="D5" s="247"/>
      <c r="E5" s="248" t="s">
        <v>560</v>
      </c>
      <c r="F5" s="247"/>
      <c r="G5" s="249" t="s">
        <v>561</v>
      </c>
      <c r="H5" s="250"/>
      <c r="I5" s="246" t="s">
        <v>562</v>
      </c>
      <c r="J5" s="247"/>
      <c r="K5" s="246" t="s">
        <v>562</v>
      </c>
      <c r="L5" s="247"/>
    </row>
    <row r="6" spans="1:12">
      <c r="A6" s="110"/>
      <c r="B6" s="111" t="s">
        <v>474</v>
      </c>
      <c r="C6" s="112" t="str">
        <f>Innehåll!D79</f>
        <v xml:space="preserve"> 2023-05</v>
      </c>
      <c r="D6" s="112" t="str">
        <f>Innehåll!D80</f>
        <v xml:space="preserve"> 2022-05</v>
      </c>
      <c r="E6" s="112" t="str">
        <f>Innehåll!D81</f>
        <v>YTD  2023</v>
      </c>
      <c r="F6" s="112" t="str">
        <f>Innehåll!D82</f>
        <v>YTD  2022</v>
      </c>
      <c r="G6" s="113" t="str">
        <f>C6</f>
        <v xml:space="preserve"> 2023-05</v>
      </c>
      <c r="H6" s="114" t="str">
        <f>E6</f>
        <v>YTD  2023</v>
      </c>
      <c r="I6" s="112" t="str">
        <f>C6</f>
        <v xml:space="preserve"> 2023-05</v>
      </c>
      <c r="J6" s="115" t="str">
        <f>E6</f>
        <v>YTD  2023</v>
      </c>
      <c r="K6" s="116" t="str">
        <f>D6</f>
        <v xml:space="preserve"> 2022-05</v>
      </c>
      <c r="L6" s="116" t="str">
        <f>F6</f>
        <v>YTD  2022</v>
      </c>
    </row>
    <row r="7" spans="1:12" ht="15" hidden="1" customHeight="1">
      <c r="A7" s="59" t="s">
        <v>33</v>
      </c>
      <c r="B7" s="59" t="s">
        <v>34</v>
      </c>
      <c r="C7" s="59" t="s">
        <v>35</v>
      </c>
      <c r="D7" s="59" t="s">
        <v>36</v>
      </c>
      <c r="E7" s="59" t="s">
        <v>37</v>
      </c>
      <c r="F7" s="59" t="s">
        <v>38</v>
      </c>
      <c r="G7" s="59" t="s">
        <v>39</v>
      </c>
      <c r="H7" s="59" t="s">
        <v>40</v>
      </c>
      <c r="I7" s="59" t="s">
        <v>41</v>
      </c>
      <c r="J7" s="59" t="s">
        <v>42</v>
      </c>
      <c r="K7" s="59" t="s">
        <v>43</v>
      </c>
      <c r="L7" s="59" t="s">
        <v>44</v>
      </c>
    </row>
    <row r="8" spans="1:12">
      <c r="A8" s="59">
        <v>1</v>
      </c>
      <c r="B8" s="59" t="s">
        <v>627</v>
      </c>
      <c r="C8" s="59">
        <v>1903</v>
      </c>
      <c r="D8" s="59">
        <v>312</v>
      </c>
      <c r="E8" s="59">
        <v>6165</v>
      </c>
      <c r="F8" s="59">
        <v>2271</v>
      </c>
      <c r="G8" s="59">
        <v>509.94</v>
      </c>
      <c r="H8" s="59">
        <v>171.47</v>
      </c>
      <c r="I8" s="59">
        <v>6.68</v>
      </c>
      <c r="J8" s="59">
        <v>5.49</v>
      </c>
      <c r="K8" s="59">
        <v>1.18</v>
      </c>
      <c r="L8" s="59">
        <v>1.92</v>
      </c>
    </row>
    <row r="9" spans="1:12">
      <c r="A9" s="59">
        <v>2</v>
      </c>
      <c r="B9" s="59" t="s">
        <v>52</v>
      </c>
      <c r="C9" s="59">
        <v>1459</v>
      </c>
      <c r="D9" s="59">
        <v>1055</v>
      </c>
      <c r="E9" s="59">
        <v>5590</v>
      </c>
      <c r="F9" s="59">
        <v>6136</v>
      </c>
      <c r="G9" s="59">
        <v>38.29</v>
      </c>
      <c r="H9" s="59">
        <v>-8.9</v>
      </c>
      <c r="I9" s="59">
        <v>5.12</v>
      </c>
      <c r="J9" s="59">
        <v>4.97</v>
      </c>
      <c r="K9" s="59">
        <v>3.99</v>
      </c>
      <c r="L9" s="59">
        <v>5.2</v>
      </c>
    </row>
    <row r="10" spans="1:12">
      <c r="A10" s="59">
        <v>3</v>
      </c>
      <c r="B10" s="59" t="s">
        <v>48</v>
      </c>
      <c r="C10" s="59">
        <v>1111</v>
      </c>
      <c r="D10" s="59">
        <v>711</v>
      </c>
      <c r="E10" s="59">
        <v>4505</v>
      </c>
      <c r="F10" s="59">
        <v>4685</v>
      </c>
      <c r="G10" s="59">
        <v>56.26</v>
      </c>
      <c r="H10" s="59">
        <v>-3.84</v>
      </c>
      <c r="I10" s="59">
        <v>3.9</v>
      </c>
      <c r="J10" s="59">
        <v>4.01</v>
      </c>
      <c r="K10" s="59">
        <v>2.69</v>
      </c>
      <c r="L10" s="59">
        <v>3.97</v>
      </c>
    </row>
    <row r="11" spans="1:12">
      <c r="A11" s="59">
        <v>4</v>
      </c>
      <c r="B11" s="59" t="s">
        <v>503</v>
      </c>
      <c r="C11" s="59">
        <v>837</v>
      </c>
      <c r="D11" s="59">
        <v>658</v>
      </c>
      <c r="E11" s="59">
        <v>3390</v>
      </c>
      <c r="F11" s="59">
        <v>3100</v>
      </c>
      <c r="G11" s="59">
        <v>27.2</v>
      </c>
      <c r="H11" s="59">
        <v>9.35</v>
      </c>
      <c r="I11" s="59">
        <v>2.94</v>
      </c>
      <c r="J11" s="59">
        <v>3.02</v>
      </c>
      <c r="K11" s="59">
        <v>2.4900000000000002</v>
      </c>
      <c r="L11" s="59">
        <v>2.63</v>
      </c>
    </row>
    <row r="12" spans="1:12">
      <c r="A12" s="59">
        <v>5</v>
      </c>
      <c r="B12" s="59" t="s">
        <v>45</v>
      </c>
      <c r="C12" s="59">
        <v>515</v>
      </c>
      <c r="D12" s="59">
        <v>1016</v>
      </c>
      <c r="E12" s="59">
        <v>2338</v>
      </c>
      <c r="F12" s="59">
        <v>4388</v>
      </c>
      <c r="G12" s="59">
        <v>-49.31</v>
      </c>
      <c r="H12" s="59">
        <v>-46.72</v>
      </c>
      <c r="I12" s="59">
        <v>1.81</v>
      </c>
      <c r="J12" s="59">
        <v>2.08</v>
      </c>
      <c r="K12" s="59">
        <v>3.85</v>
      </c>
      <c r="L12" s="59">
        <v>3.72</v>
      </c>
    </row>
    <row r="13" spans="1:12">
      <c r="A13" s="59">
        <v>6</v>
      </c>
      <c r="B13" s="59" t="s">
        <v>51</v>
      </c>
      <c r="C13" s="59">
        <v>580</v>
      </c>
      <c r="D13" s="59">
        <v>720</v>
      </c>
      <c r="E13" s="59">
        <v>2286</v>
      </c>
      <c r="F13" s="59">
        <v>4830</v>
      </c>
      <c r="G13" s="59">
        <v>-19.440000000000001</v>
      </c>
      <c r="H13" s="59">
        <v>-52.67</v>
      </c>
      <c r="I13" s="59">
        <v>2.04</v>
      </c>
      <c r="J13" s="59">
        <v>2.0299999999999998</v>
      </c>
      <c r="K13" s="59">
        <v>2.73</v>
      </c>
      <c r="L13" s="59">
        <v>4.09</v>
      </c>
    </row>
    <row r="14" spans="1:12">
      <c r="A14" s="59">
        <v>7</v>
      </c>
      <c r="B14" s="59" t="s">
        <v>655</v>
      </c>
      <c r="C14" s="59">
        <v>387</v>
      </c>
      <c r="D14" s="59">
        <v>296</v>
      </c>
      <c r="E14" s="59">
        <v>1997</v>
      </c>
      <c r="F14" s="59">
        <v>1489</v>
      </c>
      <c r="G14" s="59">
        <v>30.74</v>
      </c>
      <c r="H14" s="59">
        <v>34.119999999999997</v>
      </c>
      <c r="I14" s="59">
        <v>1.36</v>
      </c>
      <c r="J14" s="59">
        <v>1.78</v>
      </c>
      <c r="K14" s="59">
        <v>1.1200000000000001</v>
      </c>
      <c r="L14" s="59">
        <v>1.26</v>
      </c>
    </row>
    <row r="15" spans="1:12">
      <c r="A15" s="59">
        <v>8</v>
      </c>
      <c r="B15" s="59" t="s">
        <v>234</v>
      </c>
      <c r="C15" s="59">
        <v>372</v>
      </c>
      <c r="D15" s="59">
        <v>1063</v>
      </c>
      <c r="E15" s="59">
        <v>1991</v>
      </c>
      <c r="F15" s="59">
        <v>3878</v>
      </c>
      <c r="G15" s="59">
        <v>-65</v>
      </c>
      <c r="H15" s="59">
        <v>-48.66</v>
      </c>
      <c r="I15" s="59">
        <v>1.31</v>
      </c>
      <c r="J15" s="59">
        <v>1.77</v>
      </c>
      <c r="K15" s="59">
        <v>4.0199999999999996</v>
      </c>
      <c r="L15" s="59">
        <v>3.28</v>
      </c>
    </row>
    <row r="16" spans="1:12">
      <c r="A16" s="59">
        <v>9</v>
      </c>
      <c r="B16" s="59" t="s">
        <v>59</v>
      </c>
      <c r="C16" s="59">
        <v>539</v>
      </c>
      <c r="D16" s="59">
        <v>491</v>
      </c>
      <c r="E16" s="59">
        <v>1864</v>
      </c>
      <c r="F16" s="59">
        <v>2709</v>
      </c>
      <c r="G16" s="59">
        <v>9.7799999999999994</v>
      </c>
      <c r="H16" s="59">
        <v>-31.19</v>
      </c>
      <c r="I16" s="59">
        <v>1.89</v>
      </c>
      <c r="J16" s="59">
        <v>1.66</v>
      </c>
      <c r="K16" s="59">
        <v>1.86</v>
      </c>
      <c r="L16" s="59">
        <v>2.29</v>
      </c>
    </row>
    <row r="17" spans="1:12">
      <c r="A17" s="59">
        <v>10</v>
      </c>
      <c r="B17" s="59" t="s">
        <v>95</v>
      </c>
      <c r="C17" s="59">
        <v>366</v>
      </c>
      <c r="D17" s="59">
        <v>482</v>
      </c>
      <c r="E17" s="59">
        <v>1792</v>
      </c>
      <c r="F17" s="59">
        <v>1380</v>
      </c>
      <c r="G17" s="59">
        <v>-24.07</v>
      </c>
      <c r="H17" s="59">
        <v>29.86</v>
      </c>
      <c r="I17" s="59">
        <v>1.28</v>
      </c>
      <c r="J17" s="59">
        <v>1.59</v>
      </c>
      <c r="K17" s="59">
        <v>1.82</v>
      </c>
      <c r="L17" s="59">
        <v>1.17</v>
      </c>
    </row>
    <row r="18" spans="1:12">
      <c r="A18" s="59">
        <v>11</v>
      </c>
      <c r="B18" s="59" t="s">
        <v>654</v>
      </c>
      <c r="C18" s="59">
        <v>286</v>
      </c>
      <c r="D18" s="59">
        <v>304</v>
      </c>
      <c r="E18" s="59">
        <v>1729</v>
      </c>
      <c r="F18" s="59">
        <v>1238</v>
      </c>
      <c r="G18" s="59">
        <v>-5.92</v>
      </c>
      <c r="H18" s="59">
        <v>39.659999999999997</v>
      </c>
      <c r="I18" s="59">
        <v>1</v>
      </c>
      <c r="J18" s="59">
        <v>1.54</v>
      </c>
      <c r="K18" s="59">
        <v>1.1499999999999999</v>
      </c>
      <c r="L18" s="59">
        <v>1.05</v>
      </c>
    </row>
    <row r="19" spans="1:12">
      <c r="A19" s="59">
        <v>12</v>
      </c>
      <c r="B19" s="59" t="s">
        <v>592</v>
      </c>
      <c r="C19" s="59">
        <v>518</v>
      </c>
      <c r="D19" s="59">
        <v>391</v>
      </c>
      <c r="E19" s="59">
        <v>1675</v>
      </c>
      <c r="F19" s="59">
        <v>1190</v>
      </c>
      <c r="G19" s="59">
        <v>32.479999999999997</v>
      </c>
      <c r="H19" s="59">
        <v>40.76</v>
      </c>
      <c r="I19" s="59">
        <v>1.82</v>
      </c>
      <c r="J19" s="59">
        <v>1.49</v>
      </c>
      <c r="K19" s="59">
        <v>1.48</v>
      </c>
      <c r="L19" s="59">
        <v>1.01</v>
      </c>
    </row>
    <row r="20" spans="1:12">
      <c r="A20" s="59">
        <v>13</v>
      </c>
      <c r="B20" s="59" t="s">
        <v>659</v>
      </c>
      <c r="C20" s="59">
        <v>556</v>
      </c>
      <c r="D20" s="59">
        <v>50</v>
      </c>
      <c r="E20" s="59">
        <v>1658</v>
      </c>
      <c r="F20" s="59">
        <v>343</v>
      </c>
      <c r="G20" s="59">
        <v>1012</v>
      </c>
      <c r="H20" s="59">
        <v>383.38</v>
      </c>
      <c r="I20" s="59">
        <v>1.95</v>
      </c>
      <c r="J20" s="59">
        <v>1.48</v>
      </c>
      <c r="K20" s="59">
        <v>0.19</v>
      </c>
      <c r="L20" s="59">
        <v>0.28999999999999998</v>
      </c>
    </row>
    <row r="21" spans="1:12">
      <c r="A21" s="59">
        <v>14</v>
      </c>
      <c r="B21" s="59" t="s">
        <v>46</v>
      </c>
      <c r="C21" s="59">
        <v>536</v>
      </c>
      <c r="D21" s="59">
        <v>604</v>
      </c>
      <c r="E21" s="59">
        <v>1563</v>
      </c>
      <c r="F21" s="59">
        <v>2769</v>
      </c>
      <c r="G21" s="59">
        <v>-11.26</v>
      </c>
      <c r="H21" s="59">
        <v>-43.55</v>
      </c>
      <c r="I21" s="59">
        <v>1.88</v>
      </c>
      <c r="J21" s="59">
        <v>1.39</v>
      </c>
      <c r="K21" s="59">
        <v>2.29</v>
      </c>
      <c r="L21" s="59">
        <v>2.34</v>
      </c>
    </row>
    <row r="22" spans="1:12">
      <c r="A22" s="59">
        <v>15</v>
      </c>
      <c r="B22" s="59" t="s">
        <v>54</v>
      </c>
      <c r="C22" s="59">
        <v>294</v>
      </c>
      <c r="D22" s="59">
        <v>465</v>
      </c>
      <c r="E22" s="59">
        <v>1419</v>
      </c>
      <c r="F22" s="59">
        <v>2480</v>
      </c>
      <c r="G22" s="59">
        <v>-36.770000000000003</v>
      </c>
      <c r="H22" s="59">
        <v>-42.78</v>
      </c>
      <c r="I22" s="59">
        <v>1.03</v>
      </c>
      <c r="J22" s="59">
        <v>1.26</v>
      </c>
      <c r="K22" s="59">
        <v>1.76</v>
      </c>
      <c r="L22" s="59">
        <v>2.1</v>
      </c>
    </row>
    <row r="23" spans="1:12">
      <c r="A23" s="59">
        <v>16</v>
      </c>
      <c r="B23" s="59" t="s">
        <v>56</v>
      </c>
      <c r="C23" s="59">
        <v>424</v>
      </c>
      <c r="D23" s="59">
        <v>354</v>
      </c>
      <c r="E23" s="59">
        <v>1389</v>
      </c>
      <c r="F23" s="59">
        <v>1522</v>
      </c>
      <c r="G23" s="59">
        <v>19.77</v>
      </c>
      <c r="H23" s="59">
        <v>-8.74</v>
      </c>
      <c r="I23" s="59">
        <v>1.49</v>
      </c>
      <c r="J23" s="59">
        <v>1.24</v>
      </c>
      <c r="K23" s="59">
        <v>1.34</v>
      </c>
      <c r="L23" s="59">
        <v>1.29</v>
      </c>
    </row>
    <row r="24" spans="1:12">
      <c r="A24" s="59">
        <v>17</v>
      </c>
      <c r="B24" s="59" t="s">
        <v>411</v>
      </c>
      <c r="C24" s="59">
        <v>695</v>
      </c>
      <c r="D24" s="59">
        <v>315</v>
      </c>
      <c r="E24" s="59">
        <v>1339</v>
      </c>
      <c r="F24" s="59">
        <v>1999</v>
      </c>
      <c r="G24" s="59">
        <v>120.63</v>
      </c>
      <c r="H24" s="59">
        <v>-33.020000000000003</v>
      </c>
      <c r="I24" s="59">
        <v>2.44</v>
      </c>
      <c r="J24" s="59">
        <v>1.19</v>
      </c>
      <c r="K24" s="59">
        <v>1.19</v>
      </c>
      <c r="L24" s="59">
        <v>1.69</v>
      </c>
    </row>
    <row r="25" spans="1:12">
      <c r="A25" s="59">
        <v>18</v>
      </c>
      <c r="B25" s="59" t="s">
        <v>64</v>
      </c>
      <c r="C25" s="59">
        <v>188</v>
      </c>
      <c r="D25" s="59">
        <v>0</v>
      </c>
      <c r="E25" s="59">
        <v>1254</v>
      </c>
      <c r="F25" s="59">
        <v>1183</v>
      </c>
      <c r="G25" s="59">
        <v>0</v>
      </c>
      <c r="H25" s="59">
        <v>6</v>
      </c>
      <c r="I25" s="59">
        <v>0.66</v>
      </c>
      <c r="J25" s="59">
        <v>1.1200000000000001</v>
      </c>
      <c r="K25" s="59">
        <v>0</v>
      </c>
      <c r="L25" s="59">
        <v>1</v>
      </c>
    </row>
    <row r="26" spans="1:12">
      <c r="A26" s="59">
        <v>19</v>
      </c>
      <c r="B26" s="59" t="s">
        <v>436</v>
      </c>
      <c r="C26" s="59">
        <v>337</v>
      </c>
      <c r="D26" s="59">
        <v>135</v>
      </c>
      <c r="E26" s="59">
        <v>1229</v>
      </c>
      <c r="F26" s="59">
        <v>621</v>
      </c>
      <c r="G26" s="59">
        <v>149.63</v>
      </c>
      <c r="H26" s="59">
        <v>97.91</v>
      </c>
      <c r="I26" s="59">
        <v>1.18</v>
      </c>
      <c r="J26" s="59">
        <v>1.0900000000000001</v>
      </c>
      <c r="K26" s="59">
        <v>0.51</v>
      </c>
      <c r="L26" s="59">
        <v>0.53</v>
      </c>
    </row>
    <row r="27" spans="1:12">
      <c r="A27" s="59">
        <v>20</v>
      </c>
      <c r="B27" s="59" t="s">
        <v>93</v>
      </c>
      <c r="C27" s="59">
        <v>465</v>
      </c>
      <c r="D27" s="59">
        <v>756</v>
      </c>
      <c r="E27" s="59">
        <v>1207</v>
      </c>
      <c r="F27" s="59">
        <v>1848</v>
      </c>
      <c r="G27" s="59">
        <v>-38.49</v>
      </c>
      <c r="H27" s="59">
        <v>-34.69</v>
      </c>
      <c r="I27" s="59">
        <v>1.63</v>
      </c>
      <c r="J27" s="59">
        <v>1.07</v>
      </c>
      <c r="K27" s="59">
        <v>2.86</v>
      </c>
      <c r="L27" s="59">
        <v>1.56</v>
      </c>
    </row>
    <row r="28" spans="1:12">
      <c r="A28" s="59">
        <v>21</v>
      </c>
      <c r="B28" s="59" t="s">
        <v>669</v>
      </c>
      <c r="C28" s="59">
        <v>331</v>
      </c>
      <c r="D28" s="59">
        <v>155</v>
      </c>
      <c r="E28" s="59">
        <v>1198</v>
      </c>
      <c r="F28" s="59">
        <v>285</v>
      </c>
      <c r="G28" s="59">
        <v>113.55</v>
      </c>
      <c r="H28" s="59">
        <v>320.35000000000002</v>
      </c>
      <c r="I28" s="59">
        <v>1.1599999999999999</v>
      </c>
      <c r="J28" s="59">
        <v>1.07</v>
      </c>
      <c r="K28" s="59">
        <v>0.59</v>
      </c>
      <c r="L28" s="59">
        <v>0.24</v>
      </c>
    </row>
    <row r="29" spans="1:12">
      <c r="A29" s="59">
        <v>22</v>
      </c>
      <c r="B29" s="59" t="s">
        <v>47</v>
      </c>
      <c r="C29" s="59">
        <v>334</v>
      </c>
      <c r="D29" s="59">
        <v>338</v>
      </c>
      <c r="E29" s="59">
        <v>1157</v>
      </c>
      <c r="F29" s="59">
        <v>1134</v>
      </c>
      <c r="G29" s="59">
        <v>-1.18</v>
      </c>
      <c r="H29" s="59">
        <v>2.0299999999999998</v>
      </c>
      <c r="I29" s="59">
        <v>1.17</v>
      </c>
      <c r="J29" s="59">
        <v>1.03</v>
      </c>
      <c r="K29" s="59">
        <v>1.28</v>
      </c>
      <c r="L29" s="59">
        <v>0.96</v>
      </c>
    </row>
    <row r="30" spans="1:12">
      <c r="A30" s="59">
        <v>23</v>
      </c>
      <c r="B30" s="59" t="s">
        <v>73</v>
      </c>
      <c r="C30" s="59">
        <v>286</v>
      </c>
      <c r="D30" s="59">
        <v>160</v>
      </c>
      <c r="E30" s="59">
        <v>1156</v>
      </c>
      <c r="F30" s="59">
        <v>628</v>
      </c>
      <c r="G30" s="59">
        <v>78.75</v>
      </c>
      <c r="H30" s="59">
        <v>84.08</v>
      </c>
      <c r="I30" s="59">
        <v>1</v>
      </c>
      <c r="J30" s="59">
        <v>1.03</v>
      </c>
      <c r="K30" s="59">
        <v>0.61</v>
      </c>
      <c r="L30" s="59">
        <v>0.53</v>
      </c>
    </row>
    <row r="31" spans="1:12">
      <c r="A31" s="59">
        <v>24</v>
      </c>
      <c r="B31" s="59" t="s">
        <v>720</v>
      </c>
      <c r="C31" s="59">
        <v>277</v>
      </c>
      <c r="D31" s="59">
        <v>61</v>
      </c>
      <c r="E31" s="59">
        <v>1155</v>
      </c>
      <c r="F31" s="59">
        <v>163</v>
      </c>
      <c r="G31" s="59">
        <v>354.1</v>
      </c>
      <c r="H31" s="59">
        <v>608.59</v>
      </c>
      <c r="I31" s="59">
        <v>0.97</v>
      </c>
      <c r="J31" s="59">
        <v>1.03</v>
      </c>
      <c r="K31" s="59">
        <v>0.23</v>
      </c>
      <c r="L31" s="59">
        <v>0.14000000000000001</v>
      </c>
    </row>
    <row r="32" spans="1:12">
      <c r="A32" s="59">
        <v>25</v>
      </c>
      <c r="B32" s="59" t="s">
        <v>619</v>
      </c>
      <c r="C32" s="59">
        <v>387</v>
      </c>
      <c r="D32" s="59">
        <v>212</v>
      </c>
      <c r="E32" s="59">
        <v>1141</v>
      </c>
      <c r="F32" s="59">
        <v>990</v>
      </c>
      <c r="G32" s="59">
        <v>82.55</v>
      </c>
      <c r="H32" s="59">
        <v>15.25</v>
      </c>
      <c r="I32" s="59">
        <v>1.36</v>
      </c>
      <c r="J32" s="59">
        <v>1.02</v>
      </c>
      <c r="K32" s="59">
        <v>0.8</v>
      </c>
      <c r="L32" s="59">
        <v>0.84</v>
      </c>
    </row>
    <row r="33" spans="1:12">
      <c r="A33" s="59">
        <v>26</v>
      </c>
      <c r="B33" s="59" t="s">
        <v>63</v>
      </c>
      <c r="C33" s="59">
        <v>252</v>
      </c>
      <c r="D33" s="59">
        <v>105</v>
      </c>
      <c r="E33" s="59">
        <v>1133</v>
      </c>
      <c r="F33" s="59">
        <v>558</v>
      </c>
      <c r="G33" s="59">
        <v>140</v>
      </c>
      <c r="H33" s="59">
        <v>103.05</v>
      </c>
      <c r="I33" s="59">
        <v>0.88</v>
      </c>
      <c r="J33" s="59">
        <v>1.01</v>
      </c>
      <c r="K33" s="59">
        <v>0.4</v>
      </c>
      <c r="L33" s="59">
        <v>0.47</v>
      </c>
    </row>
    <row r="34" spans="1:12">
      <c r="A34" s="59">
        <v>27</v>
      </c>
      <c r="B34" s="59" t="s">
        <v>91</v>
      </c>
      <c r="C34" s="59">
        <v>262</v>
      </c>
      <c r="D34" s="59">
        <v>101</v>
      </c>
      <c r="E34" s="59">
        <v>1091</v>
      </c>
      <c r="F34" s="59">
        <v>778</v>
      </c>
      <c r="G34" s="59">
        <v>159.41</v>
      </c>
      <c r="H34" s="59">
        <v>40.229999999999997</v>
      </c>
      <c r="I34" s="59">
        <v>0.92</v>
      </c>
      <c r="J34" s="59">
        <v>0.97</v>
      </c>
      <c r="K34" s="59">
        <v>0.38</v>
      </c>
      <c r="L34" s="59">
        <v>0.66</v>
      </c>
    </row>
    <row r="35" spans="1:12">
      <c r="A35" s="59">
        <v>28</v>
      </c>
      <c r="B35" s="59" t="s">
        <v>76</v>
      </c>
      <c r="C35" s="59">
        <v>325</v>
      </c>
      <c r="D35" s="59">
        <v>174</v>
      </c>
      <c r="E35" s="59">
        <v>1048</v>
      </c>
      <c r="F35" s="59">
        <v>915</v>
      </c>
      <c r="G35" s="59">
        <v>86.78</v>
      </c>
      <c r="H35" s="59">
        <v>14.54</v>
      </c>
      <c r="I35" s="59">
        <v>1.1399999999999999</v>
      </c>
      <c r="J35" s="59">
        <v>0.93</v>
      </c>
      <c r="K35" s="59">
        <v>0.66</v>
      </c>
      <c r="L35" s="59">
        <v>0.77</v>
      </c>
    </row>
    <row r="36" spans="1:12">
      <c r="A36" s="59">
        <v>29</v>
      </c>
      <c r="B36" s="59" t="s">
        <v>80</v>
      </c>
      <c r="C36" s="59">
        <v>199</v>
      </c>
      <c r="D36" s="59">
        <v>470</v>
      </c>
      <c r="E36" s="59">
        <v>1036</v>
      </c>
      <c r="F36" s="59">
        <v>1631</v>
      </c>
      <c r="G36" s="59">
        <v>-57.66</v>
      </c>
      <c r="H36" s="59">
        <v>-36.479999999999997</v>
      </c>
      <c r="I36" s="59">
        <v>0.7</v>
      </c>
      <c r="J36" s="59">
        <v>0.92</v>
      </c>
      <c r="K36" s="59">
        <v>1.78</v>
      </c>
      <c r="L36" s="59">
        <v>1.38</v>
      </c>
    </row>
    <row r="37" spans="1:12">
      <c r="A37" s="59">
        <v>30</v>
      </c>
      <c r="B37" s="59" t="s">
        <v>1043</v>
      </c>
      <c r="C37" s="59">
        <v>154</v>
      </c>
      <c r="D37" s="59">
        <v>0</v>
      </c>
      <c r="E37" s="59">
        <v>1021</v>
      </c>
      <c r="F37" s="59">
        <v>0</v>
      </c>
      <c r="G37" s="59">
        <v>0</v>
      </c>
      <c r="H37" s="59">
        <v>0</v>
      </c>
      <c r="I37" s="59">
        <v>0.54</v>
      </c>
      <c r="J37" s="59">
        <v>0.91</v>
      </c>
      <c r="K37" s="59">
        <v>0</v>
      </c>
      <c r="L37" s="59">
        <v>0</v>
      </c>
    </row>
    <row r="38" spans="1:12">
      <c r="A38" s="59">
        <v>31</v>
      </c>
      <c r="B38" s="59" t="s">
        <v>61</v>
      </c>
      <c r="C38" s="59">
        <v>136</v>
      </c>
      <c r="D38" s="59">
        <v>392</v>
      </c>
      <c r="E38" s="59">
        <v>1003</v>
      </c>
      <c r="F38" s="59">
        <v>1554</v>
      </c>
      <c r="G38" s="59">
        <v>-65.31</v>
      </c>
      <c r="H38" s="59">
        <v>-35.46</v>
      </c>
      <c r="I38" s="59">
        <v>0.48</v>
      </c>
      <c r="J38" s="59">
        <v>0.89</v>
      </c>
      <c r="K38" s="59">
        <v>1.48</v>
      </c>
      <c r="L38" s="59">
        <v>1.32</v>
      </c>
    </row>
    <row r="39" spans="1:12">
      <c r="A39" s="59">
        <v>32</v>
      </c>
      <c r="B39" s="59" t="s">
        <v>65</v>
      </c>
      <c r="C39" s="59">
        <v>117</v>
      </c>
      <c r="D39" s="59">
        <v>102</v>
      </c>
      <c r="E39" s="59">
        <v>975</v>
      </c>
      <c r="F39" s="59">
        <v>871</v>
      </c>
      <c r="G39" s="59">
        <v>14.71</v>
      </c>
      <c r="H39" s="59">
        <v>11.94</v>
      </c>
      <c r="I39" s="59">
        <v>0.41</v>
      </c>
      <c r="J39" s="59">
        <v>0.87</v>
      </c>
      <c r="K39" s="59">
        <v>0.39</v>
      </c>
      <c r="L39" s="59">
        <v>0.74</v>
      </c>
    </row>
    <row r="40" spans="1:12">
      <c r="A40" s="59">
        <v>33</v>
      </c>
      <c r="B40" s="59" t="s">
        <v>55</v>
      </c>
      <c r="C40" s="59">
        <v>298</v>
      </c>
      <c r="D40" s="59">
        <v>140</v>
      </c>
      <c r="E40" s="59">
        <v>969</v>
      </c>
      <c r="F40" s="59">
        <v>963</v>
      </c>
      <c r="G40" s="59">
        <v>112.86</v>
      </c>
      <c r="H40" s="59">
        <v>0.62</v>
      </c>
      <c r="I40" s="59">
        <v>1.05</v>
      </c>
      <c r="J40" s="59">
        <v>0.86</v>
      </c>
      <c r="K40" s="59">
        <v>0.53</v>
      </c>
      <c r="L40" s="59">
        <v>0.82</v>
      </c>
    </row>
    <row r="41" spans="1:12">
      <c r="A41" s="59">
        <v>34</v>
      </c>
      <c r="B41" s="59" t="s">
        <v>50</v>
      </c>
      <c r="C41" s="59">
        <v>368</v>
      </c>
      <c r="D41" s="59">
        <v>645</v>
      </c>
      <c r="E41" s="59">
        <v>944</v>
      </c>
      <c r="F41" s="59">
        <v>2083</v>
      </c>
      <c r="G41" s="59">
        <v>-42.95</v>
      </c>
      <c r="H41" s="59">
        <v>-54.68</v>
      </c>
      <c r="I41" s="59">
        <v>1.29</v>
      </c>
      <c r="J41" s="59">
        <v>0.84</v>
      </c>
      <c r="K41" s="59">
        <v>2.44</v>
      </c>
      <c r="L41" s="59">
        <v>1.76</v>
      </c>
    </row>
    <row r="42" spans="1:12">
      <c r="A42" s="59">
        <v>35</v>
      </c>
      <c r="B42" s="59" t="s">
        <v>79</v>
      </c>
      <c r="C42" s="59">
        <v>154</v>
      </c>
      <c r="D42" s="59">
        <v>305</v>
      </c>
      <c r="E42" s="59">
        <v>845</v>
      </c>
      <c r="F42" s="59">
        <v>1086</v>
      </c>
      <c r="G42" s="59">
        <v>-49.51</v>
      </c>
      <c r="H42" s="59">
        <v>-22.19</v>
      </c>
      <c r="I42" s="59">
        <v>0.54</v>
      </c>
      <c r="J42" s="59">
        <v>0.75</v>
      </c>
      <c r="K42" s="59">
        <v>1.1499999999999999</v>
      </c>
      <c r="L42" s="59">
        <v>0.92</v>
      </c>
    </row>
    <row r="43" spans="1:12">
      <c r="A43" s="59">
        <v>36</v>
      </c>
      <c r="B43" s="59" t="s">
        <v>53</v>
      </c>
      <c r="C43" s="59">
        <v>127</v>
      </c>
      <c r="D43" s="59">
        <v>159</v>
      </c>
      <c r="E43" s="59">
        <v>834</v>
      </c>
      <c r="F43" s="59">
        <v>871</v>
      </c>
      <c r="G43" s="59">
        <v>-20.13</v>
      </c>
      <c r="H43" s="59">
        <v>-4.25</v>
      </c>
      <c r="I43" s="59">
        <v>0.45</v>
      </c>
      <c r="J43" s="59">
        <v>0.74</v>
      </c>
      <c r="K43" s="59">
        <v>0.6</v>
      </c>
      <c r="L43" s="59">
        <v>0.74</v>
      </c>
    </row>
    <row r="44" spans="1:12">
      <c r="A44" s="59">
        <v>37</v>
      </c>
      <c r="B44" s="59" t="s">
        <v>113</v>
      </c>
      <c r="C44" s="59">
        <v>119</v>
      </c>
      <c r="D44" s="59">
        <v>33</v>
      </c>
      <c r="E44" s="59">
        <v>826</v>
      </c>
      <c r="F44" s="59">
        <v>209</v>
      </c>
      <c r="G44" s="59">
        <v>260.61</v>
      </c>
      <c r="H44" s="59">
        <v>295.22000000000003</v>
      </c>
      <c r="I44" s="59">
        <v>0.42</v>
      </c>
      <c r="J44" s="59">
        <v>0.74</v>
      </c>
      <c r="K44" s="59">
        <v>0.12</v>
      </c>
      <c r="L44" s="59">
        <v>0.18</v>
      </c>
    </row>
    <row r="45" spans="1:12">
      <c r="A45" s="59">
        <v>38</v>
      </c>
      <c r="B45" s="59" t="s">
        <v>81</v>
      </c>
      <c r="C45" s="59">
        <v>177</v>
      </c>
      <c r="D45" s="59">
        <v>186</v>
      </c>
      <c r="E45" s="59">
        <v>819</v>
      </c>
      <c r="F45" s="59">
        <v>816</v>
      </c>
      <c r="G45" s="59">
        <v>-4.84</v>
      </c>
      <c r="H45" s="59">
        <v>0.37</v>
      </c>
      <c r="I45" s="59">
        <v>0.62</v>
      </c>
      <c r="J45" s="59">
        <v>0.73</v>
      </c>
      <c r="K45" s="59">
        <v>0.7</v>
      </c>
      <c r="L45" s="59">
        <v>0.69</v>
      </c>
    </row>
    <row r="46" spans="1:12">
      <c r="A46" s="59">
        <v>39</v>
      </c>
      <c r="B46" s="59" t="s">
        <v>60</v>
      </c>
      <c r="C46" s="59">
        <v>125</v>
      </c>
      <c r="D46" s="59">
        <v>157</v>
      </c>
      <c r="E46" s="59">
        <v>813</v>
      </c>
      <c r="F46" s="59">
        <v>1132</v>
      </c>
      <c r="G46" s="59">
        <v>-20.38</v>
      </c>
      <c r="H46" s="59">
        <v>-28.18</v>
      </c>
      <c r="I46" s="59">
        <v>0.44</v>
      </c>
      <c r="J46" s="59">
        <v>0.72</v>
      </c>
      <c r="K46" s="59">
        <v>0.59</v>
      </c>
      <c r="L46" s="59">
        <v>0.96</v>
      </c>
    </row>
    <row r="47" spans="1:12">
      <c r="A47" s="59">
        <v>40</v>
      </c>
      <c r="B47" s="59" t="s">
        <v>87</v>
      </c>
      <c r="C47" s="59">
        <v>215</v>
      </c>
      <c r="D47" s="59">
        <v>191</v>
      </c>
      <c r="E47" s="59">
        <v>810</v>
      </c>
      <c r="F47" s="59">
        <v>983</v>
      </c>
      <c r="G47" s="59">
        <v>12.57</v>
      </c>
      <c r="H47" s="59">
        <v>-17.600000000000001</v>
      </c>
      <c r="I47" s="59">
        <v>0.75</v>
      </c>
      <c r="J47" s="59">
        <v>0.72</v>
      </c>
      <c r="K47" s="59">
        <v>0.72</v>
      </c>
      <c r="L47" s="59">
        <v>0.83</v>
      </c>
    </row>
    <row r="48" spans="1:12">
      <c r="A48" s="59">
        <v>41</v>
      </c>
      <c r="B48" s="59" t="s">
        <v>58</v>
      </c>
      <c r="C48" s="59">
        <v>98</v>
      </c>
      <c r="D48" s="59">
        <v>220</v>
      </c>
      <c r="E48" s="59">
        <v>798</v>
      </c>
      <c r="F48" s="59">
        <v>1340</v>
      </c>
      <c r="G48" s="59">
        <v>-55.45</v>
      </c>
      <c r="H48" s="59">
        <v>-40.450000000000003</v>
      </c>
      <c r="I48" s="59">
        <v>0.34</v>
      </c>
      <c r="J48" s="59">
        <v>0.71</v>
      </c>
      <c r="K48" s="59">
        <v>0.83</v>
      </c>
      <c r="L48" s="59">
        <v>1.1299999999999999</v>
      </c>
    </row>
    <row r="49" spans="1:12">
      <c r="A49" s="59">
        <v>42</v>
      </c>
      <c r="B49" s="59" t="s">
        <v>66</v>
      </c>
      <c r="C49" s="59">
        <v>137</v>
      </c>
      <c r="D49" s="59">
        <v>221</v>
      </c>
      <c r="E49" s="59">
        <v>788</v>
      </c>
      <c r="F49" s="59">
        <v>825</v>
      </c>
      <c r="G49" s="59">
        <v>-38.01</v>
      </c>
      <c r="H49" s="59">
        <v>-4.4800000000000004</v>
      </c>
      <c r="I49" s="59">
        <v>0.48</v>
      </c>
      <c r="J49" s="59">
        <v>0.7</v>
      </c>
      <c r="K49" s="59">
        <v>0.84</v>
      </c>
      <c r="L49" s="59">
        <v>0.7</v>
      </c>
    </row>
    <row r="50" spans="1:12">
      <c r="A50" s="59">
        <v>43</v>
      </c>
      <c r="B50" s="59" t="s">
        <v>594</v>
      </c>
      <c r="C50" s="59">
        <v>206</v>
      </c>
      <c r="D50" s="59">
        <v>296</v>
      </c>
      <c r="E50" s="59">
        <v>786</v>
      </c>
      <c r="F50" s="59">
        <v>958</v>
      </c>
      <c r="G50" s="59">
        <v>-30.41</v>
      </c>
      <c r="H50" s="59">
        <v>-17.95</v>
      </c>
      <c r="I50" s="59">
        <v>0.72</v>
      </c>
      <c r="J50" s="59">
        <v>0.7</v>
      </c>
      <c r="K50" s="59">
        <v>1.1200000000000001</v>
      </c>
      <c r="L50" s="59">
        <v>0.81</v>
      </c>
    </row>
    <row r="51" spans="1:12">
      <c r="A51" s="59">
        <v>44</v>
      </c>
      <c r="B51" s="59" t="s">
        <v>49</v>
      </c>
      <c r="C51" s="59">
        <v>184</v>
      </c>
      <c r="D51" s="59">
        <v>339</v>
      </c>
      <c r="E51" s="59">
        <v>748</v>
      </c>
      <c r="F51" s="59">
        <v>1584</v>
      </c>
      <c r="G51" s="59">
        <v>-45.72</v>
      </c>
      <c r="H51" s="59">
        <v>-52.78</v>
      </c>
      <c r="I51" s="59">
        <v>0.65</v>
      </c>
      <c r="J51" s="59">
        <v>0.67</v>
      </c>
      <c r="K51" s="59">
        <v>1.28</v>
      </c>
      <c r="L51" s="59">
        <v>1.34</v>
      </c>
    </row>
    <row r="52" spans="1:12">
      <c r="A52" s="59">
        <v>45</v>
      </c>
      <c r="B52" s="59" t="s">
        <v>660</v>
      </c>
      <c r="C52" s="59">
        <v>406</v>
      </c>
      <c r="D52" s="59">
        <v>278</v>
      </c>
      <c r="E52" s="59">
        <v>747</v>
      </c>
      <c r="F52" s="59">
        <v>463</v>
      </c>
      <c r="G52" s="59">
        <v>46.04</v>
      </c>
      <c r="H52" s="59">
        <v>61.34</v>
      </c>
      <c r="I52" s="59">
        <v>1.43</v>
      </c>
      <c r="J52" s="59">
        <v>0.66</v>
      </c>
      <c r="K52" s="59">
        <v>1.05</v>
      </c>
      <c r="L52" s="59">
        <v>0.39</v>
      </c>
    </row>
    <row r="53" spans="1:12">
      <c r="A53" s="59">
        <v>46</v>
      </c>
      <c r="B53" s="59" t="s">
        <v>1011</v>
      </c>
      <c r="C53" s="59">
        <v>47</v>
      </c>
      <c r="D53" s="59">
        <v>0</v>
      </c>
      <c r="E53" s="59">
        <v>737</v>
      </c>
      <c r="F53" s="59">
        <v>0</v>
      </c>
      <c r="G53" s="59">
        <v>0</v>
      </c>
      <c r="H53" s="59">
        <v>0</v>
      </c>
      <c r="I53" s="59">
        <v>0.16</v>
      </c>
      <c r="J53" s="59">
        <v>0.66</v>
      </c>
      <c r="K53" s="59">
        <v>0</v>
      </c>
      <c r="L53" s="59">
        <v>0</v>
      </c>
    </row>
    <row r="54" spans="1:12">
      <c r="A54" s="59">
        <v>47</v>
      </c>
      <c r="B54" s="59" t="s">
        <v>96</v>
      </c>
      <c r="C54" s="59">
        <v>175</v>
      </c>
      <c r="D54" s="59">
        <v>272</v>
      </c>
      <c r="E54" s="59">
        <v>731</v>
      </c>
      <c r="F54" s="59">
        <v>810</v>
      </c>
      <c r="G54" s="59">
        <v>-35.659999999999997</v>
      </c>
      <c r="H54" s="59">
        <v>-9.75</v>
      </c>
      <c r="I54" s="59">
        <v>0.61</v>
      </c>
      <c r="J54" s="59">
        <v>0.65</v>
      </c>
      <c r="K54" s="59">
        <v>1.03</v>
      </c>
      <c r="L54" s="59">
        <v>0.69</v>
      </c>
    </row>
    <row r="55" spans="1:12">
      <c r="A55" s="59">
        <v>48</v>
      </c>
      <c r="B55" s="59" t="s">
        <v>83</v>
      </c>
      <c r="C55" s="59">
        <v>160</v>
      </c>
      <c r="D55" s="59">
        <v>205</v>
      </c>
      <c r="E55" s="59">
        <v>712</v>
      </c>
      <c r="F55" s="59">
        <v>945</v>
      </c>
      <c r="G55" s="59">
        <v>-21.95</v>
      </c>
      <c r="H55" s="59">
        <v>-24.66</v>
      </c>
      <c r="I55" s="59">
        <v>0.56000000000000005</v>
      </c>
      <c r="J55" s="59">
        <v>0.63</v>
      </c>
      <c r="K55" s="59">
        <v>0.78</v>
      </c>
      <c r="L55" s="59">
        <v>0.8</v>
      </c>
    </row>
    <row r="56" spans="1:12">
      <c r="A56" s="59">
        <v>49</v>
      </c>
      <c r="B56" s="59" t="s">
        <v>108</v>
      </c>
      <c r="C56" s="59">
        <v>133</v>
      </c>
      <c r="D56" s="59">
        <v>224</v>
      </c>
      <c r="E56" s="59">
        <v>709</v>
      </c>
      <c r="F56" s="59">
        <v>943</v>
      </c>
      <c r="G56" s="59">
        <v>-40.630000000000003</v>
      </c>
      <c r="H56" s="59">
        <v>-24.81</v>
      </c>
      <c r="I56" s="59">
        <v>0.47</v>
      </c>
      <c r="J56" s="59">
        <v>0.63</v>
      </c>
      <c r="K56" s="59">
        <v>0.85</v>
      </c>
      <c r="L56" s="59">
        <v>0.8</v>
      </c>
    </row>
    <row r="57" spans="1:12">
      <c r="A57" s="59">
        <v>50</v>
      </c>
      <c r="B57" s="59" t="s">
        <v>103</v>
      </c>
      <c r="C57" s="59">
        <v>134</v>
      </c>
      <c r="D57" s="59">
        <v>231</v>
      </c>
      <c r="E57" s="59">
        <v>700</v>
      </c>
      <c r="F57" s="59">
        <v>1450</v>
      </c>
      <c r="G57" s="59">
        <v>-41.99</v>
      </c>
      <c r="H57" s="59">
        <v>-51.72</v>
      </c>
      <c r="I57" s="59">
        <v>0.47</v>
      </c>
      <c r="J57" s="59">
        <v>0.62</v>
      </c>
      <c r="K57" s="59">
        <v>0.87</v>
      </c>
      <c r="L57" s="59">
        <v>1.23</v>
      </c>
    </row>
    <row r="58" spans="1:12">
      <c r="A58" s="59">
        <v>51</v>
      </c>
      <c r="B58" s="59" t="s">
        <v>126</v>
      </c>
      <c r="C58" s="59">
        <v>187</v>
      </c>
      <c r="D58" s="59">
        <v>197</v>
      </c>
      <c r="E58" s="59">
        <v>690</v>
      </c>
      <c r="F58" s="59">
        <v>659</v>
      </c>
      <c r="G58" s="59">
        <v>-5.08</v>
      </c>
      <c r="H58" s="59">
        <v>4.7</v>
      </c>
      <c r="I58" s="59">
        <v>0.66</v>
      </c>
      <c r="J58" s="59">
        <v>0.61</v>
      </c>
      <c r="K58" s="59">
        <v>0.75</v>
      </c>
      <c r="L58" s="59">
        <v>0.56000000000000005</v>
      </c>
    </row>
    <row r="59" spans="1:12">
      <c r="A59" s="59">
        <v>52</v>
      </c>
      <c r="B59" s="59" t="s">
        <v>102</v>
      </c>
      <c r="C59" s="59">
        <v>270</v>
      </c>
      <c r="D59" s="59">
        <v>173</v>
      </c>
      <c r="E59" s="59">
        <v>665</v>
      </c>
      <c r="F59" s="59">
        <v>284</v>
      </c>
      <c r="G59" s="59">
        <v>56.07</v>
      </c>
      <c r="H59" s="59">
        <v>134.15</v>
      </c>
      <c r="I59" s="59">
        <v>0.95</v>
      </c>
      <c r="J59" s="59">
        <v>0.59</v>
      </c>
      <c r="K59" s="59">
        <v>0.65</v>
      </c>
      <c r="L59" s="59">
        <v>0.24</v>
      </c>
    </row>
    <row r="60" spans="1:12">
      <c r="A60" s="59">
        <v>53</v>
      </c>
      <c r="B60" s="59" t="s">
        <v>1038</v>
      </c>
      <c r="C60" s="59">
        <v>276</v>
      </c>
      <c r="D60" s="59">
        <v>0</v>
      </c>
      <c r="E60" s="59">
        <v>663</v>
      </c>
      <c r="F60" s="59">
        <v>0</v>
      </c>
      <c r="G60" s="59">
        <v>0</v>
      </c>
      <c r="H60" s="59">
        <v>0</v>
      </c>
      <c r="I60" s="59">
        <v>0.97</v>
      </c>
      <c r="J60" s="59">
        <v>0.59</v>
      </c>
      <c r="K60" s="59">
        <v>0</v>
      </c>
      <c r="L60" s="59">
        <v>0</v>
      </c>
    </row>
    <row r="61" spans="1:12">
      <c r="A61" s="59">
        <v>54</v>
      </c>
      <c r="B61" s="59" t="s">
        <v>69</v>
      </c>
      <c r="C61" s="59">
        <v>174</v>
      </c>
      <c r="D61" s="59">
        <v>162</v>
      </c>
      <c r="E61" s="59">
        <v>658</v>
      </c>
      <c r="F61" s="59">
        <v>621</v>
      </c>
      <c r="G61" s="59">
        <v>7.41</v>
      </c>
      <c r="H61" s="59">
        <v>5.96</v>
      </c>
      <c r="I61" s="59">
        <v>0.61</v>
      </c>
      <c r="J61" s="59">
        <v>0.59</v>
      </c>
      <c r="K61" s="59">
        <v>0.61</v>
      </c>
      <c r="L61" s="59">
        <v>0.53</v>
      </c>
    </row>
    <row r="62" spans="1:12">
      <c r="A62" s="59">
        <v>55</v>
      </c>
      <c r="B62" s="59" t="s">
        <v>668</v>
      </c>
      <c r="C62" s="59">
        <v>131</v>
      </c>
      <c r="D62" s="59">
        <v>192</v>
      </c>
      <c r="E62" s="59">
        <v>632</v>
      </c>
      <c r="F62" s="59">
        <v>620</v>
      </c>
      <c r="G62" s="59">
        <v>-31.77</v>
      </c>
      <c r="H62" s="59">
        <v>1.94</v>
      </c>
      <c r="I62" s="59">
        <v>0.46</v>
      </c>
      <c r="J62" s="59">
        <v>0.56000000000000005</v>
      </c>
      <c r="K62" s="59">
        <v>0.73</v>
      </c>
      <c r="L62" s="59">
        <v>0.53</v>
      </c>
    </row>
    <row r="63" spans="1:12">
      <c r="A63" s="59">
        <v>56</v>
      </c>
      <c r="B63" s="59" t="s">
        <v>57</v>
      </c>
      <c r="C63" s="59">
        <v>151</v>
      </c>
      <c r="D63" s="59">
        <v>173</v>
      </c>
      <c r="E63" s="59">
        <v>630</v>
      </c>
      <c r="F63" s="59">
        <v>608</v>
      </c>
      <c r="G63" s="59">
        <v>-12.72</v>
      </c>
      <c r="H63" s="59">
        <v>3.62</v>
      </c>
      <c r="I63" s="59">
        <v>0.53</v>
      </c>
      <c r="J63" s="59">
        <v>0.56000000000000005</v>
      </c>
      <c r="K63" s="59">
        <v>0.65</v>
      </c>
      <c r="L63" s="59">
        <v>0.51</v>
      </c>
    </row>
    <row r="64" spans="1:12">
      <c r="A64" s="59">
        <v>57</v>
      </c>
      <c r="B64" s="59" t="s">
        <v>70</v>
      </c>
      <c r="C64" s="59">
        <v>199</v>
      </c>
      <c r="D64" s="59">
        <v>282</v>
      </c>
      <c r="E64" s="59">
        <v>620</v>
      </c>
      <c r="F64" s="59">
        <v>945</v>
      </c>
      <c r="G64" s="59">
        <v>-29.43</v>
      </c>
      <c r="H64" s="59">
        <v>-34.39</v>
      </c>
      <c r="I64" s="59">
        <v>0.7</v>
      </c>
      <c r="J64" s="59">
        <v>0.55000000000000004</v>
      </c>
      <c r="K64" s="59">
        <v>1.07</v>
      </c>
      <c r="L64" s="59">
        <v>0.8</v>
      </c>
    </row>
    <row r="65" spans="1:12">
      <c r="A65" s="59">
        <v>58</v>
      </c>
      <c r="B65" s="59" t="s">
        <v>62</v>
      </c>
      <c r="C65" s="59">
        <v>150</v>
      </c>
      <c r="D65" s="59">
        <v>198</v>
      </c>
      <c r="E65" s="59">
        <v>596</v>
      </c>
      <c r="F65" s="59">
        <v>746</v>
      </c>
      <c r="G65" s="59">
        <v>-24.24</v>
      </c>
      <c r="H65" s="59">
        <v>-20.11</v>
      </c>
      <c r="I65" s="59">
        <v>0.53</v>
      </c>
      <c r="J65" s="59">
        <v>0.53</v>
      </c>
      <c r="K65" s="59">
        <v>0.75</v>
      </c>
      <c r="L65" s="59">
        <v>0.63</v>
      </c>
    </row>
    <row r="66" spans="1:12">
      <c r="A66" s="59">
        <v>59</v>
      </c>
      <c r="B66" s="59" t="s">
        <v>593</v>
      </c>
      <c r="C66" s="59">
        <v>238</v>
      </c>
      <c r="D66" s="59">
        <v>44</v>
      </c>
      <c r="E66" s="59">
        <v>586</v>
      </c>
      <c r="F66" s="59">
        <v>823</v>
      </c>
      <c r="G66" s="59">
        <v>440.91</v>
      </c>
      <c r="H66" s="59">
        <v>-28.8</v>
      </c>
      <c r="I66" s="59">
        <v>0.84</v>
      </c>
      <c r="J66" s="59">
        <v>0.52</v>
      </c>
      <c r="K66" s="59">
        <v>0.17</v>
      </c>
      <c r="L66" s="59">
        <v>0.7</v>
      </c>
    </row>
    <row r="67" spans="1:12">
      <c r="A67" s="59">
        <v>60</v>
      </c>
      <c r="B67" s="59" t="s">
        <v>146</v>
      </c>
      <c r="C67" s="59">
        <v>139</v>
      </c>
      <c r="D67" s="59">
        <v>253</v>
      </c>
      <c r="E67" s="59">
        <v>584</v>
      </c>
      <c r="F67" s="59">
        <v>725</v>
      </c>
      <c r="G67" s="59">
        <v>-45.06</v>
      </c>
      <c r="H67" s="59">
        <v>-19.45</v>
      </c>
      <c r="I67" s="59">
        <v>0.49</v>
      </c>
      <c r="J67" s="59">
        <v>0.52</v>
      </c>
      <c r="K67" s="59">
        <v>0.96</v>
      </c>
      <c r="L67" s="59">
        <v>0.61</v>
      </c>
    </row>
    <row r="68" spans="1:12">
      <c r="A68" s="59">
        <v>61</v>
      </c>
      <c r="B68" s="59" t="s">
        <v>722</v>
      </c>
      <c r="C68" s="59">
        <v>138</v>
      </c>
      <c r="D68" s="59">
        <v>53</v>
      </c>
      <c r="E68" s="59">
        <v>554</v>
      </c>
      <c r="F68" s="59">
        <v>73</v>
      </c>
      <c r="G68" s="59">
        <v>160.38</v>
      </c>
      <c r="H68" s="59">
        <v>658.9</v>
      </c>
      <c r="I68" s="59">
        <v>0.48</v>
      </c>
      <c r="J68" s="59">
        <v>0.49</v>
      </c>
      <c r="K68" s="59">
        <v>0.2</v>
      </c>
      <c r="L68" s="59">
        <v>0.06</v>
      </c>
    </row>
    <row r="69" spans="1:12">
      <c r="A69" s="59">
        <v>62</v>
      </c>
      <c r="B69" s="59" t="s">
        <v>204</v>
      </c>
      <c r="C69" s="59">
        <v>159</v>
      </c>
      <c r="D69" s="59">
        <v>86</v>
      </c>
      <c r="E69" s="59">
        <v>552</v>
      </c>
      <c r="F69" s="59">
        <v>443</v>
      </c>
      <c r="G69" s="59">
        <v>84.88</v>
      </c>
      <c r="H69" s="59">
        <v>24.6</v>
      </c>
      <c r="I69" s="59">
        <v>0.56000000000000005</v>
      </c>
      <c r="J69" s="59">
        <v>0.49</v>
      </c>
      <c r="K69" s="59">
        <v>0.33</v>
      </c>
      <c r="L69" s="59">
        <v>0.38</v>
      </c>
    </row>
    <row r="70" spans="1:12">
      <c r="A70" s="59">
        <v>63</v>
      </c>
      <c r="B70" s="59" t="s">
        <v>128</v>
      </c>
      <c r="C70" s="59">
        <v>168</v>
      </c>
      <c r="D70" s="59">
        <v>55</v>
      </c>
      <c r="E70" s="59">
        <v>547</v>
      </c>
      <c r="F70" s="59">
        <v>478</v>
      </c>
      <c r="G70" s="59">
        <v>205.45</v>
      </c>
      <c r="H70" s="59">
        <v>14.44</v>
      </c>
      <c r="I70" s="59">
        <v>0.59</v>
      </c>
      <c r="J70" s="59">
        <v>0.49</v>
      </c>
      <c r="K70" s="59">
        <v>0.21</v>
      </c>
      <c r="L70" s="59">
        <v>0.4</v>
      </c>
    </row>
    <row r="71" spans="1:12">
      <c r="A71" s="59">
        <v>64</v>
      </c>
      <c r="B71" s="59" t="s">
        <v>505</v>
      </c>
      <c r="C71" s="59">
        <v>220</v>
      </c>
      <c r="D71" s="59">
        <v>149</v>
      </c>
      <c r="E71" s="59">
        <v>544</v>
      </c>
      <c r="F71" s="59">
        <v>359</v>
      </c>
      <c r="G71" s="59">
        <v>47.65</v>
      </c>
      <c r="H71" s="59">
        <v>51.53</v>
      </c>
      <c r="I71" s="59">
        <v>0.77</v>
      </c>
      <c r="J71" s="59">
        <v>0.48</v>
      </c>
      <c r="K71" s="59">
        <v>0.56000000000000005</v>
      </c>
      <c r="L71" s="59">
        <v>0.3</v>
      </c>
    </row>
    <row r="72" spans="1:12">
      <c r="A72" s="59">
        <v>65</v>
      </c>
      <c r="B72" s="59" t="s">
        <v>1163</v>
      </c>
      <c r="C72" s="59">
        <v>306</v>
      </c>
      <c r="D72" s="59">
        <v>0</v>
      </c>
      <c r="E72" s="59">
        <v>540</v>
      </c>
      <c r="F72" s="59">
        <v>0</v>
      </c>
      <c r="G72" s="59">
        <v>0</v>
      </c>
      <c r="H72" s="59">
        <v>0</v>
      </c>
      <c r="I72" s="59">
        <v>1.07</v>
      </c>
      <c r="J72" s="59">
        <v>0.48</v>
      </c>
      <c r="K72" s="59">
        <v>0</v>
      </c>
      <c r="L72" s="59">
        <v>0</v>
      </c>
    </row>
    <row r="73" spans="1:12">
      <c r="A73" s="59">
        <v>66</v>
      </c>
      <c r="B73" s="59" t="s">
        <v>72</v>
      </c>
      <c r="C73" s="59">
        <v>51</v>
      </c>
      <c r="D73" s="59">
        <v>173</v>
      </c>
      <c r="E73" s="59">
        <v>528</v>
      </c>
      <c r="F73" s="59">
        <v>742</v>
      </c>
      <c r="G73" s="59">
        <v>-70.52</v>
      </c>
      <c r="H73" s="59">
        <v>-28.84</v>
      </c>
      <c r="I73" s="59">
        <v>0.18</v>
      </c>
      <c r="J73" s="59">
        <v>0.47</v>
      </c>
      <c r="K73" s="59">
        <v>0.65</v>
      </c>
      <c r="L73" s="59">
        <v>0.63</v>
      </c>
    </row>
    <row r="74" spans="1:12">
      <c r="A74" s="59">
        <v>67</v>
      </c>
      <c r="B74" s="59" t="s">
        <v>94</v>
      </c>
      <c r="C74" s="59">
        <v>93</v>
      </c>
      <c r="D74" s="59">
        <v>100</v>
      </c>
      <c r="E74" s="59">
        <v>519</v>
      </c>
      <c r="F74" s="59">
        <v>369</v>
      </c>
      <c r="G74" s="59">
        <v>-7</v>
      </c>
      <c r="H74" s="59">
        <v>40.65</v>
      </c>
      <c r="I74" s="59">
        <v>0.33</v>
      </c>
      <c r="J74" s="59">
        <v>0.46</v>
      </c>
      <c r="K74" s="59">
        <v>0.38</v>
      </c>
      <c r="L74" s="59">
        <v>0.31</v>
      </c>
    </row>
    <row r="75" spans="1:12">
      <c r="A75" s="59">
        <v>68</v>
      </c>
      <c r="B75" s="59" t="s">
        <v>99</v>
      </c>
      <c r="C75" s="59">
        <v>43</v>
      </c>
      <c r="D75" s="59">
        <v>184</v>
      </c>
      <c r="E75" s="59">
        <v>506</v>
      </c>
      <c r="F75" s="59">
        <v>788</v>
      </c>
      <c r="G75" s="59">
        <v>-76.63</v>
      </c>
      <c r="H75" s="59">
        <v>-35.79</v>
      </c>
      <c r="I75" s="59">
        <v>0.15</v>
      </c>
      <c r="J75" s="59">
        <v>0.45</v>
      </c>
      <c r="K75" s="59">
        <v>0.7</v>
      </c>
      <c r="L75" s="59">
        <v>0.67</v>
      </c>
    </row>
    <row r="76" spans="1:12">
      <c r="A76" s="59">
        <v>69</v>
      </c>
      <c r="B76" s="59" t="s">
        <v>67</v>
      </c>
      <c r="C76" s="59">
        <v>128</v>
      </c>
      <c r="D76" s="59">
        <v>68</v>
      </c>
      <c r="E76" s="59">
        <v>494</v>
      </c>
      <c r="F76" s="59">
        <v>668</v>
      </c>
      <c r="G76" s="59">
        <v>88.24</v>
      </c>
      <c r="H76" s="59">
        <v>-26.05</v>
      </c>
      <c r="I76" s="59">
        <v>0.45</v>
      </c>
      <c r="J76" s="59">
        <v>0.44</v>
      </c>
      <c r="K76" s="59">
        <v>0.26</v>
      </c>
      <c r="L76" s="59">
        <v>0.56999999999999995</v>
      </c>
    </row>
    <row r="77" spans="1:12">
      <c r="A77" s="59">
        <v>70</v>
      </c>
      <c r="B77" s="59" t="s">
        <v>86</v>
      </c>
      <c r="C77" s="59">
        <v>101</v>
      </c>
      <c r="D77" s="59">
        <v>50</v>
      </c>
      <c r="E77" s="59">
        <v>485</v>
      </c>
      <c r="F77" s="59">
        <v>408</v>
      </c>
      <c r="G77" s="59">
        <v>102</v>
      </c>
      <c r="H77" s="59">
        <v>18.87</v>
      </c>
      <c r="I77" s="59">
        <v>0.35</v>
      </c>
      <c r="J77" s="59">
        <v>0.43</v>
      </c>
      <c r="K77" s="59">
        <v>0.19</v>
      </c>
      <c r="L77" s="59">
        <v>0.35</v>
      </c>
    </row>
    <row r="78" spans="1:12">
      <c r="A78" s="59">
        <v>71</v>
      </c>
      <c r="B78" s="59" t="s">
        <v>121</v>
      </c>
      <c r="C78" s="59">
        <v>94</v>
      </c>
      <c r="D78" s="59">
        <v>32</v>
      </c>
      <c r="E78" s="59">
        <v>466</v>
      </c>
      <c r="F78" s="59">
        <v>201</v>
      </c>
      <c r="G78" s="59">
        <v>193.75</v>
      </c>
      <c r="H78" s="59">
        <v>131.84</v>
      </c>
      <c r="I78" s="59">
        <v>0.33</v>
      </c>
      <c r="J78" s="59">
        <v>0.41</v>
      </c>
      <c r="K78" s="59">
        <v>0.12</v>
      </c>
      <c r="L78" s="59">
        <v>0.17</v>
      </c>
    </row>
    <row r="79" spans="1:12">
      <c r="A79" s="59">
        <v>72</v>
      </c>
      <c r="B79" s="59" t="s">
        <v>721</v>
      </c>
      <c r="C79" s="59">
        <v>74</v>
      </c>
      <c r="D79" s="59">
        <v>120</v>
      </c>
      <c r="E79" s="59">
        <v>461</v>
      </c>
      <c r="F79" s="59">
        <v>184</v>
      </c>
      <c r="G79" s="59">
        <v>-38.33</v>
      </c>
      <c r="H79" s="59">
        <v>150.54</v>
      </c>
      <c r="I79" s="59">
        <v>0.26</v>
      </c>
      <c r="J79" s="59">
        <v>0.41</v>
      </c>
      <c r="K79" s="59">
        <v>0.45</v>
      </c>
      <c r="L79" s="59">
        <v>0.16</v>
      </c>
    </row>
    <row r="80" spans="1:12">
      <c r="A80" s="59">
        <v>73</v>
      </c>
      <c r="B80" s="59" t="s">
        <v>85</v>
      </c>
      <c r="C80" s="59">
        <v>103</v>
      </c>
      <c r="D80" s="59">
        <v>87</v>
      </c>
      <c r="E80" s="59">
        <v>456</v>
      </c>
      <c r="F80" s="59">
        <v>509</v>
      </c>
      <c r="G80" s="59">
        <v>18.39</v>
      </c>
      <c r="H80" s="59">
        <v>-10.41</v>
      </c>
      <c r="I80" s="59">
        <v>0.36</v>
      </c>
      <c r="J80" s="59">
        <v>0.41</v>
      </c>
      <c r="K80" s="59">
        <v>0.33</v>
      </c>
      <c r="L80" s="59">
        <v>0.43</v>
      </c>
    </row>
    <row r="81" spans="1:12">
      <c r="A81" s="59">
        <v>74</v>
      </c>
      <c r="B81" s="59" t="s">
        <v>157</v>
      </c>
      <c r="C81" s="59">
        <v>19</v>
      </c>
      <c r="D81" s="59">
        <v>55</v>
      </c>
      <c r="E81" s="59">
        <v>456</v>
      </c>
      <c r="F81" s="59">
        <v>145</v>
      </c>
      <c r="G81" s="59">
        <v>-65.45</v>
      </c>
      <c r="H81" s="59">
        <v>214.48</v>
      </c>
      <c r="I81" s="59">
        <v>7.0000000000000007E-2</v>
      </c>
      <c r="J81" s="59">
        <v>0.41</v>
      </c>
      <c r="K81" s="59">
        <v>0.21</v>
      </c>
      <c r="L81" s="59">
        <v>0.12</v>
      </c>
    </row>
    <row r="82" spans="1:12">
      <c r="A82" s="59">
        <v>75</v>
      </c>
      <c r="B82" s="59" t="s">
        <v>665</v>
      </c>
      <c r="C82" s="59">
        <v>143</v>
      </c>
      <c r="D82" s="59">
        <v>0</v>
      </c>
      <c r="E82" s="59">
        <v>450</v>
      </c>
      <c r="F82" s="59">
        <v>0</v>
      </c>
      <c r="G82" s="59">
        <v>0</v>
      </c>
      <c r="H82" s="59">
        <v>0</v>
      </c>
      <c r="I82" s="59">
        <v>0.5</v>
      </c>
      <c r="J82" s="59">
        <v>0.4</v>
      </c>
      <c r="K82" s="59">
        <v>0</v>
      </c>
      <c r="L82" s="59">
        <v>0</v>
      </c>
    </row>
    <row r="83" spans="1:12">
      <c r="A83" s="59">
        <v>76</v>
      </c>
      <c r="B83" s="59" t="s">
        <v>110</v>
      </c>
      <c r="C83" s="59">
        <v>97</v>
      </c>
      <c r="D83" s="59">
        <v>88</v>
      </c>
      <c r="E83" s="59">
        <v>446</v>
      </c>
      <c r="F83" s="59">
        <v>328</v>
      </c>
      <c r="G83" s="59">
        <v>10.23</v>
      </c>
      <c r="H83" s="59">
        <v>35.979999999999997</v>
      </c>
      <c r="I83" s="59">
        <v>0.34</v>
      </c>
      <c r="J83" s="59">
        <v>0.4</v>
      </c>
      <c r="K83" s="59">
        <v>0.33</v>
      </c>
      <c r="L83" s="59">
        <v>0.28000000000000003</v>
      </c>
    </row>
    <row r="84" spans="1:12">
      <c r="A84" s="59">
        <v>77</v>
      </c>
      <c r="B84" s="59" t="s">
        <v>144</v>
      </c>
      <c r="C84" s="59">
        <v>143</v>
      </c>
      <c r="D84" s="59">
        <v>60</v>
      </c>
      <c r="E84" s="59">
        <v>440</v>
      </c>
      <c r="F84" s="59">
        <v>648</v>
      </c>
      <c r="G84" s="59">
        <v>138.33000000000001</v>
      </c>
      <c r="H84" s="59">
        <v>-32.1</v>
      </c>
      <c r="I84" s="59">
        <v>0.5</v>
      </c>
      <c r="J84" s="59">
        <v>0.39</v>
      </c>
      <c r="K84" s="59">
        <v>0.23</v>
      </c>
      <c r="L84" s="59">
        <v>0.55000000000000004</v>
      </c>
    </row>
    <row r="85" spans="1:12">
      <c r="A85" s="59">
        <v>78</v>
      </c>
      <c r="B85" s="59" t="s">
        <v>68</v>
      </c>
      <c r="C85" s="59">
        <v>64</v>
      </c>
      <c r="D85" s="59">
        <v>270</v>
      </c>
      <c r="E85" s="59">
        <v>436</v>
      </c>
      <c r="F85" s="59">
        <v>713</v>
      </c>
      <c r="G85" s="59">
        <v>-76.3</v>
      </c>
      <c r="H85" s="59">
        <v>-38.85</v>
      </c>
      <c r="I85" s="59">
        <v>0.22</v>
      </c>
      <c r="J85" s="59">
        <v>0.39</v>
      </c>
      <c r="K85" s="59">
        <v>1.02</v>
      </c>
      <c r="L85" s="59">
        <v>0.6</v>
      </c>
    </row>
    <row r="86" spans="1:12">
      <c r="A86" s="59">
        <v>79</v>
      </c>
      <c r="B86" s="59" t="s">
        <v>84</v>
      </c>
      <c r="C86" s="59">
        <v>151</v>
      </c>
      <c r="D86" s="59">
        <v>94</v>
      </c>
      <c r="E86" s="59">
        <v>428</v>
      </c>
      <c r="F86" s="59">
        <v>515</v>
      </c>
      <c r="G86" s="59">
        <v>60.64</v>
      </c>
      <c r="H86" s="59">
        <v>-16.89</v>
      </c>
      <c r="I86" s="59">
        <v>0.53</v>
      </c>
      <c r="J86" s="59">
        <v>0.38</v>
      </c>
      <c r="K86" s="59">
        <v>0.36</v>
      </c>
      <c r="L86" s="59">
        <v>0.44</v>
      </c>
    </row>
    <row r="87" spans="1:12">
      <c r="A87" s="59">
        <v>80</v>
      </c>
      <c r="B87" s="59" t="s">
        <v>150</v>
      </c>
      <c r="C87" s="59">
        <v>94</v>
      </c>
      <c r="D87" s="59">
        <v>20</v>
      </c>
      <c r="E87" s="59">
        <v>419</v>
      </c>
      <c r="F87" s="59">
        <v>227</v>
      </c>
      <c r="G87" s="59">
        <v>370</v>
      </c>
      <c r="H87" s="59">
        <v>84.58</v>
      </c>
      <c r="I87" s="59">
        <v>0.33</v>
      </c>
      <c r="J87" s="59">
        <v>0.37</v>
      </c>
      <c r="K87" s="59">
        <v>0.08</v>
      </c>
      <c r="L87" s="59">
        <v>0.19</v>
      </c>
    </row>
    <row r="88" spans="1:12">
      <c r="A88" s="59">
        <v>81</v>
      </c>
      <c r="B88" s="59" t="s">
        <v>611</v>
      </c>
      <c r="C88" s="59">
        <v>97</v>
      </c>
      <c r="D88" s="59">
        <v>233</v>
      </c>
      <c r="E88" s="59">
        <v>415</v>
      </c>
      <c r="F88" s="59">
        <v>796</v>
      </c>
      <c r="G88" s="59">
        <v>-58.37</v>
      </c>
      <c r="H88" s="59">
        <v>-47.86</v>
      </c>
      <c r="I88" s="59">
        <v>0.34</v>
      </c>
      <c r="J88" s="59">
        <v>0.37</v>
      </c>
      <c r="K88" s="59">
        <v>0.88</v>
      </c>
      <c r="L88" s="59">
        <v>0.67</v>
      </c>
    </row>
    <row r="89" spans="1:12">
      <c r="A89" s="59">
        <v>82</v>
      </c>
      <c r="B89" s="59" t="s">
        <v>89</v>
      </c>
      <c r="C89" s="59">
        <v>68</v>
      </c>
      <c r="D89" s="59">
        <v>58</v>
      </c>
      <c r="E89" s="59">
        <v>383</v>
      </c>
      <c r="F89" s="59">
        <v>268</v>
      </c>
      <c r="G89" s="59">
        <v>17.239999999999998</v>
      </c>
      <c r="H89" s="59">
        <v>42.91</v>
      </c>
      <c r="I89" s="59">
        <v>0.24</v>
      </c>
      <c r="J89" s="59">
        <v>0.34</v>
      </c>
      <c r="K89" s="59">
        <v>0.22</v>
      </c>
      <c r="L89" s="59">
        <v>0.23</v>
      </c>
    </row>
    <row r="90" spans="1:12">
      <c r="A90" s="59">
        <v>83</v>
      </c>
      <c r="B90" s="59" t="s">
        <v>678</v>
      </c>
      <c r="C90" s="59">
        <v>114</v>
      </c>
      <c r="D90" s="59">
        <v>45</v>
      </c>
      <c r="E90" s="59">
        <v>383</v>
      </c>
      <c r="F90" s="59">
        <v>196</v>
      </c>
      <c r="G90" s="59">
        <v>153.33000000000001</v>
      </c>
      <c r="H90" s="59">
        <v>95.41</v>
      </c>
      <c r="I90" s="59">
        <v>0.4</v>
      </c>
      <c r="J90" s="59">
        <v>0.34</v>
      </c>
      <c r="K90" s="59">
        <v>0.17</v>
      </c>
      <c r="L90" s="59">
        <v>0.17</v>
      </c>
    </row>
    <row r="91" spans="1:12">
      <c r="A91" s="59">
        <v>84</v>
      </c>
      <c r="B91" s="59" t="s">
        <v>1054</v>
      </c>
      <c r="C91" s="59">
        <v>141</v>
      </c>
      <c r="D91" s="59">
        <v>0</v>
      </c>
      <c r="E91" s="59">
        <v>373</v>
      </c>
      <c r="F91" s="59">
        <v>0</v>
      </c>
      <c r="G91" s="59">
        <v>0</v>
      </c>
      <c r="H91" s="59">
        <v>0</v>
      </c>
      <c r="I91" s="59">
        <v>0.49</v>
      </c>
      <c r="J91" s="59">
        <v>0.33</v>
      </c>
      <c r="K91" s="59">
        <v>0</v>
      </c>
      <c r="L91" s="59">
        <v>0</v>
      </c>
    </row>
    <row r="92" spans="1:12">
      <c r="A92" s="59">
        <v>85</v>
      </c>
      <c r="B92" s="59" t="s">
        <v>90</v>
      </c>
      <c r="C92" s="59">
        <v>103</v>
      </c>
      <c r="D92" s="59">
        <v>34</v>
      </c>
      <c r="E92" s="59">
        <v>370</v>
      </c>
      <c r="F92" s="59">
        <v>348</v>
      </c>
      <c r="G92" s="59">
        <v>202.94</v>
      </c>
      <c r="H92" s="59">
        <v>6.32</v>
      </c>
      <c r="I92" s="59">
        <v>0.36</v>
      </c>
      <c r="J92" s="59">
        <v>0.33</v>
      </c>
      <c r="K92" s="59">
        <v>0.13</v>
      </c>
      <c r="L92" s="59">
        <v>0.28999999999999998</v>
      </c>
    </row>
    <row r="93" spans="1:12">
      <c r="A93" s="59">
        <v>86</v>
      </c>
      <c r="B93" s="59" t="s">
        <v>1044</v>
      </c>
      <c r="C93" s="59">
        <v>127</v>
      </c>
      <c r="D93" s="59">
        <v>0</v>
      </c>
      <c r="E93" s="59">
        <v>359</v>
      </c>
      <c r="F93" s="59">
        <v>0</v>
      </c>
      <c r="G93" s="59">
        <v>0</v>
      </c>
      <c r="H93" s="59">
        <v>0</v>
      </c>
      <c r="I93" s="59">
        <v>0.45</v>
      </c>
      <c r="J93" s="59">
        <v>0.32</v>
      </c>
      <c r="K93" s="59">
        <v>0</v>
      </c>
      <c r="L93" s="59">
        <v>0</v>
      </c>
    </row>
    <row r="94" spans="1:12">
      <c r="A94" s="59">
        <v>87</v>
      </c>
      <c r="B94" s="59" t="s">
        <v>74</v>
      </c>
      <c r="C94" s="59">
        <v>63</v>
      </c>
      <c r="D94" s="59">
        <v>71</v>
      </c>
      <c r="E94" s="59">
        <v>350</v>
      </c>
      <c r="F94" s="59">
        <v>191</v>
      </c>
      <c r="G94" s="59">
        <v>-11.27</v>
      </c>
      <c r="H94" s="59">
        <v>83.25</v>
      </c>
      <c r="I94" s="59">
        <v>0.22</v>
      </c>
      <c r="J94" s="59">
        <v>0.31</v>
      </c>
      <c r="K94" s="59">
        <v>0.27</v>
      </c>
      <c r="L94" s="59">
        <v>0.16</v>
      </c>
    </row>
    <row r="95" spans="1:12">
      <c r="A95" s="59">
        <v>88</v>
      </c>
      <c r="B95" s="59" t="s">
        <v>1090</v>
      </c>
      <c r="C95" s="59">
        <v>81</v>
      </c>
      <c r="D95" s="59">
        <v>0</v>
      </c>
      <c r="E95" s="59">
        <v>342</v>
      </c>
      <c r="F95" s="59">
        <v>0</v>
      </c>
      <c r="G95" s="59">
        <v>0</v>
      </c>
      <c r="H95" s="59">
        <v>0</v>
      </c>
      <c r="I95" s="59">
        <v>0.28000000000000003</v>
      </c>
      <c r="J95" s="59">
        <v>0.3</v>
      </c>
      <c r="K95" s="59">
        <v>0</v>
      </c>
      <c r="L95" s="59">
        <v>0</v>
      </c>
    </row>
    <row r="96" spans="1:12">
      <c r="A96" s="59">
        <v>89</v>
      </c>
      <c r="B96" s="59" t="s">
        <v>77</v>
      </c>
      <c r="C96" s="59">
        <v>98</v>
      </c>
      <c r="D96" s="59">
        <v>97</v>
      </c>
      <c r="E96" s="59">
        <v>340</v>
      </c>
      <c r="F96" s="59">
        <v>694</v>
      </c>
      <c r="G96" s="59">
        <v>1.03</v>
      </c>
      <c r="H96" s="59">
        <v>-51.01</v>
      </c>
      <c r="I96" s="59">
        <v>0.34</v>
      </c>
      <c r="J96" s="59">
        <v>0.3</v>
      </c>
      <c r="K96" s="59">
        <v>0.37</v>
      </c>
      <c r="L96" s="59">
        <v>0.59</v>
      </c>
    </row>
    <row r="97" spans="1:12">
      <c r="A97" s="59">
        <v>90</v>
      </c>
      <c r="B97" s="59" t="s">
        <v>92</v>
      </c>
      <c r="C97" s="59">
        <v>94</v>
      </c>
      <c r="D97" s="59">
        <v>90</v>
      </c>
      <c r="E97" s="59">
        <v>333</v>
      </c>
      <c r="F97" s="59">
        <v>390</v>
      </c>
      <c r="G97" s="59">
        <v>4.4400000000000004</v>
      </c>
      <c r="H97" s="59">
        <v>-14.62</v>
      </c>
      <c r="I97" s="59">
        <v>0.33</v>
      </c>
      <c r="J97" s="59">
        <v>0.3</v>
      </c>
      <c r="K97" s="59">
        <v>0.34</v>
      </c>
      <c r="L97" s="59">
        <v>0.33</v>
      </c>
    </row>
    <row r="98" spans="1:12">
      <c r="A98" s="59">
        <v>91</v>
      </c>
      <c r="B98" s="59" t="s">
        <v>635</v>
      </c>
      <c r="C98" s="59">
        <v>101</v>
      </c>
      <c r="D98" s="59">
        <v>106</v>
      </c>
      <c r="E98" s="59">
        <v>331</v>
      </c>
      <c r="F98" s="59">
        <v>355</v>
      </c>
      <c r="G98" s="59">
        <v>-4.72</v>
      </c>
      <c r="H98" s="59">
        <v>-6.76</v>
      </c>
      <c r="I98" s="59">
        <v>0.35</v>
      </c>
      <c r="J98" s="59">
        <v>0.28999999999999998</v>
      </c>
      <c r="K98" s="59">
        <v>0.4</v>
      </c>
      <c r="L98" s="59">
        <v>0.3</v>
      </c>
    </row>
    <row r="99" spans="1:12">
      <c r="A99" s="59">
        <v>92</v>
      </c>
      <c r="B99" s="59" t="s">
        <v>111</v>
      </c>
      <c r="C99" s="59">
        <v>72</v>
      </c>
      <c r="D99" s="59">
        <v>73</v>
      </c>
      <c r="E99" s="59">
        <v>330</v>
      </c>
      <c r="F99" s="59">
        <v>153</v>
      </c>
      <c r="G99" s="59">
        <v>-1.37</v>
      </c>
      <c r="H99" s="59">
        <v>115.69</v>
      </c>
      <c r="I99" s="59">
        <v>0.25</v>
      </c>
      <c r="J99" s="59">
        <v>0.28999999999999998</v>
      </c>
      <c r="K99" s="59">
        <v>0.28000000000000003</v>
      </c>
      <c r="L99" s="59">
        <v>0.13</v>
      </c>
    </row>
    <row r="100" spans="1:12">
      <c r="A100" s="59">
        <v>93</v>
      </c>
      <c r="B100" s="59" t="s">
        <v>633</v>
      </c>
      <c r="C100" s="59">
        <v>90</v>
      </c>
      <c r="D100" s="59">
        <v>35</v>
      </c>
      <c r="E100" s="59">
        <v>329</v>
      </c>
      <c r="F100" s="59">
        <v>207</v>
      </c>
      <c r="G100" s="59">
        <v>157.13999999999999</v>
      </c>
      <c r="H100" s="59">
        <v>58.94</v>
      </c>
      <c r="I100" s="59">
        <v>0.32</v>
      </c>
      <c r="J100" s="59">
        <v>0.28999999999999998</v>
      </c>
      <c r="K100" s="59">
        <v>0.13</v>
      </c>
      <c r="L100" s="59">
        <v>0.18</v>
      </c>
    </row>
    <row r="101" spans="1:12">
      <c r="A101" s="59">
        <v>94</v>
      </c>
      <c r="B101" s="59" t="s">
        <v>729</v>
      </c>
      <c r="C101" s="59">
        <v>64</v>
      </c>
      <c r="D101" s="59">
        <v>148</v>
      </c>
      <c r="E101" s="59">
        <v>328</v>
      </c>
      <c r="F101" s="59">
        <v>148</v>
      </c>
      <c r="G101" s="59">
        <v>-56.76</v>
      </c>
      <c r="H101" s="59">
        <v>121.62</v>
      </c>
      <c r="I101" s="59">
        <v>0.22</v>
      </c>
      <c r="J101" s="59">
        <v>0.28999999999999998</v>
      </c>
      <c r="K101" s="59">
        <v>0.56000000000000005</v>
      </c>
      <c r="L101" s="59">
        <v>0.13</v>
      </c>
    </row>
    <row r="102" spans="1:12">
      <c r="A102" s="59">
        <v>95</v>
      </c>
      <c r="B102" s="59" t="s">
        <v>82</v>
      </c>
      <c r="C102" s="59">
        <v>69</v>
      </c>
      <c r="D102" s="59">
        <v>17</v>
      </c>
      <c r="E102" s="59">
        <v>322</v>
      </c>
      <c r="F102" s="59">
        <v>232</v>
      </c>
      <c r="G102" s="59">
        <v>305.88</v>
      </c>
      <c r="H102" s="59">
        <v>38.79</v>
      </c>
      <c r="I102" s="59">
        <v>0.24</v>
      </c>
      <c r="J102" s="59">
        <v>0.28999999999999998</v>
      </c>
      <c r="K102" s="59">
        <v>0.06</v>
      </c>
      <c r="L102" s="59">
        <v>0.2</v>
      </c>
    </row>
    <row r="103" spans="1:12">
      <c r="A103" s="59">
        <v>96</v>
      </c>
      <c r="B103" s="59" t="s">
        <v>182</v>
      </c>
      <c r="C103" s="59">
        <v>101</v>
      </c>
      <c r="D103" s="59">
        <v>66</v>
      </c>
      <c r="E103" s="59">
        <v>319</v>
      </c>
      <c r="F103" s="59">
        <v>317</v>
      </c>
      <c r="G103" s="59">
        <v>53.03</v>
      </c>
      <c r="H103" s="59">
        <v>0.63</v>
      </c>
      <c r="I103" s="59">
        <v>0.35</v>
      </c>
      <c r="J103" s="59">
        <v>0.28000000000000003</v>
      </c>
      <c r="K103" s="59">
        <v>0.25</v>
      </c>
      <c r="L103" s="59">
        <v>0.27</v>
      </c>
    </row>
    <row r="104" spans="1:12">
      <c r="A104" s="59">
        <v>97</v>
      </c>
      <c r="B104" s="59" t="s">
        <v>71</v>
      </c>
      <c r="C104" s="59">
        <v>65</v>
      </c>
      <c r="D104" s="59">
        <v>77</v>
      </c>
      <c r="E104" s="59">
        <v>315</v>
      </c>
      <c r="F104" s="59">
        <v>590</v>
      </c>
      <c r="G104" s="59">
        <v>-15.58</v>
      </c>
      <c r="H104" s="59">
        <v>-46.61</v>
      </c>
      <c r="I104" s="59">
        <v>0.23</v>
      </c>
      <c r="J104" s="59">
        <v>0.28000000000000003</v>
      </c>
      <c r="K104" s="59">
        <v>0.28999999999999998</v>
      </c>
      <c r="L104" s="59">
        <v>0.5</v>
      </c>
    </row>
    <row r="105" spans="1:12">
      <c r="A105" s="59">
        <v>98</v>
      </c>
      <c r="B105" s="59" t="s">
        <v>506</v>
      </c>
      <c r="C105" s="59">
        <v>10</v>
      </c>
      <c r="D105" s="59">
        <v>63</v>
      </c>
      <c r="E105" s="59">
        <v>310</v>
      </c>
      <c r="F105" s="59">
        <v>146</v>
      </c>
      <c r="G105" s="59">
        <v>-84.13</v>
      </c>
      <c r="H105" s="59">
        <v>112.33</v>
      </c>
      <c r="I105" s="59">
        <v>0.04</v>
      </c>
      <c r="J105" s="59">
        <v>0.28000000000000003</v>
      </c>
      <c r="K105" s="59">
        <v>0.24</v>
      </c>
      <c r="L105" s="59">
        <v>0.12</v>
      </c>
    </row>
    <row r="106" spans="1:12">
      <c r="A106" s="59">
        <v>99</v>
      </c>
      <c r="B106" s="59" t="s">
        <v>381</v>
      </c>
      <c r="C106" s="59">
        <v>52</v>
      </c>
      <c r="D106" s="59">
        <v>76</v>
      </c>
      <c r="E106" s="59">
        <v>309</v>
      </c>
      <c r="F106" s="59">
        <v>391</v>
      </c>
      <c r="G106" s="59">
        <v>-31.58</v>
      </c>
      <c r="H106" s="59">
        <v>-20.97</v>
      </c>
      <c r="I106" s="59">
        <v>0.18</v>
      </c>
      <c r="J106" s="59">
        <v>0.27</v>
      </c>
      <c r="K106" s="59">
        <v>0.28999999999999998</v>
      </c>
      <c r="L106" s="59">
        <v>0.33</v>
      </c>
    </row>
    <row r="107" spans="1:12">
      <c r="A107" s="59">
        <v>100</v>
      </c>
      <c r="B107" s="59" t="s">
        <v>169</v>
      </c>
      <c r="C107" s="59">
        <v>115</v>
      </c>
      <c r="D107" s="59">
        <v>72</v>
      </c>
      <c r="E107" s="59">
        <v>303</v>
      </c>
      <c r="F107" s="59">
        <v>244</v>
      </c>
      <c r="G107" s="59">
        <v>59.72</v>
      </c>
      <c r="H107" s="59">
        <v>24.18</v>
      </c>
      <c r="I107" s="59">
        <v>0.4</v>
      </c>
      <c r="J107" s="59">
        <v>0.27</v>
      </c>
      <c r="K107" s="59">
        <v>0.27</v>
      </c>
      <c r="L107" s="59">
        <v>0.21</v>
      </c>
    </row>
    <row r="108" spans="1:12">
      <c r="A108" s="59">
        <v>101</v>
      </c>
      <c r="B108" s="59" t="s">
        <v>1065</v>
      </c>
      <c r="C108" s="59">
        <v>262</v>
      </c>
      <c r="D108" s="59">
        <v>0</v>
      </c>
      <c r="E108" s="59">
        <v>303</v>
      </c>
      <c r="F108" s="59">
        <v>0</v>
      </c>
      <c r="G108" s="59">
        <v>0</v>
      </c>
      <c r="H108" s="59">
        <v>0</v>
      </c>
      <c r="I108" s="59">
        <v>0.92</v>
      </c>
      <c r="J108" s="59">
        <v>0.27</v>
      </c>
      <c r="K108" s="59">
        <v>0</v>
      </c>
      <c r="L108" s="59">
        <v>0</v>
      </c>
    </row>
    <row r="109" spans="1:12">
      <c r="A109" s="59">
        <v>102</v>
      </c>
      <c r="B109" s="59" t="s">
        <v>158</v>
      </c>
      <c r="C109" s="59">
        <v>42</v>
      </c>
      <c r="D109" s="59">
        <v>36</v>
      </c>
      <c r="E109" s="59">
        <v>302</v>
      </c>
      <c r="F109" s="59">
        <v>218</v>
      </c>
      <c r="G109" s="59">
        <v>16.670000000000002</v>
      </c>
      <c r="H109" s="59">
        <v>38.53</v>
      </c>
      <c r="I109" s="59">
        <v>0.15</v>
      </c>
      <c r="J109" s="59">
        <v>0.27</v>
      </c>
      <c r="K109" s="59">
        <v>0.14000000000000001</v>
      </c>
      <c r="L109" s="59">
        <v>0.18</v>
      </c>
    </row>
    <row r="110" spans="1:12">
      <c r="A110" s="59">
        <v>103</v>
      </c>
      <c r="B110" s="59" t="s">
        <v>78</v>
      </c>
      <c r="C110" s="59">
        <v>35</v>
      </c>
      <c r="D110" s="59">
        <v>95</v>
      </c>
      <c r="E110" s="59">
        <v>292</v>
      </c>
      <c r="F110" s="59">
        <v>402</v>
      </c>
      <c r="G110" s="59">
        <v>-63.16</v>
      </c>
      <c r="H110" s="59">
        <v>-27.36</v>
      </c>
      <c r="I110" s="59">
        <v>0.12</v>
      </c>
      <c r="J110" s="59">
        <v>0.26</v>
      </c>
      <c r="K110" s="59">
        <v>0.36</v>
      </c>
      <c r="L110" s="59">
        <v>0.34</v>
      </c>
    </row>
    <row r="111" spans="1:12">
      <c r="A111" s="59">
        <v>104</v>
      </c>
      <c r="B111" s="59" t="s">
        <v>97</v>
      </c>
      <c r="C111" s="59">
        <v>102</v>
      </c>
      <c r="D111" s="59">
        <v>75</v>
      </c>
      <c r="E111" s="59">
        <v>287</v>
      </c>
      <c r="F111" s="59">
        <v>586</v>
      </c>
      <c r="G111" s="59">
        <v>36</v>
      </c>
      <c r="H111" s="59">
        <v>-51.02</v>
      </c>
      <c r="I111" s="59">
        <v>0.36</v>
      </c>
      <c r="J111" s="59">
        <v>0.26</v>
      </c>
      <c r="K111" s="59">
        <v>0.28000000000000003</v>
      </c>
      <c r="L111" s="59">
        <v>0.5</v>
      </c>
    </row>
    <row r="112" spans="1:12">
      <c r="A112" s="59">
        <v>105</v>
      </c>
      <c r="B112" s="59" t="s">
        <v>625</v>
      </c>
      <c r="C112" s="59">
        <v>28</v>
      </c>
      <c r="D112" s="59">
        <v>25</v>
      </c>
      <c r="E112" s="59">
        <v>287</v>
      </c>
      <c r="F112" s="59">
        <v>280</v>
      </c>
      <c r="G112" s="59">
        <v>12</v>
      </c>
      <c r="H112" s="59">
        <v>2.5</v>
      </c>
      <c r="I112" s="59">
        <v>0.1</v>
      </c>
      <c r="J112" s="59">
        <v>0.26</v>
      </c>
      <c r="K112" s="59">
        <v>0.09</v>
      </c>
      <c r="L112" s="59">
        <v>0.24</v>
      </c>
    </row>
    <row r="113" spans="1:12">
      <c r="A113" s="59">
        <v>106</v>
      </c>
      <c r="B113" s="59" t="s">
        <v>677</v>
      </c>
      <c r="C113" s="59">
        <v>57</v>
      </c>
      <c r="D113" s="59">
        <v>56</v>
      </c>
      <c r="E113" s="59">
        <v>278</v>
      </c>
      <c r="F113" s="59">
        <v>204</v>
      </c>
      <c r="G113" s="59">
        <v>1.79</v>
      </c>
      <c r="H113" s="59">
        <v>36.270000000000003</v>
      </c>
      <c r="I113" s="59">
        <v>0.2</v>
      </c>
      <c r="J113" s="59">
        <v>0.25</v>
      </c>
      <c r="K113" s="59">
        <v>0.21</v>
      </c>
      <c r="L113" s="59">
        <v>0.17</v>
      </c>
    </row>
    <row r="114" spans="1:12">
      <c r="A114" s="59">
        <v>107</v>
      </c>
      <c r="B114" s="59" t="s">
        <v>141</v>
      </c>
      <c r="C114" s="59">
        <v>53</v>
      </c>
      <c r="D114" s="59">
        <v>33</v>
      </c>
      <c r="E114" s="59">
        <v>274</v>
      </c>
      <c r="F114" s="59">
        <v>434</v>
      </c>
      <c r="G114" s="59">
        <v>60.61</v>
      </c>
      <c r="H114" s="59">
        <v>-36.869999999999997</v>
      </c>
      <c r="I114" s="59">
        <v>0.19</v>
      </c>
      <c r="J114" s="59">
        <v>0.24</v>
      </c>
      <c r="K114" s="59">
        <v>0.12</v>
      </c>
      <c r="L114" s="59">
        <v>0.37</v>
      </c>
    </row>
    <row r="115" spans="1:12">
      <c r="A115" s="59">
        <v>108</v>
      </c>
      <c r="B115" s="59" t="s">
        <v>129</v>
      </c>
      <c r="C115" s="59">
        <v>79</v>
      </c>
      <c r="D115" s="59">
        <v>130</v>
      </c>
      <c r="E115" s="59">
        <v>266</v>
      </c>
      <c r="F115" s="59">
        <v>356</v>
      </c>
      <c r="G115" s="59">
        <v>-39.229999999999997</v>
      </c>
      <c r="H115" s="59">
        <v>-25.28</v>
      </c>
      <c r="I115" s="59">
        <v>0.28000000000000003</v>
      </c>
      <c r="J115" s="59">
        <v>0.24</v>
      </c>
      <c r="K115" s="59">
        <v>0.49</v>
      </c>
      <c r="L115" s="59">
        <v>0.3</v>
      </c>
    </row>
    <row r="116" spans="1:12">
      <c r="A116" s="59">
        <v>109</v>
      </c>
      <c r="B116" s="59" t="s">
        <v>117</v>
      </c>
      <c r="C116" s="59">
        <v>41</v>
      </c>
      <c r="D116" s="59">
        <v>48</v>
      </c>
      <c r="E116" s="59">
        <v>265</v>
      </c>
      <c r="F116" s="59">
        <v>313</v>
      </c>
      <c r="G116" s="59">
        <v>-14.58</v>
      </c>
      <c r="H116" s="59">
        <v>-15.34</v>
      </c>
      <c r="I116" s="59">
        <v>0.14000000000000001</v>
      </c>
      <c r="J116" s="59">
        <v>0.24</v>
      </c>
      <c r="K116" s="59">
        <v>0.18</v>
      </c>
      <c r="L116" s="59">
        <v>0.27</v>
      </c>
    </row>
    <row r="117" spans="1:12">
      <c r="A117" s="59">
        <v>110</v>
      </c>
      <c r="B117" s="59" t="s">
        <v>134</v>
      </c>
      <c r="C117" s="59">
        <v>33</v>
      </c>
      <c r="D117" s="59">
        <v>57</v>
      </c>
      <c r="E117" s="59">
        <v>258</v>
      </c>
      <c r="F117" s="59">
        <v>240</v>
      </c>
      <c r="G117" s="59">
        <v>-42.11</v>
      </c>
      <c r="H117" s="59">
        <v>7.5</v>
      </c>
      <c r="I117" s="59">
        <v>0.12</v>
      </c>
      <c r="J117" s="59">
        <v>0.23</v>
      </c>
      <c r="K117" s="59">
        <v>0.22</v>
      </c>
      <c r="L117" s="59">
        <v>0.2</v>
      </c>
    </row>
    <row r="118" spans="1:12">
      <c r="A118" s="59">
        <v>111</v>
      </c>
      <c r="B118" s="59" t="s">
        <v>136</v>
      </c>
      <c r="C118" s="59">
        <v>37</v>
      </c>
      <c r="D118" s="59">
        <v>176</v>
      </c>
      <c r="E118" s="59">
        <v>256</v>
      </c>
      <c r="F118" s="59">
        <v>538</v>
      </c>
      <c r="G118" s="59">
        <v>-78.98</v>
      </c>
      <c r="H118" s="59">
        <v>-52.42</v>
      </c>
      <c r="I118" s="59">
        <v>0.13</v>
      </c>
      <c r="J118" s="59">
        <v>0.23</v>
      </c>
      <c r="K118" s="59">
        <v>0.67</v>
      </c>
      <c r="L118" s="59">
        <v>0.46</v>
      </c>
    </row>
    <row r="119" spans="1:12">
      <c r="A119" s="59">
        <v>112</v>
      </c>
      <c r="B119" s="59" t="s">
        <v>151</v>
      </c>
      <c r="C119" s="59">
        <v>99</v>
      </c>
      <c r="D119" s="59">
        <v>179</v>
      </c>
      <c r="E119" s="59">
        <v>253</v>
      </c>
      <c r="F119" s="59">
        <v>572</v>
      </c>
      <c r="G119" s="59">
        <v>-44.69</v>
      </c>
      <c r="H119" s="59">
        <v>-55.77</v>
      </c>
      <c r="I119" s="59">
        <v>0.35</v>
      </c>
      <c r="J119" s="59">
        <v>0.23</v>
      </c>
      <c r="K119" s="59">
        <v>0.68</v>
      </c>
      <c r="L119" s="59">
        <v>0.48</v>
      </c>
    </row>
    <row r="120" spans="1:12">
      <c r="A120" s="59">
        <v>113</v>
      </c>
      <c r="B120" s="59" t="s">
        <v>165</v>
      </c>
      <c r="C120" s="59">
        <v>18</v>
      </c>
      <c r="D120" s="59">
        <v>26</v>
      </c>
      <c r="E120" s="59">
        <v>250</v>
      </c>
      <c r="F120" s="59">
        <v>82</v>
      </c>
      <c r="G120" s="59">
        <v>-30.77</v>
      </c>
      <c r="H120" s="59">
        <v>204.88</v>
      </c>
      <c r="I120" s="59">
        <v>0.06</v>
      </c>
      <c r="J120" s="59">
        <v>0.22</v>
      </c>
      <c r="K120" s="59">
        <v>0.1</v>
      </c>
      <c r="L120" s="59">
        <v>7.0000000000000007E-2</v>
      </c>
    </row>
    <row r="121" spans="1:12">
      <c r="A121" s="59">
        <v>114</v>
      </c>
      <c r="B121" s="59" t="s">
        <v>172</v>
      </c>
      <c r="C121" s="59">
        <v>65</v>
      </c>
      <c r="D121" s="59">
        <v>45</v>
      </c>
      <c r="E121" s="59">
        <v>248</v>
      </c>
      <c r="F121" s="59">
        <v>262</v>
      </c>
      <c r="G121" s="59">
        <v>44.44</v>
      </c>
      <c r="H121" s="59">
        <v>-5.34</v>
      </c>
      <c r="I121" s="59">
        <v>0.23</v>
      </c>
      <c r="J121" s="59">
        <v>0.22</v>
      </c>
      <c r="K121" s="59">
        <v>0.17</v>
      </c>
      <c r="L121" s="59">
        <v>0.22</v>
      </c>
    </row>
    <row r="122" spans="1:12">
      <c r="A122" s="59">
        <v>115</v>
      </c>
      <c r="B122" s="59" t="s">
        <v>118</v>
      </c>
      <c r="C122" s="59">
        <v>38</v>
      </c>
      <c r="D122" s="59">
        <v>26</v>
      </c>
      <c r="E122" s="59">
        <v>241</v>
      </c>
      <c r="F122" s="59">
        <v>139</v>
      </c>
      <c r="G122" s="59">
        <v>46.15</v>
      </c>
      <c r="H122" s="59">
        <v>73.38</v>
      </c>
      <c r="I122" s="59">
        <v>0.13</v>
      </c>
      <c r="J122" s="59">
        <v>0.21</v>
      </c>
      <c r="K122" s="59">
        <v>0.1</v>
      </c>
      <c r="L122" s="59">
        <v>0.12</v>
      </c>
    </row>
    <row r="123" spans="1:12">
      <c r="A123" s="59">
        <v>116</v>
      </c>
      <c r="B123" s="59" t="s">
        <v>145</v>
      </c>
      <c r="C123" s="59">
        <v>39</v>
      </c>
      <c r="D123" s="59">
        <v>22</v>
      </c>
      <c r="E123" s="59">
        <v>235</v>
      </c>
      <c r="F123" s="59">
        <v>145</v>
      </c>
      <c r="G123" s="59">
        <v>77.27</v>
      </c>
      <c r="H123" s="59">
        <v>62.07</v>
      </c>
      <c r="I123" s="59">
        <v>0.14000000000000001</v>
      </c>
      <c r="J123" s="59">
        <v>0.21</v>
      </c>
      <c r="K123" s="59">
        <v>0.08</v>
      </c>
      <c r="L123" s="59">
        <v>0.12</v>
      </c>
    </row>
    <row r="124" spans="1:12">
      <c r="A124" s="59">
        <v>117</v>
      </c>
      <c r="B124" s="59" t="s">
        <v>406</v>
      </c>
      <c r="C124" s="59">
        <v>47</v>
      </c>
      <c r="D124" s="59">
        <v>60</v>
      </c>
      <c r="E124" s="59">
        <v>223</v>
      </c>
      <c r="F124" s="59">
        <v>196</v>
      </c>
      <c r="G124" s="59">
        <v>-21.67</v>
      </c>
      <c r="H124" s="59">
        <v>13.78</v>
      </c>
      <c r="I124" s="59">
        <v>0.16</v>
      </c>
      <c r="J124" s="59">
        <v>0.2</v>
      </c>
      <c r="K124" s="59">
        <v>0.23</v>
      </c>
      <c r="L124" s="59">
        <v>0.17</v>
      </c>
    </row>
    <row r="125" spans="1:12">
      <c r="A125" s="59">
        <v>118</v>
      </c>
      <c r="B125" s="59" t="s">
        <v>132</v>
      </c>
      <c r="C125" s="59">
        <v>39</v>
      </c>
      <c r="D125" s="59">
        <v>119</v>
      </c>
      <c r="E125" s="59">
        <v>220</v>
      </c>
      <c r="F125" s="59">
        <v>274</v>
      </c>
      <c r="G125" s="59">
        <v>-67.23</v>
      </c>
      <c r="H125" s="59">
        <v>-19.71</v>
      </c>
      <c r="I125" s="59">
        <v>0.14000000000000001</v>
      </c>
      <c r="J125" s="59">
        <v>0.2</v>
      </c>
      <c r="K125" s="59">
        <v>0.45</v>
      </c>
      <c r="L125" s="59">
        <v>0.23</v>
      </c>
    </row>
    <row r="126" spans="1:12">
      <c r="A126" s="59">
        <v>119</v>
      </c>
      <c r="B126" s="59" t="s">
        <v>389</v>
      </c>
      <c r="C126" s="59">
        <v>73</v>
      </c>
      <c r="D126" s="59">
        <v>42</v>
      </c>
      <c r="E126" s="59">
        <v>214</v>
      </c>
      <c r="F126" s="59">
        <v>145</v>
      </c>
      <c r="G126" s="59">
        <v>73.81</v>
      </c>
      <c r="H126" s="59">
        <v>47.59</v>
      </c>
      <c r="I126" s="59">
        <v>0.26</v>
      </c>
      <c r="J126" s="59">
        <v>0.19</v>
      </c>
      <c r="K126" s="59">
        <v>0.16</v>
      </c>
      <c r="L126" s="59">
        <v>0.12</v>
      </c>
    </row>
    <row r="127" spans="1:12">
      <c r="A127" s="59">
        <v>120</v>
      </c>
      <c r="B127" s="59" t="s">
        <v>691</v>
      </c>
      <c r="C127" s="59">
        <v>30</v>
      </c>
      <c r="D127" s="59">
        <v>29</v>
      </c>
      <c r="E127" s="59">
        <v>214</v>
      </c>
      <c r="F127" s="59">
        <v>90</v>
      </c>
      <c r="G127" s="59">
        <v>3.45</v>
      </c>
      <c r="H127" s="59">
        <v>137.78</v>
      </c>
      <c r="I127" s="59">
        <v>0.11</v>
      </c>
      <c r="J127" s="59">
        <v>0.19</v>
      </c>
      <c r="K127" s="59">
        <v>0.11</v>
      </c>
      <c r="L127" s="59">
        <v>0.08</v>
      </c>
    </row>
    <row r="128" spans="1:12">
      <c r="A128" s="59">
        <v>121</v>
      </c>
      <c r="B128" s="59" t="s">
        <v>1224</v>
      </c>
      <c r="C128" s="59">
        <v>32</v>
      </c>
      <c r="D128" s="59">
        <v>5</v>
      </c>
      <c r="E128" s="59">
        <v>213</v>
      </c>
      <c r="F128" s="59">
        <v>58</v>
      </c>
      <c r="G128" s="59">
        <v>540</v>
      </c>
      <c r="H128" s="59">
        <v>267.24</v>
      </c>
      <c r="I128" s="59">
        <v>0.11</v>
      </c>
      <c r="J128" s="59">
        <v>0.19</v>
      </c>
      <c r="K128" s="59">
        <v>0.02</v>
      </c>
      <c r="L128" s="59">
        <v>0.05</v>
      </c>
    </row>
    <row r="129" spans="1:12">
      <c r="A129" s="59">
        <v>122</v>
      </c>
      <c r="B129" s="59" t="s">
        <v>159</v>
      </c>
      <c r="C129" s="59">
        <v>29</v>
      </c>
      <c r="D129" s="59">
        <v>63</v>
      </c>
      <c r="E129" s="59">
        <v>207</v>
      </c>
      <c r="F129" s="59">
        <v>218</v>
      </c>
      <c r="G129" s="59">
        <v>-53.97</v>
      </c>
      <c r="H129" s="59">
        <v>-5.05</v>
      </c>
      <c r="I129" s="59">
        <v>0.1</v>
      </c>
      <c r="J129" s="59">
        <v>0.18</v>
      </c>
      <c r="K129" s="59">
        <v>0.24</v>
      </c>
      <c r="L129" s="59">
        <v>0.18</v>
      </c>
    </row>
    <row r="130" spans="1:12">
      <c r="A130" s="59">
        <v>123</v>
      </c>
      <c r="B130" s="59" t="s">
        <v>101</v>
      </c>
      <c r="C130" s="59">
        <v>17</v>
      </c>
      <c r="D130" s="59">
        <v>27</v>
      </c>
      <c r="E130" s="59">
        <v>204</v>
      </c>
      <c r="F130" s="59">
        <v>189</v>
      </c>
      <c r="G130" s="59">
        <v>-37.04</v>
      </c>
      <c r="H130" s="59">
        <v>7.94</v>
      </c>
      <c r="I130" s="59">
        <v>0.06</v>
      </c>
      <c r="J130" s="59">
        <v>0.18</v>
      </c>
      <c r="K130" s="59">
        <v>0.1</v>
      </c>
      <c r="L130" s="59">
        <v>0.16</v>
      </c>
    </row>
    <row r="131" spans="1:12">
      <c r="A131" s="59">
        <v>124</v>
      </c>
      <c r="B131" s="59" t="s">
        <v>153</v>
      </c>
      <c r="C131" s="59">
        <v>29</v>
      </c>
      <c r="D131" s="59">
        <v>43</v>
      </c>
      <c r="E131" s="59">
        <v>195</v>
      </c>
      <c r="F131" s="59">
        <v>198</v>
      </c>
      <c r="G131" s="59">
        <v>-32.56</v>
      </c>
      <c r="H131" s="59">
        <v>-1.52</v>
      </c>
      <c r="I131" s="59">
        <v>0.1</v>
      </c>
      <c r="J131" s="59">
        <v>0.17</v>
      </c>
      <c r="K131" s="59">
        <v>0.16</v>
      </c>
      <c r="L131" s="59">
        <v>0.17</v>
      </c>
    </row>
    <row r="132" spans="1:12">
      <c r="A132" s="59">
        <v>125</v>
      </c>
      <c r="B132" s="59" t="s">
        <v>380</v>
      </c>
      <c r="C132" s="59">
        <v>41</v>
      </c>
      <c r="D132" s="59">
        <v>77</v>
      </c>
      <c r="E132" s="59">
        <v>185</v>
      </c>
      <c r="F132" s="59">
        <v>230</v>
      </c>
      <c r="G132" s="59">
        <v>-46.75</v>
      </c>
      <c r="H132" s="59">
        <v>-19.57</v>
      </c>
      <c r="I132" s="59">
        <v>0.14000000000000001</v>
      </c>
      <c r="J132" s="59">
        <v>0.16</v>
      </c>
      <c r="K132" s="59">
        <v>0.28999999999999998</v>
      </c>
      <c r="L132" s="59">
        <v>0.19</v>
      </c>
    </row>
    <row r="133" spans="1:12">
      <c r="A133" s="59">
        <v>126</v>
      </c>
      <c r="B133" s="59" t="s">
        <v>147</v>
      </c>
      <c r="C133" s="59">
        <v>124</v>
      </c>
      <c r="D133" s="59">
        <v>0</v>
      </c>
      <c r="E133" s="59">
        <v>180</v>
      </c>
      <c r="F133" s="59">
        <v>0</v>
      </c>
      <c r="G133" s="59">
        <v>0</v>
      </c>
      <c r="H133" s="59">
        <v>0</v>
      </c>
      <c r="I133" s="59">
        <v>0.44</v>
      </c>
      <c r="J133" s="59">
        <v>0.16</v>
      </c>
      <c r="K133" s="59">
        <v>0</v>
      </c>
      <c r="L133" s="59">
        <v>0</v>
      </c>
    </row>
    <row r="134" spans="1:12">
      <c r="A134" s="59">
        <v>127</v>
      </c>
      <c r="B134" s="59" t="s">
        <v>178</v>
      </c>
      <c r="C134" s="59">
        <v>49</v>
      </c>
      <c r="D134" s="59">
        <v>19</v>
      </c>
      <c r="E134" s="59">
        <v>177</v>
      </c>
      <c r="F134" s="59">
        <v>53</v>
      </c>
      <c r="G134" s="59">
        <v>157.88999999999999</v>
      </c>
      <c r="H134" s="59">
        <v>233.96</v>
      </c>
      <c r="I134" s="59">
        <v>0.17</v>
      </c>
      <c r="J134" s="59">
        <v>0.16</v>
      </c>
      <c r="K134" s="59">
        <v>7.0000000000000007E-2</v>
      </c>
      <c r="L134" s="59">
        <v>0.04</v>
      </c>
    </row>
    <row r="135" spans="1:12">
      <c r="A135" s="59">
        <v>128</v>
      </c>
      <c r="B135" s="59" t="s">
        <v>104</v>
      </c>
      <c r="C135" s="59">
        <v>42</v>
      </c>
      <c r="D135" s="59">
        <v>22</v>
      </c>
      <c r="E135" s="59">
        <v>166</v>
      </c>
      <c r="F135" s="59">
        <v>105</v>
      </c>
      <c r="G135" s="59">
        <v>90.91</v>
      </c>
      <c r="H135" s="59">
        <v>58.1</v>
      </c>
      <c r="I135" s="59">
        <v>0.15</v>
      </c>
      <c r="J135" s="59">
        <v>0.15</v>
      </c>
      <c r="K135" s="59">
        <v>0.08</v>
      </c>
      <c r="L135" s="59">
        <v>0.09</v>
      </c>
    </row>
    <row r="136" spans="1:12">
      <c r="A136" s="59">
        <v>129</v>
      </c>
      <c r="B136" s="59" t="s">
        <v>1092</v>
      </c>
      <c r="C136" s="59">
        <v>54</v>
      </c>
      <c r="D136" s="59">
        <v>0</v>
      </c>
      <c r="E136" s="59">
        <v>163</v>
      </c>
      <c r="F136" s="59">
        <v>0</v>
      </c>
      <c r="G136" s="59">
        <v>0</v>
      </c>
      <c r="H136" s="59">
        <v>0</v>
      </c>
      <c r="I136" s="59">
        <v>0.19</v>
      </c>
      <c r="J136" s="59">
        <v>0.15</v>
      </c>
      <c r="K136" s="59">
        <v>0</v>
      </c>
      <c r="L136" s="59">
        <v>0</v>
      </c>
    </row>
    <row r="137" spans="1:12">
      <c r="A137" s="59">
        <v>130</v>
      </c>
      <c r="B137" s="59" t="s">
        <v>106</v>
      </c>
      <c r="C137" s="59">
        <v>29</v>
      </c>
      <c r="D137" s="59">
        <v>41</v>
      </c>
      <c r="E137" s="59">
        <v>160</v>
      </c>
      <c r="F137" s="59">
        <v>269</v>
      </c>
      <c r="G137" s="59">
        <v>-29.27</v>
      </c>
      <c r="H137" s="59">
        <v>-40.520000000000003</v>
      </c>
      <c r="I137" s="59">
        <v>0.1</v>
      </c>
      <c r="J137" s="59">
        <v>0.14000000000000001</v>
      </c>
      <c r="K137" s="59">
        <v>0.16</v>
      </c>
      <c r="L137" s="59">
        <v>0.23</v>
      </c>
    </row>
    <row r="138" spans="1:12">
      <c r="A138" s="59">
        <v>131</v>
      </c>
      <c r="B138" s="59" t="s">
        <v>168</v>
      </c>
      <c r="C138" s="59">
        <v>55</v>
      </c>
      <c r="D138" s="59">
        <v>80</v>
      </c>
      <c r="E138" s="59">
        <v>159</v>
      </c>
      <c r="F138" s="59">
        <v>243</v>
      </c>
      <c r="G138" s="59">
        <v>-31.25</v>
      </c>
      <c r="H138" s="59">
        <v>-34.57</v>
      </c>
      <c r="I138" s="59">
        <v>0.19</v>
      </c>
      <c r="J138" s="59">
        <v>0.14000000000000001</v>
      </c>
      <c r="K138" s="59">
        <v>0.3</v>
      </c>
      <c r="L138" s="59">
        <v>0.21</v>
      </c>
    </row>
    <row r="139" spans="1:12">
      <c r="A139" s="59">
        <v>132</v>
      </c>
      <c r="B139" s="59" t="s">
        <v>626</v>
      </c>
      <c r="C139" s="59">
        <v>10</v>
      </c>
      <c r="D139" s="59">
        <v>35</v>
      </c>
      <c r="E139" s="59">
        <v>155</v>
      </c>
      <c r="F139" s="59">
        <v>406</v>
      </c>
      <c r="G139" s="59">
        <v>-71.430000000000007</v>
      </c>
      <c r="H139" s="59">
        <v>-61.82</v>
      </c>
      <c r="I139" s="59">
        <v>0.04</v>
      </c>
      <c r="J139" s="59">
        <v>0.14000000000000001</v>
      </c>
      <c r="K139" s="59">
        <v>0.13</v>
      </c>
      <c r="L139" s="59">
        <v>0.34</v>
      </c>
    </row>
    <row r="140" spans="1:12">
      <c r="A140" s="59">
        <v>133</v>
      </c>
      <c r="B140" s="59" t="s">
        <v>186</v>
      </c>
      <c r="C140" s="59">
        <v>30</v>
      </c>
      <c r="D140" s="59">
        <v>34</v>
      </c>
      <c r="E140" s="59">
        <v>153</v>
      </c>
      <c r="F140" s="59">
        <v>183</v>
      </c>
      <c r="G140" s="59">
        <v>-11.76</v>
      </c>
      <c r="H140" s="59">
        <v>-16.39</v>
      </c>
      <c r="I140" s="59">
        <v>0.11</v>
      </c>
      <c r="J140" s="59">
        <v>0.14000000000000001</v>
      </c>
      <c r="K140" s="59">
        <v>0.13</v>
      </c>
      <c r="L140" s="59">
        <v>0.15</v>
      </c>
    </row>
    <row r="141" spans="1:12">
      <c r="A141" s="59">
        <v>134</v>
      </c>
      <c r="B141" s="59" t="s">
        <v>164</v>
      </c>
      <c r="C141" s="59">
        <v>48</v>
      </c>
      <c r="D141" s="59">
        <v>35</v>
      </c>
      <c r="E141" s="59">
        <v>152</v>
      </c>
      <c r="F141" s="59">
        <v>36</v>
      </c>
      <c r="G141" s="59">
        <v>37.14</v>
      </c>
      <c r="H141" s="59">
        <v>322.22000000000003</v>
      </c>
      <c r="I141" s="59">
        <v>0.17</v>
      </c>
      <c r="J141" s="59">
        <v>0.14000000000000001</v>
      </c>
      <c r="K141" s="59">
        <v>0.13</v>
      </c>
      <c r="L141" s="59">
        <v>0.03</v>
      </c>
    </row>
    <row r="142" spans="1:12">
      <c r="A142" s="59">
        <v>135</v>
      </c>
      <c r="B142" s="59" t="s">
        <v>188</v>
      </c>
      <c r="C142" s="59">
        <v>35</v>
      </c>
      <c r="D142" s="59">
        <v>36</v>
      </c>
      <c r="E142" s="59">
        <v>150</v>
      </c>
      <c r="F142" s="59">
        <v>98</v>
      </c>
      <c r="G142" s="59">
        <v>-2.78</v>
      </c>
      <c r="H142" s="59">
        <v>53.06</v>
      </c>
      <c r="I142" s="59">
        <v>0.12</v>
      </c>
      <c r="J142" s="59">
        <v>0.13</v>
      </c>
      <c r="K142" s="59">
        <v>0.14000000000000001</v>
      </c>
      <c r="L142" s="59">
        <v>0.08</v>
      </c>
    </row>
    <row r="143" spans="1:12">
      <c r="A143" s="59">
        <v>136</v>
      </c>
      <c r="B143" s="59" t="s">
        <v>122</v>
      </c>
      <c r="C143" s="59">
        <v>52</v>
      </c>
      <c r="D143" s="59">
        <v>51</v>
      </c>
      <c r="E143" s="59">
        <v>146</v>
      </c>
      <c r="F143" s="59">
        <v>275</v>
      </c>
      <c r="G143" s="59">
        <v>1.96</v>
      </c>
      <c r="H143" s="59">
        <v>-46.91</v>
      </c>
      <c r="I143" s="59">
        <v>0.18</v>
      </c>
      <c r="J143" s="59">
        <v>0.13</v>
      </c>
      <c r="K143" s="59">
        <v>0.19</v>
      </c>
      <c r="L143" s="59">
        <v>0.23</v>
      </c>
    </row>
    <row r="144" spans="1:12">
      <c r="A144" s="59">
        <v>137</v>
      </c>
      <c r="B144" s="59" t="s">
        <v>152</v>
      </c>
      <c r="C144" s="59">
        <v>68</v>
      </c>
      <c r="D144" s="59">
        <v>1</v>
      </c>
      <c r="E144" s="59">
        <v>145</v>
      </c>
      <c r="F144" s="59">
        <v>16</v>
      </c>
      <c r="G144" s="59">
        <v>6700</v>
      </c>
      <c r="H144" s="59">
        <v>806.25</v>
      </c>
      <c r="I144" s="59">
        <v>0.24</v>
      </c>
      <c r="J144" s="59">
        <v>0.13</v>
      </c>
      <c r="K144" s="59">
        <v>0</v>
      </c>
      <c r="L144" s="59">
        <v>0.01</v>
      </c>
    </row>
    <row r="145" spans="1:12">
      <c r="A145" s="59">
        <v>138</v>
      </c>
      <c r="B145" s="59" t="s">
        <v>610</v>
      </c>
      <c r="C145" s="59">
        <v>0</v>
      </c>
      <c r="D145" s="59">
        <v>182</v>
      </c>
      <c r="E145" s="59">
        <v>142</v>
      </c>
      <c r="F145" s="59">
        <v>947</v>
      </c>
      <c r="G145" s="59">
        <v>-100</v>
      </c>
      <c r="H145" s="59">
        <v>-85.01</v>
      </c>
      <c r="I145" s="59">
        <v>0</v>
      </c>
      <c r="J145" s="59">
        <v>0.13</v>
      </c>
      <c r="K145" s="59">
        <v>0.69</v>
      </c>
      <c r="L145" s="59">
        <v>0.8</v>
      </c>
    </row>
    <row r="146" spans="1:12">
      <c r="A146" s="59">
        <v>139</v>
      </c>
      <c r="B146" s="59" t="s">
        <v>112</v>
      </c>
      <c r="C146" s="59">
        <v>32</v>
      </c>
      <c r="D146" s="59">
        <v>41</v>
      </c>
      <c r="E146" s="59">
        <v>142</v>
      </c>
      <c r="F146" s="59">
        <v>94</v>
      </c>
      <c r="G146" s="59">
        <v>-21.95</v>
      </c>
      <c r="H146" s="59">
        <v>51.06</v>
      </c>
      <c r="I146" s="59">
        <v>0.11</v>
      </c>
      <c r="J146" s="59">
        <v>0.13</v>
      </c>
      <c r="K146" s="59">
        <v>0.16</v>
      </c>
      <c r="L146" s="59">
        <v>0.08</v>
      </c>
    </row>
    <row r="147" spans="1:12">
      <c r="A147" s="59">
        <v>140</v>
      </c>
      <c r="B147" s="59" t="s">
        <v>1068</v>
      </c>
      <c r="C147" s="59">
        <v>44</v>
      </c>
      <c r="D147" s="59">
        <v>0</v>
      </c>
      <c r="E147" s="59">
        <v>142</v>
      </c>
      <c r="F147" s="59">
        <v>0</v>
      </c>
      <c r="G147" s="59">
        <v>0</v>
      </c>
      <c r="H147" s="59">
        <v>0</v>
      </c>
      <c r="I147" s="59">
        <v>0.15</v>
      </c>
      <c r="J147" s="59">
        <v>0.13</v>
      </c>
      <c r="K147" s="59">
        <v>0</v>
      </c>
      <c r="L147" s="59">
        <v>0</v>
      </c>
    </row>
    <row r="148" spans="1:12">
      <c r="A148" s="59">
        <v>141</v>
      </c>
      <c r="B148" s="59" t="s">
        <v>1055</v>
      </c>
      <c r="C148" s="59">
        <v>37</v>
      </c>
      <c r="D148" s="59">
        <v>19</v>
      </c>
      <c r="E148" s="59">
        <v>138</v>
      </c>
      <c r="F148" s="59">
        <v>111</v>
      </c>
      <c r="G148" s="59">
        <v>94.74</v>
      </c>
      <c r="H148" s="59">
        <v>24.32</v>
      </c>
      <c r="I148" s="59">
        <v>0.13</v>
      </c>
      <c r="J148" s="59">
        <v>0.12</v>
      </c>
      <c r="K148" s="59">
        <v>7.0000000000000007E-2</v>
      </c>
      <c r="L148" s="59">
        <v>0.09</v>
      </c>
    </row>
    <row r="149" spans="1:12">
      <c r="A149" s="59">
        <v>142</v>
      </c>
      <c r="B149" s="59" t="s">
        <v>177</v>
      </c>
      <c r="C149" s="59">
        <v>18</v>
      </c>
      <c r="D149" s="59">
        <v>2</v>
      </c>
      <c r="E149" s="59">
        <v>136</v>
      </c>
      <c r="F149" s="59">
        <v>28</v>
      </c>
      <c r="G149" s="59">
        <v>800</v>
      </c>
      <c r="H149" s="59">
        <v>385.71</v>
      </c>
      <c r="I149" s="59">
        <v>0.06</v>
      </c>
      <c r="J149" s="59">
        <v>0.12</v>
      </c>
      <c r="K149" s="59">
        <v>0.01</v>
      </c>
      <c r="L149" s="59">
        <v>0.02</v>
      </c>
    </row>
    <row r="150" spans="1:12">
      <c r="A150" s="59">
        <v>143</v>
      </c>
      <c r="B150" s="59" t="s">
        <v>163</v>
      </c>
      <c r="C150" s="59">
        <v>38</v>
      </c>
      <c r="D150" s="59">
        <v>58</v>
      </c>
      <c r="E150" s="59">
        <v>131</v>
      </c>
      <c r="F150" s="59">
        <v>301</v>
      </c>
      <c r="G150" s="59">
        <v>-34.479999999999997</v>
      </c>
      <c r="H150" s="59">
        <v>-56.48</v>
      </c>
      <c r="I150" s="59">
        <v>0.13</v>
      </c>
      <c r="J150" s="59">
        <v>0.12</v>
      </c>
      <c r="K150" s="59">
        <v>0.22</v>
      </c>
      <c r="L150" s="59">
        <v>0.25</v>
      </c>
    </row>
    <row r="151" spans="1:12">
      <c r="A151" s="59">
        <v>144</v>
      </c>
      <c r="B151" s="59" t="s">
        <v>388</v>
      </c>
      <c r="C151" s="59">
        <v>53</v>
      </c>
      <c r="D151" s="59">
        <v>23</v>
      </c>
      <c r="E151" s="59">
        <v>129</v>
      </c>
      <c r="F151" s="59">
        <v>216</v>
      </c>
      <c r="G151" s="59">
        <v>130.43</v>
      </c>
      <c r="H151" s="59">
        <v>-40.28</v>
      </c>
      <c r="I151" s="59">
        <v>0.19</v>
      </c>
      <c r="J151" s="59">
        <v>0.11</v>
      </c>
      <c r="K151" s="59">
        <v>0.09</v>
      </c>
      <c r="L151" s="59">
        <v>0.18</v>
      </c>
    </row>
    <row r="152" spans="1:12">
      <c r="A152" s="59">
        <v>145</v>
      </c>
      <c r="B152" s="59" t="s">
        <v>107</v>
      </c>
      <c r="C152" s="59">
        <v>37</v>
      </c>
      <c r="D152" s="59">
        <v>106</v>
      </c>
      <c r="E152" s="59">
        <v>128</v>
      </c>
      <c r="F152" s="59">
        <v>347</v>
      </c>
      <c r="G152" s="59">
        <v>-65.09</v>
      </c>
      <c r="H152" s="59">
        <v>-63.11</v>
      </c>
      <c r="I152" s="59">
        <v>0.13</v>
      </c>
      <c r="J152" s="59">
        <v>0.11</v>
      </c>
      <c r="K152" s="59">
        <v>0.4</v>
      </c>
      <c r="L152" s="59">
        <v>0.28999999999999998</v>
      </c>
    </row>
    <row r="153" spans="1:12">
      <c r="A153" s="59">
        <v>146</v>
      </c>
      <c r="B153" s="59" t="s">
        <v>630</v>
      </c>
      <c r="C153" s="59">
        <v>20</v>
      </c>
      <c r="D153" s="59">
        <v>58</v>
      </c>
      <c r="E153" s="59">
        <v>125</v>
      </c>
      <c r="F153" s="59">
        <v>142</v>
      </c>
      <c r="G153" s="59">
        <v>-65.52</v>
      </c>
      <c r="H153" s="59">
        <v>-11.97</v>
      </c>
      <c r="I153" s="59">
        <v>7.0000000000000007E-2</v>
      </c>
      <c r="J153" s="59">
        <v>0.11</v>
      </c>
      <c r="K153" s="59">
        <v>0.22</v>
      </c>
      <c r="L153" s="59">
        <v>0.12</v>
      </c>
    </row>
    <row r="154" spans="1:12">
      <c r="A154" s="59">
        <v>147</v>
      </c>
      <c r="B154" s="59" t="s">
        <v>504</v>
      </c>
      <c r="C154" s="59">
        <v>38</v>
      </c>
      <c r="D154" s="59">
        <v>41</v>
      </c>
      <c r="E154" s="59">
        <v>125</v>
      </c>
      <c r="F154" s="59">
        <v>137</v>
      </c>
      <c r="G154" s="59">
        <v>-7.32</v>
      </c>
      <c r="H154" s="59">
        <v>-8.76</v>
      </c>
      <c r="I154" s="59">
        <v>0.13</v>
      </c>
      <c r="J154" s="59">
        <v>0.11</v>
      </c>
      <c r="K154" s="59">
        <v>0.16</v>
      </c>
      <c r="L154" s="59">
        <v>0.12</v>
      </c>
    </row>
    <row r="155" spans="1:12">
      <c r="A155" s="59">
        <v>148</v>
      </c>
      <c r="B155" s="59" t="s">
        <v>179</v>
      </c>
      <c r="C155" s="59">
        <v>38</v>
      </c>
      <c r="D155" s="59">
        <v>7</v>
      </c>
      <c r="E155" s="59">
        <v>124</v>
      </c>
      <c r="F155" s="59">
        <v>72</v>
      </c>
      <c r="G155" s="59">
        <v>442.86</v>
      </c>
      <c r="H155" s="59">
        <v>72.22</v>
      </c>
      <c r="I155" s="59">
        <v>0.13</v>
      </c>
      <c r="J155" s="59">
        <v>0.11</v>
      </c>
      <c r="K155" s="59">
        <v>0.03</v>
      </c>
      <c r="L155" s="59">
        <v>0.06</v>
      </c>
    </row>
    <row r="156" spans="1:12">
      <c r="A156" s="59">
        <v>149</v>
      </c>
      <c r="B156" s="59" t="s">
        <v>123</v>
      </c>
      <c r="C156" s="59">
        <v>15</v>
      </c>
      <c r="D156" s="59">
        <v>12</v>
      </c>
      <c r="E156" s="59">
        <v>123</v>
      </c>
      <c r="F156" s="59">
        <v>178</v>
      </c>
      <c r="G156" s="59">
        <v>25</v>
      </c>
      <c r="H156" s="59">
        <v>-30.9</v>
      </c>
      <c r="I156" s="59">
        <v>0.05</v>
      </c>
      <c r="J156" s="59">
        <v>0.11</v>
      </c>
      <c r="K156" s="59">
        <v>0.05</v>
      </c>
      <c r="L156" s="59">
        <v>0.15</v>
      </c>
    </row>
    <row r="157" spans="1:12">
      <c r="A157" s="59">
        <v>150</v>
      </c>
      <c r="B157" s="59" t="s">
        <v>175</v>
      </c>
      <c r="C157" s="59">
        <v>17</v>
      </c>
      <c r="D157" s="59">
        <v>26</v>
      </c>
      <c r="E157" s="59">
        <v>120</v>
      </c>
      <c r="F157" s="59">
        <v>157</v>
      </c>
      <c r="G157" s="59">
        <v>-34.619999999999997</v>
      </c>
      <c r="H157" s="59">
        <v>-23.57</v>
      </c>
      <c r="I157" s="59">
        <v>0.06</v>
      </c>
      <c r="J157" s="59">
        <v>0.11</v>
      </c>
      <c r="K157" s="59">
        <v>0.1</v>
      </c>
      <c r="L157" s="59">
        <v>0.13</v>
      </c>
    </row>
    <row r="158" spans="1:12">
      <c r="A158" s="59">
        <v>151</v>
      </c>
      <c r="B158" s="59" t="s">
        <v>199</v>
      </c>
      <c r="C158" s="59">
        <v>17</v>
      </c>
      <c r="D158" s="59">
        <v>1</v>
      </c>
      <c r="E158" s="59">
        <v>115</v>
      </c>
      <c r="F158" s="59">
        <v>16</v>
      </c>
      <c r="G158" s="59">
        <v>1600</v>
      </c>
      <c r="H158" s="59">
        <v>618.75</v>
      </c>
      <c r="I158" s="59">
        <v>0.06</v>
      </c>
      <c r="J158" s="59">
        <v>0.1</v>
      </c>
      <c r="K158" s="59">
        <v>0</v>
      </c>
      <c r="L158" s="59">
        <v>0.01</v>
      </c>
    </row>
    <row r="159" spans="1:12">
      <c r="A159" s="59">
        <v>152</v>
      </c>
      <c r="B159" s="59" t="s">
        <v>662</v>
      </c>
      <c r="C159" s="59">
        <v>34</v>
      </c>
      <c r="D159" s="59">
        <v>18</v>
      </c>
      <c r="E159" s="59">
        <v>113</v>
      </c>
      <c r="F159" s="59">
        <v>56</v>
      </c>
      <c r="G159" s="59">
        <v>88.89</v>
      </c>
      <c r="H159" s="59">
        <v>101.79</v>
      </c>
      <c r="I159" s="59">
        <v>0.12</v>
      </c>
      <c r="J159" s="59">
        <v>0.1</v>
      </c>
      <c r="K159" s="59">
        <v>7.0000000000000007E-2</v>
      </c>
      <c r="L159" s="59">
        <v>0.05</v>
      </c>
    </row>
    <row r="160" spans="1:12">
      <c r="A160" s="59">
        <v>153</v>
      </c>
      <c r="B160" s="59" t="s">
        <v>160</v>
      </c>
      <c r="C160" s="59">
        <v>34</v>
      </c>
      <c r="D160" s="59">
        <v>22</v>
      </c>
      <c r="E160" s="59">
        <v>112</v>
      </c>
      <c r="F160" s="59">
        <v>123</v>
      </c>
      <c r="G160" s="59">
        <v>54.55</v>
      </c>
      <c r="H160" s="59">
        <v>-8.94</v>
      </c>
      <c r="I160" s="59">
        <v>0.12</v>
      </c>
      <c r="J160" s="59">
        <v>0.1</v>
      </c>
      <c r="K160" s="59">
        <v>0.08</v>
      </c>
      <c r="L160" s="59">
        <v>0.1</v>
      </c>
    </row>
    <row r="161" spans="1:12">
      <c r="A161" s="59">
        <v>154</v>
      </c>
      <c r="B161" s="59" t="s">
        <v>634</v>
      </c>
      <c r="C161" s="59">
        <v>30</v>
      </c>
      <c r="D161" s="59">
        <v>16</v>
      </c>
      <c r="E161" s="59">
        <v>111</v>
      </c>
      <c r="F161" s="59">
        <v>110</v>
      </c>
      <c r="G161" s="59">
        <v>87.5</v>
      </c>
      <c r="H161" s="59">
        <v>0.91</v>
      </c>
      <c r="I161" s="59">
        <v>0.11</v>
      </c>
      <c r="J161" s="59">
        <v>0.1</v>
      </c>
      <c r="K161" s="59">
        <v>0.06</v>
      </c>
      <c r="L161" s="59">
        <v>0.09</v>
      </c>
    </row>
    <row r="162" spans="1:12">
      <c r="A162" s="59">
        <v>155</v>
      </c>
      <c r="B162" s="59" t="s">
        <v>127</v>
      </c>
      <c r="C162" s="59">
        <v>22</v>
      </c>
      <c r="D162" s="59">
        <v>21</v>
      </c>
      <c r="E162" s="59">
        <v>111</v>
      </c>
      <c r="F162" s="59">
        <v>84</v>
      </c>
      <c r="G162" s="59">
        <v>4.76</v>
      </c>
      <c r="H162" s="59">
        <v>32.14</v>
      </c>
      <c r="I162" s="59">
        <v>0.08</v>
      </c>
      <c r="J162" s="59">
        <v>0.1</v>
      </c>
      <c r="K162" s="59">
        <v>0.08</v>
      </c>
      <c r="L162" s="59">
        <v>7.0000000000000007E-2</v>
      </c>
    </row>
    <row r="163" spans="1:12">
      <c r="A163" s="59">
        <v>156</v>
      </c>
      <c r="B163" s="59" t="s">
        <v>109</v>
      </c>
      <c r="C163" s="59">
        <v>29</v>
      </c>
      <c r="D163" s="59">
        <v>41</v>
      </c>
      <c r="E163" s="59">
        <v>109</v>
      </c>
      <c r="F163" s="59">
        <v>177</v>
      </c>
      <c r="G163" s="59">
        <v>-29.27</v>
      </c>
      <c r="H163" s="59">
        <v>-38.42</v>
      </c>
      <c r="I163" s="59">
        <v>0.1</v>
      </c>
      <c r="J163" s="59">
        <v>0.1</v>
      </c>
      <c r="K163" s="59">
        <v>0.16</v>
      </c>
      <c r="L163" s="59">
        <v>0.15</v>
      </c>
    </row>
    <row r="164" spans="1:12">
      <c r="A164" s="59">
        <v>157</v>
      </c>
      <c r="B164" s="59" t="s">
        <v>1037</v>
      </c>
      <c r="C164" s="59">
        <v>26</v>
      </c>
      <c r="D164" s="59">
        <v>0</v>
      </c>
      <c r="E164" s="59">
        <v>109</v>
      </c>
      <c r="F164" s="59">
        <v>0</v>
      </c>
      <c r="G164" s="59">
        <v>0</v>
      </c>
      <c r="H164" s="59">
        <v>0</v>
      </c>
      <c r="I164" s="59">
        <v>0.09</v>
      </c>
      <c r="J164" s="59">
        <v>0.1</v>
      </c>
      <c r="K164" s="59">
        <v>0</v>
      </c>
      <c r="L164" s="59">
        <v>0</v>
      </c>
    </row>
    <row r="165" spans="1:12">
      <c r="A165" s="59">
        <v>158</v>
      </c>
      <c r="B165" s="59" t="s">
        <v>618</v>
      </c>
      <c r="C165" s="59">
        <v>13</v>
      </c>
      <c r="D165" s="59">
        <v>112</v>
      </c>
      <c r="E165" s="59">
        <v>106</v>
      </c>
      <c r="F165" s="59">
        <v>661</v>
      </c>
      <c r="G165" s="59">
        <v>-88.39</v>
      </c>
      <c r="H165" s="59">
        <v>-83.96</v>
      </c>
      <c r="I165" s="59">
        <v>0.05</v>
      </c>
      <c r="J165" s="59">
        <v>0.09</v>
      </c>
      <c r="K165" s="59">
        <v>0.42</v>
      </c>
      <c r="L165" s="59">
        <v>0.56000000000000005</v>
      </c>
    </row>
    <row r="166" spans="1:12">
      <c r="A166" s="59">
        <v>159</v>
      </c>
      <c r="B166" s="59" t="s">
        <v>724</v>
      </c>
      <c r="C166" s="59">
        <v>35</v>
      </c>
      <c r="D166" s="59">
        <v>1</v>
      </c>
      <c r="E166" s="59">
        <v>105</v>
      </c>
      <c r="F166" s="59">
        <v>2</v>
      </c>
      <c r="G166" s="59">
        <v>3400</v>
      </c>
      <c r="H166" s="59">
        <v>5150</v>
      </c>
      <c r="I166" s="59">
        <v>0.12</v>
      </c>
      <c r="J166" s="59">
        <v>0.09</v>
      </c>
      <c r="K166" s="59">
        <v>0</v>
      </c>
      <c r="L166" s="59">
        <v>0</v>
      </c>
    </row>
    <row r="167" spans="1:12">
      <c r="A167" s="59">
        <v>160</v>
      </c>
      <c r="B167" s="59" t="s">
        <v>88</v>
      </c>
      <c r="C167" s="59">
        <v>13</v>
      </c>
      <c r="D167" s="59">
        <v>80</v>
      </c>
      <c r="E167" s="59">
        <v>103</v>
      </c>
      <c r="F167" s="59">
        <v>335</v>
      </c>
      <c r="G167" s="59">
        <v>-83.75</v>
      </c>
      <c r="H167" s="59">
        <v>-69.25</v>
      </c>
      <c r="I167" s="59">
        <v>0.05</v>
      </c>
      <c r="J167" s="59">
        <v>0.09</v>
      </c>
      <c r="K167" s="59">
        <v>0.3</v>
      </c>
      <c r="L167" s="59">
        <v>0.28000000000000003</v>
      </c>
    </row>
    <row r="168" spans="1:12">
      <c r="A168" s="59">
        <v>161</v>
      </c>
      <c r="B168" s="59" t="s">
        <v>412</v>
      </c>
      <c r="C168" s="59">
        <v>35</v>
      </c>
      <c r="D168" s="59">
        <v>11</v>
      </c>
      <c r="E168" s="59">
        <v>101</v>
      </c>
      <c r="F168" s="59">
        <v>68</v>
      </c>
      <c r="G168" s="59">
        <v>218.18</v>
      </c>
      <c r="H168" s="59">
        <v>48.53</v>
      </c>
      <c r="I168" s="59">
        <v>0.12</v>
      </c>
      <c r="J168" s="59">
        <v>0.09</v>
      </c>
      <c r="K168" s="59">
        <v>0.04</v>
      </c>
      <c r="L168" s="59">
        <v>0.06</v>
      </c>
    </row>
    <row r="169" spans="1:12">
      <c r="A169" s="59">
        <v>162</v>
      </c>
      <c r="B169" s="59" t="s">
        <v>155</v>
      </c>
      <c r="C169" s="59">
        <v>18</v>
      </c>
      <c r="D169" s="59">
        <v>14</v>
      </c>
      <c r="E169" s="59">
        <v>100</v>
      </c>
      <c r="F169" s="59">
        <v>135</v>
      </c>
      <c r="G169" s="59">
        <v>28.57</v>
      </c>
      <c r="H169" s="59">
        <v>-25.93</v>
      </c>
      <c r="I169" s="59">
        <v>0.06</v>
      </c>
      <c r="J169" s="59">
        <v>0.09</v>
      </c>
      <c r="K169" s="59">
        <v>0.05</v>
      </c>
      <c r="L169" s="59">
        <v>0.11</v>
      </c>
    </row>
    <row r="170" spans="1:12">
      <c r="A170" s="59">
        <v>163</v>
      </c>
      <c r="B170" s="59" t="s">
        <v>1113</v>
      </c>
      <c r="C170" s="59">
        <v>34</v>
      </c>
      <c r="D170" s="59">
        <v>0</v>
      </c>
      <c r="E170" s="59">
        <v>99</v>
      </c>
      <c r="F170" s="59">
        <v>0</v>
      </c>
      <c r="G170" s="59">
        <v>0</v>
      </c>
      <c r="H170" s="59">
        <v>0</v>
      </c>
      <c r="I170" s="59">
        <v>0.12</v>
      </c>
      <c r="J170" s="59">
        <v>0.09</v>
      </c>
      <c r="K170" s="59">
        <v>0</v>
      </c>
      <c r="L170" s="59">
        <v>0</v>
      </c>
    </row>
    <row r="171" spans="1:12">
      <c r="A171" s="59">
        <v>164</v>
      </c>
      <c r="B171" s="59" t="s">
        <v>138</v>
      </c>
      <c r="C171" s="59">
        <v>22</v>
      </c>
      <c r="D171" s="59">
        <v>27</v>
      </c>
      <c r="E171" s="59">
        <v>97</v>
      </c>
      <c r="F171" s="59">
        <v>114</v>
      </c>
      <c r="G171" s="59">
        <v>-18.52</v>
      </c>
      <c r="H171" s="59">
        <v>-14.91</v>
      </c>
      <c r="I171" s="59">
        <v>0.08</v>
      </c>
      <c r="J171" s="59">
        <v>0.09</v>
      </c>
      <c r="K171" s="59">
        <v>0.1</v>
      </c>
      <c r="L171" s="59">
        <v>0.1</v>
      </c>
    </row>
    <row r="172" spans="1:12">
      <c r="A172" s="59">
        <v>165</v>
      </c>
      <c r="B172" s="59" t="s">
        <v>135</v>
      </c>
      <c r="C172" s="59">
        <v>15</v>
      </c>
      <c r="D172" s="59">
        <v>17</v>
      </c>
      <c r="E172" s="59">
        <v>95</v>
      </c>
      <c r="F172" s="59">
        <v>136</v>
      </c>
      <c r="G172" s="59">
        <v>-11.76</v>
      </c>
      <c r="H172" s="59">
        <v>-30.15</v>
      </c>
      <c r="I172" s="59">
        <v>0.05</v>
      </c>
      <c r="J172" s="59">
        <v>0.08</v>
      </c>
      <c r="K172" s="59">
        <v>0.06</v>
      </c>
      <c r="L172" s="59">
        <v>0.12</v>
      </c>
    </row>
    <row r="173" spans="1:12">
      <c r="A173" s="59">
        <v>166</v>
      </c>
      <c r="B173" s="59" t="s">
        <v>173</v>
      </c>
      <c r="C173" s="59">
        <v>11</v>
      </c>
      <c r="D173" s="59">
        <v>20</v>
      </c>
      <c r="E173" s="59">
        <v>95</v>
      </c>
      <c r="F173" s="59">
        <v>88</v>
      </c>
      <c r="G173" s="59">
        <v>-45</v>
      </c>
      <c r="H173" s="59">
        <v>7.95</v>
      </c>
      <c r="I173" s="59">
        <v>0.04</v>
      </c>
      <c r="J173" s="59">
        <v>0.08</v>
      </c>
      <c r="K173" s="59">
        <v>0.08</v>
      </c>
      <c r="L173" s="59">
        <v>7.0000000000000007E-2</v>
      </c>
    </row>
    <row r="174" spans="1:12">
      <c r="A174" s="59">
        <v>167</v>
      </c>
      <c r="B174" s="59" t="s">
        <v>98</v>
      </c>
      <c r="C174" s="59">
        <v>10</v>
      </c>
      <c r="D174" s="59">
        <v>18</v>
      </c>
      <c r="E174" s="59">
        <v>93</v>
      </c>
      <c r="F174" s="59">
        <v>76</v>
      </c>
      <c r="G174" s="59">
        <v>-44.44</v>
      </c>
      <c r="H174" s="59">
        <v>22.37</v>
      </c>
      <c r="I174" s="59">
        <v>0.04</v>
      </c>
      <c r="J174" s="59">
        <v>0.08</v>
      </c>
      <c r="K174" s="59">
        <v>7.0000000000000007E-2</v>
      </c>
      <c r="L174" s="59">
        <v>0.06</v>
      </c>
    </row>
    <row r="175" spans="1:12">
      <c r="A175" s="59">
        <v>168</v>
      </c>
      <c r="B175" s="59" t="s">
        <v>149</v>
      </c>
      <c r="C175" s="59">
        <v>25</v>
      </c>
      <c r="D175" s="59">
        <v>36</v>
      </c>
      <c r="E175" s="59">
        <v>92</v>
      </c>
      <c r="F175" s="59">
        <v>120</v>
      </c>
      <c r="G175" s="59">
        <v>-30.56</v>
      </c>
      <c r="H175" s="59">
        <v>-23.33</v>
      </c>
      <c r="I175" s="59">
        <v>0.09</v>
      </c>
      <c r="J175" s="59">
        <v>0.08</v>
      </c>
      <c r="K175" s="59">
        <v>0.14000000000000001</v>
      </c>
      <c r="L175" s="59">
        <v>0.1</v>
      </c>
    </row>
    <row r="176" spans="1:12">
      <c r="A176" s="59">
        <v>169</v>
      </c>
      <c r="B176" s="59" t="s">
        <v>166</v>
      </c>
      <c r="C176" s="59">
        <v>19</v>
      </c>
      <c r="D176" s="59">
        <v>66</v>
      </c>
      <c r="E176" s="59">
        <v>89</v>
      </c>
      <c r="F176" s="59">
        <v>263</v>
      </c>
      <c r="G176" s="59">
        <v>-71.209999999999994</v>
      </c>
      <c r="H176" s="59">
        <v>-66.16</v>
      </c>
      <c r="I176" s="59">
        <v>7.0000000000000007E-2</v>
      </c>
      <c r="J176" s="59">
        <v>0.08</v>
      </c>
      <c r="K176" s="59">
        <v>0.25</v>
      </c>
      <c r="L176" s="59">
        <v>0.22</v>
      </c>
    </row>
    <row r="177" spans="1:12">
      <c r="A177" s="59">
        <v>170</v>
      </c>
      <c r="B177" s="59" t="s">
        <v>130</v>
      </c>
      <c r="C177" s="59">
        <v>5</v>
      </c>
      <c r="D177" s="59">
        <v>27</v>
      </c>
      <c r="E177" s="59">
        <v>88</v>
      </c>
      <c r="F177" s="59">
        <v>76</v>
      </c>
      <c r="G177" s="59">
        <v>-81.48</v>
      </c>
      <c r="H177" s="59">
        <v>15.79</v>
      </c>
      <c r="I177" s="59">
        <v>0.02</v>
      </c>
      <c r="J177" s="59">
        <v>0.08</v>
      </c>
      <c r="K177" s="59">
        <v>0.1</v>
      </c>
      <c r="L177" s="59">
        <v>0.06</v>
      </c>
    </row>
    <row r="178" spans="1:12">
      <c r="A178" s="59">
        <v>171</v>
      </c>
      <c r="B178" s="59" t="s">
        <v>653</v>
      </c>
      <c r="C178" s="59">
        <v>14</v>
      </c>
      <c r="D178" s="59">
        <v>23</v>
      </c>
      <c r="E178" s="59">
        <v>87</v>
      </c>
      <c r="F178" s="59">
        <v>88</v>
      </c>
      <c r="G178" s="59">
        <v>-39.130000000000003</v>
      </c>
      <c r="H178" s="59">
        <v>-1.1399999999999999</v>
      </c>
      <c r="I178" s="59">
        <v>0.05</v>
      </c>
      <c r="J178" s="59">
        <v>0.08</v>
      </c>
      <c r="K178" s="59">
        <v>0.09</v>
      </c>
      <c r="L178" s="59">
        <v>7.0000000000000007E-2</v>
      </c>
    </row>
    <row r="179" spans="1:12">
      <c r="A179" s="59">
        <v>172</v>
      </c>
      <c r="B179" s="59" t="s">
        <v>232</v>
      </c>
      <c r="C179" s="59">
        <v>14</v>
      </c>
      <c r="D179" s="59">
        <v>9</v>
      </c>
      <c r="E179" s="59">
        <v>83</v>
      </c>
      <c r="F179" s="59">
        <v>27</v>
      </c>
      <c r="G179" s="59">
        <v>55.56</v>
      </c>
      <c r="H179" s="59">
        <v>207.41</v>
      </c>
      <c r="I179" s="59">
        <v>0.05</v>
      </c>
      <c r="J179" s="59">
        <v>7.0000000000000007E-2</v>
      </c>
      <c r="K179" s="59">
        <v>0.03</v>
      </c>
      <c r="L179" s="59">
        <v>0.02</v>
      </c>
    </row>
    <row r="180" spans="1:12">
      <c r="A180" s="59">
        <v>173</v>
      </c>
      <c r="B180" s="59" t="s">
        <v>75</v>
      </c>
      <c r="C180" s="59">
        <v>26</v>
      </c>
      <c r="D180" s="59">
        <v>85</v>
      </c>
      <c r="E180" s="59">
        <v>82</v>
      </c>
      <c r="F180" s="59">
        <v>390</v>
      </c>
      <c r="G180" s="59">
        <v>-69.41</v>
      </c>
      <c r="H180" s="59">
        <v>-78.97</v>
      </c>
      <c r="I180" s="59">
        <v>0.09</v>
      </c>
      <c r="J180" s="59">
        <v>7.0000000000000007E-2</v>
      </c>
      <c r="K180" s="59">
        <v>0.32</v>
      </c>
      <c r="L180" s="59">
        <v>0.33</v>
      </c>
    </row>
    <row r="181" spans="1:12">
      <c r="A181" s="59">
        <v>174</v>
      </c>
      <c r="B181" s="59" t="s">
        <v>201</v>
      </c>
      <c r="C181" s="59">
        <v>26</v>
      </c>
      <c r="D181" s="59">
        <v>17</v>
      </c>
      <c r="E181" s="59">
        <v>82</v>
      </c>
      <c r="F181" s="59">
        <v>45</v>
      </c>
      <c r="G181" s="59">
        <v>52.94</v>
      </c>
      <c r="H181" s="59">
        <v>82.22</v>
      </c>
      <c r="I181" s="59">
        <v>0.09</v>
      </c>
      <c r="J181" s="59">
        <v>7.0000000000000007E-2</v>
      </c>
      <c r="K181" s="59">
        <v>0.06</v>
      </c>
      <c r="L181" s="59">
        <v>0.04</v>
      </c>
    </row>
    <row r="182" spans="1:12">
      <c r="A182" s="59">
        <v>175</v>
      </c>
      <c r="B182" s="59" t="s">
        <v>218</v>
      </c>
      <c r="C182" s="59">
        <v>24</v>
      </c>
      <c r="D182" s="59">
        <v>18</v>
      </c>
      <c r="E182" s="59">
        <v>80</v>
      </c>
      <c r="F182" s="59">
        <v>77</v>
      </c>
      <c r="G182" s="59">
        <v>33.33</v>
      </c>
      <c r="H182" s="59">
        <v>3.9</v>
      </c>
      <c r="I182" s="59">
        <v>0.08</v>
      </c>
      <c r="J182" s="59">
        <v>7.0000000000000007E-2</v>
      </c>
      <c r="K182" s="59">
        <v>7.0000000000000007E-2</v>
      </c>
      <c r="L182" s="59">
        <v>7.0000000000000007E-2</v>
      </c>
    </row>
    <row r="183" spans="1:12">
      <c r="A183" s="59">
        <v>176</v>
      </c>
      <c r="B183" s="59" t="s">
        <v>171</v>
      </c>
      <c r="C183" s="59">
        <v>20</v>
      </c>
      <c r="D183" s="59">
        <v>24</v>
      </c>
      <c r="E183" s="59">
        <v>78</v>
      </c>
      <c r="F183" s="59">
        <v>204</v>
      </c>
      <c r="G183" s="59">
        <v>-16.670000000000002</v>
      </c>
      <c r="H183" s="59">
        <v>-61.76</v>
      </c>
      <c r="I183" s="59">
        <v>7.0000000000000007E-2</v>
      </c>
      <c r="J183" s="59">
        <v>7.0000000000000007E-2</v>
      </c>
      <c r="K183" s="59">
        <v>0.09</v>
      </c>
      <c r="L183" s="59">
        <v>0.17</v>
      </c>
    </row>
    <row r="184" spans="1:12">
      <c r="A184" s="59">
        <v>177</v>
      </c>
      <c r="B184" s="59" t="s">
        <v>735</v>
      </c>
      <c r="C184" s="59">
        <v>29</v>
      </c>
      <c r="D184" s="59">
        <v>0</v>
      </c>
      <c r="E184" s="59">
        <v>78</v>
      </c>
      <c r="F184" s="59">
        <v>0</v>
      </c>
      <c r="G184" s="59">
        <v>0</v>
      </c>
      <c r="H184" s="59">
        <v>0</v>
      </c>
      <c r="I184" s="59">
        <v>0.1</v>
      </c>
      <c r="J184" s="59">
        <v>7.0000000000000007E-2</v>
      </c>
      <c r="K184" s="59">
        <v>0</v>
      </c>
      <c r="L184" s="59">
        <v>0</v>
      </c>
    </row>
    <row r="185" spans="1:12">
      <c r="A185" s="59">
        <v>178</v>
      </c>
      <c r="B185" s="59" t="s">
        <v>582</v>
      </c>
      <c r="C185" s="59">
        <v>19</v>
      </c>
      <c r="D185" s="59">
        <v>16</v>
      </c>
      <c r="E185" s="59">
        <v>77</v>
      </c>
      <c r="F185" s="59">
        <v>153</v>
      </c>
      <c r="G185" s="59">
        <v>18.75</v>
      </c>
      <c r="H185" s="59">
        <v>-49.67</v>
      </c>
      <c r="I185" s="59">
        <v>7.0000000000000007E-2</v>
      </c>
      <c r="J185" s="59">
        <v>7.0000000000000007E-2</v>
      </c>
      <c r="K185" s="59">
        <v>0.06</v>
      </c>
      <c r="L185" s="59">
        <v>0.13</v>
      </c>
    </row>
    <row r="186" spans="1:12">
      <c r="A186" s="59">
        <v>179</v>
      </c>
      <c r="B186" s="59" t="s">
        <v>161</v>
      </c>
      <c r="C186" s="59">
        <v>47</v>
      </c>
      <c r="D186" s="59">
        <v>26</v>
      </c>
      <c r="E186" s="59">
        <v>72</v>
      </c>
      <c r="F186" s="59">
        <v>107</v>
      </c>
      <c r="G186" s="59">
        <v>80.77</v>
      </c>
      <c r="H186" s="59">
        <v>-32.71</v>
      </c>
      <c r="I186" s="59">
        <v>0.16</v>
      </c>
      <c r="J186" s="59">
        <v>0.06</v>
      </c>
      <c r="K186" s="59">
        <v>0.1</v>
      </c>
      <c r="L186" s="59">
        <v>0.09</v>
      </c>
    </row>
    <row r="187" spans="1:12">
      <c r="A187" s="59">
        <v>180</v>
      </c>
      <c r="B187" s="59" t="s">
        <v>1067</v>
      </c>
      <c r="C187" s="59">
        <v>16</v>
      </c>
      <c r="D187" s="59">
        <v>0</v>
      </c>
      <c r="E187" s="59">
        <v>72</v>
      </c>
      <c r="F187" s="59">
        <v>0</v>
      </c>
      <c r="G187" s="59">
        <v>0</v>
      </c>
      <c r="H187" s="59">
        <v>0</v>
      </c>
      <c r="I187" s="59">
        <v>0.06</v>
      </c>
      <c r="J187" s="59">
        <v>0.06</v>
      </c>
      <c r="K187" s="59">
        <v>0</v>
      </c>
      <c r="L187" s="59">
        <v>0</v>
      </c>
    </row>
    <row r="188" spans="1:12">
      <c r="A188" s="59">
        <v>181</v>
      </c>
      <c r="B188" s="59" t="s">
        <v>446</v>
      </c>
      <c r="C188" s="59">
        <v>7</v>
      </c>
      <c r="D188" s="59">
        <v>23</v>
      </c>
      <c r="E188" s="59">
        <v>69</v>
      </c>
      <c r="F188" s="59">
        <v>40</v>
      </c>
      <c r="G188" s="59">
        <v>-69.569999999999993</v>
      </c>
      <c r="H188" s="59">
        <v>72.5</v>
      </c>
      <c r="I188" s="59">
        <v>0.02</v>
      </c>
      <c r="J188" s="59">
        <v>0.06</v>
      </c>
      <c r="K188" s="59">
        <v>0.09</v>
      </c>
      <c r="L188" s="59">
        <v>0.03</v>
      </c>
    </row>
    <row r="189" spans="1:12">
      <c r="A189" s="59">
        <v>182</v>
      </c>
      <c r="B189" s="59" t="s">
        <v>197</v>
      </c>
      <c r="C189" s="59">
        <v>19</v>
      </c>
      <c r="D189" s="59">
        <v>11</v>
      </c>
      <c r="E189" s="59">
        <v>69</v>
      </c>
      <c r="F189" s="59">
        <v>27</v>
      </c>
      <c r="G189" s="59">
        <v>72.73</v>
      </c>
      <c r="H189" s="59">
        <v>155.56</v>
      </c>
      <c r="I189" s="59">
        <v>7.0000000000000007E-2</v>
      </c>
      <c r="J189" s="59">
        <v>0.06</v>
      </c>
      <c r="K189" s="59">
        <v>0.04</v>
      </c>
      <c r="L189" s="59">
        <v>0.02</v>
      </c>
    </row>
    <row r="190" spans="1:12">
      <c r="A190" s="59">
        <v>183</v>
      </c>
      <c r="B190" s="59" t="s">
        <v>196</v>
      </c>
      <c r="C190" s="59">
        <v>25</v>
      </c>
      <c r="D190" s="59">
        <v>13</v>
      </c>
      <c r="E190" s="59">
        <v>68</v>
      </c>
      <c r="F190" s="59">
        <v>65</v>
      </c>
      <c r="G190" s="59">
        <v>92.31</v>
      </c>
      <c r="H190" s="59">
        <v>4.62</v>
      </c>
      <c r="I190" s="59">
        <v>0.09</v>
      </c>
      <c r="J190" s="59">
        <v>0.06</v>
      </c>
      <c r="K190" s="59">
        <v>0.05</v>
      </c>
      <c r="L190" s="59">
        <v>0.06</v>
      </c>
    </row>
    <row r="191" spans="1:12">
      <c r="A191" s="59">
        <v>184</v>
      </c>
      <c r="B191" s="59" t="s">
        <v>390</v>
      </c>
      <c r="C191" s="59">
        <v>34</v>
      </c>
      <c r="D191" s="59">
        <v>33</v>
      </c>
      <c r="E191" s="59">
        <v>67</v>
      </c>
      <c r="F191" s="59">
        <v>98</v>
      </c>
      <c r="G191" s="59">
        <v>3.03</v>
      </c>
      <c r="H191" s="59">
        <v>-31.63</v>
      </c>
      <c r="I191" s="59">
        <v>0.12</v>
      </c>
      <c r="J191" s="59">
        <v>0.06</v>
      </c>
      <c r="K191" s="59">
        <v>0.12</v>
      </c>
      <c r="L191" s="59">
        <v>0.08</v>
      </c>
    </row>
    <row r="192" spans="1:12">
      <c r="A192" s="59">
        <v>185</v>
      </c>
      <c r="B192" s="59" t="s">
        <v>408</v>
      </c>
      <c r="C192" s="59">
        <v>4</v>
      </c>
      <c r="D192" s="59">
        <v>17</v>
      </c>
      <c r="E192" s="59">
        <v>67</v>
      </c>
      <c r="F192" s="59">
        <v>68</v>
      </c>
      <c r="G192" s="59">
        <v>-76.47</v>
      </c>
      <c r="H192" s="59">
        <v>-1.47</v>
      </c>
      <c r="I192" s="59">
        <v>0.01</v>
      </c>
      <c r="J192" s="59">
        <v>0.06</v>
      </c>
      <c r="K192" s="59">
        <v>0.06</v>
      </c>
      <c r="L192" s="59">
        <v>0.06</v>
      </c>
    </row>
    <row r="193" spans="1:12">
      <c r="A193" s="59">
        <v>186</v>
      </c>
      <c r="B193" s="59" t="s">
        <v>208</v>
      </c>
      <c r="C193" s="59">
        <v>12</v>
      </c>
      <c r="D193" s="59">
        <v>6</v>
      </c>
      <c r="E193" s="59">
        <v>66</v>
      </c>
      <c r="F193" s="59">
        <v>61</v>
      </c>
      <c r="G193" s="59">
        <v>100</v>
      </c>
      <c r="H193" s="59">
        <v>8.1999999999999993</v>
      </c>
      <c r="I193" s="59">
        <v>0.04</v>
      </c>
      <c r="J193" s="59">
        <v>0.06</v>
      </c>
      <c r="K193" s="59">
        <v>0.02</v>
      </c>
      <c r="L193" s="59">
        <v>0.05</v>
      </c>
    </row>
    <row r="194" spans="1:12">
      <c r="A194" s="59">
        <v>187</v>
      </c>
      <c r="B194" s="59" t="s">
        <v>441</v>
      </c>
      <c r="C194" s="59">
        <v>4</v>
      </c>
      <c r="D194" s="59">
        <v>221</v>
      </c>
      <c r="E194" s="59">
        <v>65</v>
      </c>
      <c r="F194" s="59">
        <v>509</v>
      </c>
      <c r="G194" s="59">
        <v>-98.19</v>
      </c>
      <c r="H194" s="59">
        <v>-87.23</v>
      </c>
      <c r="I194" s="59">
        <v>0.01</v>
      </c>
      <c r="J194" s="59">
        <v>0.06</v>
      </c>
      <c r="K194" s="59">
        <v>0.84</v>
      </c>
      <c r="L194" s="59">
        <v>0.43</v>
      </c>
    </row>
    <row r="195" spans="1:12">
      <c r="A195" s="59">
        <v>188</v>
      </c>
      <c r="B195" s="59" t="s">
        <v>219</v>
      </c>
      <c r="C195" s="59">
        <v>9</v>
      </c>
      <c r="D195" s="59">
        <v>7</v>
      </c>
      <c r="E195" s="59">
        <v>63</v>
      </c>
      <c r="F195" s="59">
        <v>33</v>
      </c>
      <c r="G195" s="59">
        <v>28.57</v>
      </c>
      <c r="H195" s="59">
        <v>90.91</v>
      </c>
      <c r="I195" s="59">
        <v>0.03</v>
      </c>
      <c r="J195" s="59">
        <v>0.06</v>
      </c>
      <c r="K195" s="59">
        <v>0.03</v>
      </c>
      <c r="L195" s="59">
        <v>0.03</v>
      </c>
    </row>
    <row r="196" spans="1:12">
      <c r="A196" s="59">
        <v>189</v>
      </c>
      <c r="B196" s="59" t="s">
        <v>1225</v>
      </c>
      <c r="C196" s="59">
        <v>63</v>
      </c>
      <c r="D196" s="59">
        <v>0</v>
      </c>
      <c r="E196" s="59">
        <v>63</v>
      </c>
      <c r="F196" s="59">
        <v>0</v>
      </c>
      <c r="G196" s="59">
        <v>0</v>
      </c>
      <c r="H196" s="59">
        <v>0</v>
      </c>
      <c r="I196" s="59">
        <v>0.22</v>
      </c>
      <c r="J196" s="59">
        <v>0.06</v>
      </c>
      <c r="K196" s="59">
        <v>0</v>
      </c>
      <c r="L196" s="59">
        <v>0</v>
      </c>
    </row>
    <row r="197" spans="1:12">
      <c r="A197" s="59">
        <v>190</v>
      </c>
      <c r="B197" s="59" t="s">
        <v>692</v>
      </c>
      <c r="C197" s="59">
        <v>12</v>
      </c>
      <c r="D197" s="59">
        <v>1</v>
      </c>
      <c r="E197" s="59">
        <v>60</v>
      </c>
      <c r="F197" s="59">
        <v>2</v>
      </c>
      <c r="G197" s="59">
        <v>1100</v>
      </c>
      <c r="H197" s="59">
        <v>2900</v>
      </c>
      <c r="I197" s="59">
        <v>0.04</v>
      </c>
      <c r="J197" s="59">
        <v>0.05</v>
      </c>
      <c r="K197" s="59">
        <v>0</v>
      </c>
      <c r="L197" s="59">
        <v>0</v>
      </c>
    </row>
    <row r="198" spans="1:12">
      <c r="A198" s="59">
        <v>191</v>
      </c>
      <c r="B198" s="59" t="s">
        <v>185</v>
      </c>
      <c r="C198" s="59">
        <v>21</v>
      </c>
      <c r="D198" s="59">
        <v>29</v>
      </c>
      <c r="E198" s="59">
        <v>58</v>
      </c>
      <c r="F198" s="59">
        <v>147</v>
      </c>
      <c r="G198" s="59">
        <v>-27.59</v>
      </c>
      <c r="H198" s="59">
        <v>-60.54</v>
      </c>
      <c r="I198" s="59">
        <v>7.0000000000000007E-2</v>
      </c>
      <c r="J198" s="59">
        <v>0.05</v>
      </c>
      <c r="K198" s="59">
        <v>0.11</v>
      </c>
      <c r="L198" s="59">
        <v>0.12</v>
      </c>
    </row>
    <row r="199" spans="1:12">
      <c r="A199" s="59">
        <v>192</v>
      </c>
      <c r="B199" s="59" t="s">
        <v>156</v>
      </c>
      <c r="C199" s="59">
        <v>21</v>
      </c>
      <c r="D199" s="59">
        <v>14</v>
      </c>
      <c r="E199" s="59">
        <v>56</v>
      </c>
      <c r="F199" s="59">
        <v>47</v>
      </c>
      <c r="G199" s="59">
        <v>50</v>
      </c>
      <c r="H199" s="59">
        <v>19.149999999999999</v>
      </c>
      <c r="I199" s="59">
        <v>7.0000000000000007E-2</v>
      </c>
      <c r="J199" s="59">
        <v>0.05</v>
      </c>
      <c r="K199" s="59">
        <v>0.05</v>
      </c>
      <c r="L199" s="59">
        <v>0.04</v>
      </c>
    </row>
    <row r="200" spans="1:12">
      <c r="A200" s="59">
        <v>193</v>
      </c>
      <c r="B200" s="59" t="s">
        <v>661</v>
      </c>
      <c r="C200" s="59">
        <v>9</v>
      </c>
      <c r="D200" s="59">
        <v>205</v>
      </c>
      <c r="E200" s="59">
        <v>54</v>
      </c>
      <c r="F200" s="59">
        <v>442</v>
      </c>
      <c r="G200" s="59">
        <v>-95.61</v>
      </c>
      <c r="H200" s="59">
        <v>-87.78</v>
      </c>
      <c r="I200" s="59">
        <v>0.03</v>
      </c>
      <c r="J200" s="59">
        <v>0.05</v>
      </c>
      <c r="K200" s="59">
        <v>0.78</v>
      </c>
      <c r="L200" s="59">
        <v>0.37</v>
      </c>
    </row>
    <row r="201" spans="1:12">
      <c r="A201" s="59">
        <v>194</v>
      </c>
      <c r="B201" s="59" t="s">
        <v>202</v>
      </c>
      <c r="C201" s="59">
        <v>26</v>
      </c>
      <c r="D201" s="59">
        <v>30</v>
      </c>
      <c r="E201" s="59">
        <v>53</v>
      </c>
      <c r="F201" s="59">
        <v>142</v>
      </c>
      <c r="G201" s="59">
        <v>-13.33</v>
      </c>
      <c r="H201" s="59">
        <v>-62.68</v>
      </c>
      <c r="I201" s="59">
        <v>0.09</v>
      </c>
      <c r="J201" s="59">
        <v>0.05</v>
      </c>
      <c r="K201" s="59">
        <v>0.11</v>
      </c>
      <c r="L201" s="59">
        <v>0.12</v>
      </c>
    </row>
    <row r="202" spans="1:12">
      <c r="A202" s="59">
        <v>195</v>
      </c>
      <c r="B202" s="59" t="s">
        <v>1166</v>
      </c>
      <c r="C202" s="59">
        <v>11</v>
      </c>
      <c r="D202" s="59">
        <v>0</v>
      </c>
      <c r="E202" s="59">
        <v>52</v>
      </c>
      <c r="F202" s="59">
        <v>0</v>
      </c>
      <c r="G202" s="59">
        <v>0</v>
      </c>
      <c r="H202" s="59">
        <v>0</v>
      </c>
      <c r="I202" s="59">
        <v>0.04</v>
      </c>
      <c r="J202" s="59">
        <v>0.05</v>
      </c>
      <c r="K202" s="59">
        <v>0</v>
      </c>
      <c r="L202" s="59">
        <v>0</v>
      </c>
    </row>
    <row r="203" spans="1:12">
      <c r="A203" s="59">
        <v>196</v>
      </c>
      <c r="B203" s="59" t="s">
        <v>120</v>
      </c>
      <c r="C203" s="59">
        <v>6</v>
      </c>
      <c r="D203" s="59">
        <v>0</v>
      </c>
      <c r="E203" s="59">
        <v>49</v>
      </c>
      <c r="F203" s="59">
        <v>42</v>
      </c>
      <c r="G203" s="59">
        <v>0</v>
      </c>
      <c r="H203" s="59">
        <v>16.670000000000002</v>
      </c>
      <c r="I203" s="59">
        <v>0.02</v>
      </c>
      <c r="J203" s="59">
        <v>0.04</v>
      </c>
      <c r="K203" s="59">
        <v>0</v>
      </c>
      <c r="L203" s="59">
        <v>0.04</v>
      </c>
    </row>
    <row r="204" spans="1:12">
      <c r="A204" s="59">
        <v>197</v>
      </c>
      <c r="B204" s="59" t="s">
        <v>1066</v>
      </c>
      <c r="C204" s="59">
        <v>12</v>
      </c>
      <c r="D204" s="59">
        <v>0</v>
      </c>
      <c r="E204" s="59">
        <v>47</v>
      </c>
      <c r="F204" s="59">
        <v>0</v>
      </c>
      <c r="G204" s="59">
        <v>0</v>
      </c>
      <c r="H204" s="59">
        <v>0</v>
      </c>
      <c r="I204" s="59">
        <v>0.04</v>
      </c>
      <c r="J204" s="59">
        <v>0.04</v>
      </c>
      <c r="K204" s="59">
        <v>0</v>
      </c>
      <c r="L204" s="59">
        <v>0</v>
      </c>
    </row>
    <row r="205" spans="1:12">
      <c r="A205" s="59">
        <v>198</v>
      </c>
      <c r="B205" s="59" t="s">
        <v>124</v>
      </c>
      <c r="C205" s="59">
        <v>15</v>
      </c>
      <c r="D205" s="59">
        <v>0</v>
      </c>
      <c r="E205" s="59">
        <v>46</v>
      </c>
      <c r="F205" s="59">
        <v>33</v>
      </c>
      <c r="G205" s="59">
        <v>0</v>
      </c>
      <c r="H205" s="59">
        <v>39.39</v>
      </c>
      <c r="I205" s="59">
        <v>0.05</v>
      </c>
      <c r="J205" s="59">
        <v>0.04</v>
      </c>
      <c r="K205" s="59">
        <v>0</v>
      </c>
      <c r="L205" s="59">
        <v>0.03</v>
      </c>
    </row>
    <row r="206" spans="1:12">
      <c r="A206" s="59">
        <v>199</v>
      </c>
      <c r="B206" s="59" t="s">
        <v>723</v>
      </c>
      <c r="C206" s="59">
        <v>12</v>
      </c>
      <c r="D206" s="59">
        <v>0</v>
      </c>
      <c r="E206" s="59">
        <v>46</v>
      </c>
      <c r="F206" s="59">
        <v>4</v>
      </c>
      <c r="G206" s="59">
        <v>0</v>
      </c>
      <c r="H206" s="59">
        <v>1050</v>
      </c>
      <c r="I206" s="59">
        <v>0.04</v>
      </c>
      <c r="J206" s="59">
        <v>0.04</v>
      </c>
      <c r="K206" s="59">
        <v>0</v>
      </c>
      <c r="L206" s="59">
        <v>0</v>
      </c>
    </row>
    <row r="207" spans="1:12">
      <c r="A207" s="59">
        <v>200</v>
      </c>
      <c r="B207" s="59" t="s">
        <v>195</v>
      </c>
      <c r="C207" s="59">
        <v>5</v>
      </c>
      <c r="D207" s="59">
        <v>9</v>
      </c>
      <c r="E207" s="59">
        <v>45</v>
      </c>
      <c r="F207" s="59">
        <v>39</v>
      </c>
      <c r="G207" s="59">
        <v>-44.44</v>
      </c>
      <c r="H207" s="59">
        <v>15.38</v>
      </c>
      <c r="I207" s="59">
        <v>0.02</v>
      </c>
      <c r="J207" s="59">
        <v>0.04</v>
      </c>
      <c r="K207" s="59">
        <v>0.03</v>
      </c>
      <c r="L207" s="59">
        <v>0.03</v>
      </c>
    </row>
    <row r="208" spans="1:12">
      <c r="A208" s="59">
        <v>201</v>
      </c>
      <c r="B208" s="59" t="s">
        <v>207</v>
      </c>
      <c r="C208" s="59">
        <v>4</v>
      </c>
      <c r="D208" s="59">
        <v>16</v>
      </c>
      <c r="E208" s="59">
        <v>45</v>
      </c>
      <c r="F208" s="59">
        <v>36</v>
      </c>
      <c r="G208" s="59">
        <v>-75</v>
      </c>
      <c r="H208" s="59">
        <v>25</v>
      </c>
      <c r="I208" s="59">
        <v>0.01</v>
      </c>
      <c r="J208" s="59">
        <v>0.04</v>
      </c>
      <c r="K208" s="59">
        <v>0.06</v>
      </c>
      <c r="L208" s="59">
        <v>0.03</v>
      </c>
    </row>
    <row r="209" spans="1:12">
      <c r="A209" s="59">
        <v>202</v>
      </c>
      <c r="B209" s="59" t="s">
        <v>1056</v>
      </c>
      <c r="C209" s="59">
        <v>3</v>
      </c>
      <c r="D209" s="59">
        <v>0</v>
      </c>
      <c r="E209" s="59">
        <v>45</v>
      </c>
      <c r="F209" s="59">
        <v>0</v>
      </c>
      <c r="G209" s="59">
        <v>0</v>
      </c>
      <c r="H209" s="59">
        <v>0</v>
      </c>
      <c r="I209" s="59">
        <v>0.01</v>
      </c>
      <c r="J209" s="59">
        <v>0.04</v>
      </c>
      <c r="K209" s="59">
        <v>0</v>
      </c>
      <c r="L209" s="59">
        <v>0</v>
      </c>
    </row>
    <row r="210" spans="1:12">
      <c r="A210" s="59">
        <v>203</v>
      </c>
      <c r="B210" s="59" t="s">
        <v>184</v>
      </c>
      <c r="C210" s="59">
        <v>18</v>
      </c>
      <c r="D210" s="59">
        <v>13</v>
      </c>
      <c r="E210" s="59">
        <v>44</v>
      </c>
      <c r="F210" s="59">
        <v>28</v>
      </c>
      <c r="G210" s="59">
        <v>38.46</v>
      </c>
      <c r="H210" s="59">
        <v>57.14</v>
      </c>
      <c r="I210" s="59">
        <v>0.06</v>
      </c>
      <c r="J210" s="59">
        <v>0.04</v>
      </c>
      <c r="K210" s="59">
        <v>0.05</v>
      </c>
      <c r="L210" s="59">
        <v>0.02</v>
      </c>
    </row>
    <row r="211" spans="1:12">
      <c r="A211" s="59">
        <v>204</v>
      </c>
      <c r="B211" s="59" t="s">
        <v>211</v>
      </c>
      <c r="C211" s="59">
        <v>21</v>
      </c>
      <c r="D211" s="59">
        <v>17</v>
      </c>
      <c r="E211" s="59">
        <v>43</v>
      </c>
      <c r="F211" s="59">
        <v>45</v>
      </c>
      <c r="G211" s="59">
        <v>23.53</v>
      </c>
      <c r="H211" s="59">
        <v>-4.4400000000000004</v>
      </c>
      <c r="I211" s="59">
        <v>7.0000000000000007E-2</v>
      </c>
      <c r="J211" s="59">
        <v>0.04</v>
      </c>
      <c r="K211" s="59">
        <v>0.06</v>
      </c>
      <c r="L211" s="59">
        <v>0.04</v>
      </c>
    </row>
    <row r="212" spans="1:12">
      <c r="A212" s="59">
        <v>205</v>
      </c>
      <c r="B212" s="59" t="s">
        <v>216</v>
      </c>
      <c r="C212" s="59">
        <v>12</v>
      </c>
      <c r="D212" s="59">
        <v>14</v>
      </c>
      <c r="E212" s="59">
        <v>41</v>
      </c>
      <c r="F212" s="59">
        <v>34</v>
      </c>
      <c r="G212" s="59">
        <v>-14.29</v>
      </c>
      <c r="H212" s="59">
        <v>20.59</v>
      </c>
      <c r="I212" s="59">
        <v>0.04</v>
      </c>
      <c r="J212" s="59">
        <v>0.04</v>
      </c>
      <c r="K212" s="59">
        <v>0.05</v>
      </c>
      <c r="L212" s="59">
        <v>0.03</v>
      </c>
    </row>
    <row r="213" spans="1:12">
      <c r="A213" s="59">
        <v>206</v>
      </c>
      <c r="B213" s="59" t="s">
        <v>224</v>
      </c>
      <c r="C213" s="59">
        <v>6</v>
      </c>
      <c r="D213" s="59">
        <v>4</v>
      </c>
      <c r="E213" s="59">
        <v>40</v>
      </c>
      <c r="F213" s="59">
        <v>22</v>
      </c>
      <c r="G213" s="59">
        <v>50</v>
      </c>
      <c r="H213" s="59">
        <v>81.819999999999993</v>
      </c>
      <c r="I213" s="59">
        <v>0.02</v>
      </c>
      <c r="J213" s="59">
        <v>0.04</v>
      </c>
      <c r="K213" s="59">
        <v>0.02</v>
      </c>
      <c r="L213" s="59">
        <v>0.02</v>
      </c>
    </row>
    <row r="214" spans="1:12">
      <c r="A214" s="59">
        <v>207</v>
      </c>
      <c r="B214" s="59" t="s">
        <v>209</v>
      </c>
      <c r="C214" s="59">
        <v>8</v>
      </c>
      <c r="D214" s="59">
        <v>37</v>
      </c>
      <c r="E214" s="59">
        <v>39</v>
      </c>
      <c r="F214" s="59">
        <v>65</v>
      </c>
      <c r="G214" s="59">
        <v>-78.38</v>
      </c>
      <c r="H214" s="59">
        <v>-40</v>
      </c>
      <c r="I214" s="59">
        <v>0.03</v>
      </c>
      <c r="J214" s="59">
        <v>0.03</v>
      </c>
      <c r="K214" s="59">
        <v>0.14000000000000001</v>
      </c>
      <c r="L214" s="59">
        <v>0.06</v>
      </c>
    </row>
    <row r="215" spans="1:12">
      <c r="A215" s="59">
        <v>208</v>
      </c>
      <c r="B215" s="59" t="s">
        <v>154</v>
      </c>
      <c r="C215" s="59">
        <v>6</v>
      </c>
      <c r="D215" s="59">
        <v>100</v>
      </c>
      <c r="E215" s="59">
        <v>38</v>
      </c>
      <c r="F215" s="59">
        <v>350</v>
      </c>
      <c r="G215" s="59">
        <v>-94</v>
      </c>
      <c r="H215" s="59">
        <v>-89.14</v>
      </c>
      <c r="I215" s="59">
        <v>0.02</v>
      </c>
      <c r="J215" s="59">
        <v>0.03</v>
      </c>
      <c r="K215" s="59">
        <v>0.38</v>
      </c>
      <c r="L215" s="59">
        <v>0.3</v>
      </c>
    </row>
    <row r="216" spans="1:12">
      <c r="A216" s="59">
        <v>209</v>
      </c>
      <c r="B216" s="59" t="s">
        <v>176</v>
      </c>
      <c r="C216" s="59">
        <v>5</v>
      </c>
      <c r="D216" s="59">
        <v>10</v>
      </c>
      <c r="E216" s="59">
        <v>37</v>
      </c>
      <c r="F216" s="59">
        <v>32</v>
      </c>
      <c r="G216" s="59">
        <v>-50</v>
      </c>
      <c r="H216" s="59">
        <v>15.63</v>
      </c>
      <c r="I216" s="59">
        <v>0.02</v>
      </c>
      <c r="J216" s="59">
        <v>0.03</v>
      </c>
      <c r="K216" s="59">
        <v>0.04</v>
      </c>
      <c r="L216" s="59">
        <v>0.03</v>
      </c>
    </row>
    <row r="217" spans="1:12">
      <c r="A217" s="59">
        <v>210</v>
      </c>
      <c r="B217" s="59" t="s">
        <v>174</v>
      </c>
      <c r="C217" s="59">
        <v>6</v>
      </c>
      <c r="D217" s="59">
        <v>5</v>
      </c>
      <c r="E217" s="59">
        <v>37</v>
      </c>
      <c r="F217" s="59">
        <v>16</v>
      </c>
      <c r="G217" s="59">
        <v>20</v>
      </c>
      <c r="H217" s="59">
        <v>131.25</v>
      </c>
      <c r="I217" s="59">
        <v>0.02</v>
      </c>
      <c r="J217" s="59">
        <v>0.03</v>
      </c>
      <c r="K217" s="59">
        <v>0.02</v>
      </c>
      <c r="L217" s="59">
        <v>0.01</v>
      </c>
    </row>
    <row r="218" spans="1:12">
      <c r="A218" s="59">
        <v>211</v>
      </c>
      <c r="B218" s="59" t="s">
        <v>1094</v>
      </c>
      <c r="C218" s="59">
        <v>12</v>
      </c>
      <c r="D218" s="59">
        <v>0</v>
      </c>
      <c r="E218" s="59">
        <v>36</v>
      </c>
      <c r="F218" s="59">
        <v>0</v>
      </c>
      <c r="G218" s="59">
        <v>0</v>
      </c>
      <c r="H218" s="59">
        <v>0</v>
      </c>
      <c r="I218" s="59">
        <v>0.04</v>
      </c>
      <c r="J218" s="59">
        <v>0.03</v>
      </c>
      <c r="K218" s="59">
        <v>0</v>
      </c>
      <c r="L218" s="59">
        <v>0</v>
      </c>
    </row>
    <row r="219" spans="1:12">
      <c r="A219" s="59">
        <v>212</v>
      </c>
      <c r="B219" s="59" t="s">
        <v>1091</v>
      </c>
      <c r="C219" s="59">
        <v>3</v>
      </c>
      <c r="D219" s="59">
        <v>0</v>
      </c>
      <c r="E219" s="59">
        <v>35</v>
      </c>
      <c r="F219" s="59">
        <v>0</v>
      </c>
      <c r="G219" s="59">
        <v>0</v>
      </c>
      <c r="H219" s="59">
        <v>0</v>
      </c>
      <c r="I219" s="59">
        <v>0.01</v>
      </c>
      <c r="J219" s="59">
        <v>0.03</v>
      </c>
      <c r="K219" s="59">
        <v>0</v>
      </c>
      <c r="L219" s="59">
        <v>0</v>
      </c>
    </row>
    <row r="220" spans="1:12">
      <c r="A220" s="59">
        <v>213</v>
      </c>
      <c r="B220" s="59" t="s">
        <v>192</v>
      </c>
      <c r="C220" s="59">
        <v>14</v>
      </c>
      <c r="D220" s="59">
        <v>8</v>
      </c>
      <c r="E220" s="59">
        <v>34</v>
      </c>
      <c r="F220" s="59">
        <v>56</v>
      </c>
      <c r="G220" s="59">
        <v>75</v>
      </c>
      <c r="H220" s="59">
        <v>-39.29</v>
      </c>
      <c r="I220" s="59">
        <v>0.05</v>
      </c>
      <c r="J220" s="59">
        <v>0.03</v>
      </c>
      <c r="K220" s="59">
        <v>0.03</v>
      </c>
      <c r="L220" s="59">
        <v>0.05</v>
      </c>
    </row>
    <row r="221" spans="1:12">
      <c r="A221" s="59">
        <v>214</v>
      </c>
      <c r="B221" s="59" t="s">
        <v>206</v>
      </c>
      <c r="C221" s="59">
        <v>5</v>
      </c>
      <c r="D221" s="59">
        <v>14</v>
      </c>
      <c r="E221" s="59">
        <v>34</v>
      </c>
      <c r="F221" s="59">
        <v>35</v>
      </c>
      <c r="G221" s="59">
        <v>-64.290000000000006</v>
      </c>
      <c r="H221" s="59">
        <v>-2.86</v>
      </c>
      <c r="I221" s="59">
        <v>0.02</v>
      </c>
      <c r="J221" s="59">
        <v>0.03</v>
      </c>
      <c r="K221" s="59">
        <v>0.05</v>
      </c>
      <c r="L221" s="59">
        <v>0.03</v>
      </c>
    </row>
    <row r="222" spans="1:12">
      <c r="A222" s="59">
        <v>215</v>
      </c>
      <c r="B222" s="59" t="s">
        <v>189</v>
      </c>
      <c r="C222" s="59">
        <v>3</v>
      </c>
      <c r="D222" s="59">
        <v>8</v>
      </c>
      <c r="E222" s="59">
        <v>34</v>
      </c>
      <c r="F222" s="59">
        <v>32</v>
      </c>
      <c r="G222" s="59">
        <v>-62.5</v>
      </c>
      <c r="H222" s="59">
        <v>6.25</v>
      </c>
      <c r="I222" s="59">
        <v>0.01</v>
      </c>
      <c r="J222" s="59">
        <v>0.03</v>
      </c>
      <c r="K222" s="59">
        <v>0.03</v>
      </c>
      <c r="L222" s="59">
        <v>0.03</v>
      </c>
    </row>
    <row r="223" spans="1:12">
      <c r="A223" s="59">
        <v>216</v>
      </c>
      <c r="B223" s="59" t="s">
        <v>183</v>
      </c>
      <c r="C223" s="59">
        <v>0</v>
      </c>
      <c r="D223" s="59">
        <v>0</v>
      </c>
      <c r="E223" s="59">
        <v>34</v>
      </c>
      <c r="F223" s="59">
        <v>18</v>
      </c>
      <c r="G223" s="59">
        <v>0</v>
      </c>
      <c r="H223" s="59">
        <v>88.89</v>
      </c>
      <c r="I223" s="59">
        <v>0</v>
      </c>
      <c r="J223" s="59">
        <v>0.03</v>
      </c>
      <c r="K223" s="59">
        <v>0</v>
      </c>
      <c r="L223" s="59">
        <v>0.02</v>
      </c>
    </row>
    <row r="224" spans="1:12">
      <c r="A224" s="59">
        <v>217</v>
      </c>
      <c r="B224" s="59" t="s">
        <v>115</v>
      </c>
      <c r="C224" s="59">
        <v>0</v>
      </c>
      <c r="D224" s="59">
        <v>21</v>
      </c>
      <c r="E224" s="59">
        <v>33</v>
      </c>
      <c r="F224" s="59">
        <v>62</v>
      </c>
      <c r="G224" s="59">
        <v>-100</v>
      </c>
      <c r="H224" s="59">
        <v>-46.77</v>
      </c>
      <c r="I224" s="59">
        <v>0</v>
      </c>
      <c r="J224" s="59">
        <v>0.03</v>
      </c>
      <c r="K224" s="59">
        <v>0.08</v>
      </c>
      <c r="L224" s="59">
        <v>0.05</v>
      </c>
    </row>
    <row r="225" spans="1:12">
      <c r="A225" s="59">
        <v>218</v>
      </c>
      <c r="B225" s="59" t="s">
        <v>1112</v>
      </c>
      <c r="C225" s="59">
        <v>1</v>
      </c>
      <c r="D225" s="59">
        <v>4</v>
      </c>
      <c r="E225" s="59">
        <v>32</v>
      </c>
      <c r="F225" s="59">
        <v>13</v>
      </c>
      <c r="G225" s="59">
        <v>-75</v>
      </c>
      <c r="H225" s="59">
        <v>146.15</v>
      </c>
      <c r="I225" s="59">
        <v>0</v>
      </c>
      <c r="J225" s="59">
        <v>0.03</v>
      </c>
      <c r="K225" s="59">
        <v>0.02</v>
      </c>
      <c r="L225" s="59">
        <v>0.01</v>
      </c>
    </row>
    <row r="226" spans="1:12">
      <c r="A226" s="59">
        <v>219</v>
      </c>
      <c r="B226" s="59" t="s">
        <v>731</v>
      </c>
      <c r="C226" s="59">
        <v>4</v>
      </c>
      <c r="D226" s="59">
        <v>3</v>
      </c>
      <c r="E226" s="59">
        <v>32</v>
      </c>
      <c r="F226" s="59">
        <v>3</v>
      </c>
      <c r="G226" s="59">
        <v>33.33</v>
      </c>
      <c r="H226" s="59">
        <v>966.67</v>
      </c>
      <c r="I226" s="59">
        <v>0.01</v>
      </c>
      <c r="J226" s="59">
        <v>0.03</v>
      </c>
      <c r="K226" s="59">
        <v>0.01</v>
      </c>
      <c r="L226" s="59">
        <v>0</v>
      </c>
    </row>
    <row r="227" spans="1:12">
      <c r="A227" s="59">
        <v>220</v>
      </c>
      <c r="B227" s="59" t="s">
        <v>116</v>
      </c>
      <c r="C227" s="59">
        <v>9</v>
      </c>
      <c r="D227" s="59">
        <v>21</v>
      </c>
      <c r="E227" s="59">
        <v>29</v>
      </c>
      <c r="F227" s="59">
        <v>119</v>
      </c>
      <c r="G227" s="59">
        <v>-57.14</v>
      </c>
      <c r="H227" s="59">
        <v>-75.63</v>
      </c>
      <c r="I227" s="59">
        <v>0.03</v>
      </c>
      <c r="J227" s="59">
        <v>0.03</v>
      </c>
      <c r="K227" s="59">
        <v>0.08</v>
      </c>
      <c r="L227" s="59">
        <v>0.1</v>
      </c>
    </row>
    <row r="228" spans="1:12">
      <c r="A228" s="59">
        <v>221</v>
      </c>
      <c r="B228" s="59" t="s">
        <v>1114</v>
      </c>
      <c r="C228" s="59">
        <v>4</v>
      </c>
      <c r="D228" s="59">
        <v>0</v>
      </c>
      <c r="E228" s="59">
        <v>29</v>
      </c>
      <c r="F228" s="59">
        <v>0</v>
      </c>
      <c r="G228" s="59">
        <v>0</v>
      </c>
      <c r="H228" s="59">
        <v>0</v>
      </c>
      <c r="I228" s="59">
        <v>0.01</v>
      </c>
      <c r="J228" s="59">
        <v>0.03</v>
      </c>
      <c r="K228" s="59">
        <v>0</v>
      </c>
      <c r="L228" s="59">
        <v>0</v>
      </c>
    </row>
    <row r="229" spans="1:12">
      <c r="A229" s="59">
        <v>222</v>
      </c>
      <c r="B229" s="59" t="s">
        <v>1093</v>
      </c>
      <c r="C229" s="59">
        <v>2</v>
      </c>
      <c r="D229" s="59">
        <v>0</v>
      </c>
      <c r="E229" s="59">
        <v>29</v>
      </c>
      <c r="F229" s="59">
        <v>0</v>
      </c>
      <c r="G229" s="59">
        <v>0</v>
      </c>
      <c r="H229" s="59">
        <v>0</v>
      </c>
      <c r="I229" s="59">
        <v>0.01</v>
      </c>
      <c r="J229" s="59">
        <v>0.03</v>
      </c>
      <c r="K229" s="59">
        <v>0</v>
      </c>
      <c r="L229" s="59">
        <v>0</v>
      </c>
    </row>
    <row r="230" spans="1:12">
      <c r="A230" s="59">
        <v>223</v>
      </c>
      <c r="B230" s="59" t="s">
        <v>200</v>
      </c>
      <c r="C230" s="59">
        <v>8</v>
      </c>
      <c r="D230" s="59">
        <v>29</v>
      </c>
      <c r="E230" s="59">
        <v>28</v>
      </c>
      <c r="F230" s="59">
        <v>130</v>
      </c>
      <c r="G230" s="59">
        <v>-72.41</v>
      </c>
      <c r="H230" s="59">
        <v>-78.459999999999994</v>
      </c>
      <c r="I230" s="59">
        <v>0.03</v>
      </c>
      <c r="J230" s="59">
        <v>0.02</v>
      </c>
      <c r="K230" s="59">
        <v>0.11</v>
      </c>
      <c r="L230" s="59">
        <v>0.11</v>
      </c>
    </row>
    <row r="231" spans="1:12">
      <c r="A231" s="59">
        <v>224</v>
      </c>
      <c r="B231" s="59" t="s">
        <v>191</v>
      </c>
      <c r="C231" s="59">
        <v>12</v>
      </c>
      <c r="D231" s="59">
        <v>13</v>
      </c>
      <c r="E231" s="59">
        <v>28</v>
      </c>
      <c r="F231" s="59">
        <v>38</v>
      </c>
      <c r="G231" s="59">
        <v>-7.69</v>
      </c>
      <c r="H231" s="59">
        <v>-26.32</v>
      </c>
      <c r="I231" s="59">
        <v>0.04</v>
      </c>
      <c r="J231" s="59">
        <v>0.02</v>
      </c>
      <c r="K231" s="59">
        <v>0.05</v>
      </c>
      <c r="L231" s="59">
        <v>0.03</v>
      </c>
    </row>
    <row r="232" spans="1:12">
      <c r="A232" s="59">
        <v>225</v>
      </c>
      <c r="B232" s="59" t="s">
        <v>229</v>
      </c>
      <c r="C232" s="59">
        <v>6</v>
      </c>
      <c r="D232" s="59">
        <v>6</v>
      </c>
      <c r="E232" s="59">
        <v>28</v>
      </c>
      <c r="F232" s="59">
        <v>25</v>
      </c>
      <c r="G232" s="59">
        <v>0</v>
      </c>
      <c r="H232" s="59">
        <v>12</v>
      </c>
      <c r="I232" s="59">
        <v>0.02</v>
      </c>
      <c r="J232" s="59">
        <v>0.02</v>
      </c>
      <c r="K232" s="59">
        <v>0.02</v>
      </c>
      <c r="L232" s="59">
        <v>0.02</v>
      </c>
    </row>
    <row r="233" spans="1:12">
      <c r="A233" s="59">
        <v>226</v>
      </c>
      <c r="B233" s="59" t="s">
        <v>193</v>
      </c>
      <c r="C233" s="59">
        <v>7</v>
      </c>
      <c r="D233" s="59">
        <v>13</v>
      </c>
      <c r="E233" s="59">
        <v>28</v>
      </c>
      <c r="F233" s="59">
        <v>19</v>
      </c>
      <c r="G233" s="59">
        <v>-46.15</v>
      </c>
      <c r="H233" s="59">
        <v>47.37</v>
      </c>
      <c r="I233" s="59">
        <v>0.02</v>
      </c>
      <c r="J233" s="59">
        <v>0.02</v>
      </c>
      <c r="K233" s="59">
        <v>0.05</v>
      </c>
      <c r="L233" s="59">
        <v>0.02</v>
      </c>
    </row>
    <row r="234" spans="1:12">
      <c r="A234" s="59">
        <v>227</v>
      </c>
      <c r="B234" s="59" t="s">
        <v>1226</v>
      </c>
      <c r="C234" s="59">
        <v>16</v>
      </c>
      <c r="D234" s="59">
        <v>0</v>
      </c>
      <c r="E234" s="59">
        <v>28</v>
      </c>
      <c r="F234" s="59">
        <v>0</v>
      </c>
      <c r="G234" s="59">
        <v>0</v>
      </c>
      <c r="H234" s="59">
        <v>0</v>
      </c>
      <c r="I234" s="59">
        <v>0.06</v>
      </c>
      <c r="J234" s="59">
        <v>0.02</v>
      </c>
      <c r="K234" s="59">
        <v>0</v>
      </c>
      <c r="L234" s="59">
        <v>0</v>
      </c>
    </row>
    <row r="235" spans="1:12">
      <c r="A235" s="59">
        <v>228</v>
      </c>
      <c r="B235" s="59" t="s">
        <v>119</v>
      </c>
      <c r="C235" s="59">
        <v>0</v>
      </c>
      <c r="D235" s="59">
        <v>0</v>
      </c>
      <c r="E235" s="59">
        <v>27</v>
      </c>
      <c r="F235" s="59">
        <v>9</v>
      </c>
      <c r="G235" s="59">
        <v>0</v>
      </c>
      <c r="H235" s="59">
        <v>200</v>
      </c>
      <c r="I235" s="59">
        <v>0</v>
      </c>
      <c r="J235" s="59">
        <v>0.02</v>
      </c>
      <c r="K235" s="59">
        <v>0</v>
      </c>
      <c r="L235" s="59">
        <v>0.01</v>
      </c>
    </row>
    <row r="236" spans="1:12">
      <c r="A236" s="59">
        <v>229</v>
      </c>
      <c r="B236" s="59" t="s">
        <v>125</v>
      </c>
      <c r="C236" s="59">
        <v>4</v>
      </c>
      <c r="D236" s="59">
        <v>35</v>
      </c>
      <c r="E236" s="59">
        <v>26</v>
      </c>
      <c r="F236" s="59">
        <v>81</v>
      </c>
      <c r="G236" s="59">
        <v>-88.57</v>
      </c>
      <c r="H236" s="59">
        <v>-67.900000000000006</v>
      </c>
      <c r="I236" s="59">
        <v>0.01</v>
      </c>
      <c r="J236" s="59">
        <v>0.02</v>
      </c>
      <c r="K236" s="59">
        <v>0.13</v>
      </c>
      <c r="L236" s="59">
        <v>7.0000000000000007E-2</v>
      </c>
    </row>
    <row r="237" spans="1:12">
      <c r="A237" s="59">
        <v>230</v>
      </c>
      <c r="B237" s="59" t="s">
        <v>690</v>
      </c>
      <c r="C237" s="59">
        <v>7</v>
      </c>
      <c r="D237" s="59">
        <v>8</v>
      </c>
      <c r="E237" s="59">
        <v>26</v>
      </c>
      <c r="F237" s="59">
        <v>19</v>
      </c>
      <c r="G237" s="59">
        <v>-12.5</v>
      </c>
      <c r="H237" s="59">
        <v>36.840000000000003</v>
      </c>
      <c r="I237" s="59">
        <v>0.02</v>
      </c>
      <c r="J237" s="59">
        <v>0.02</v>
      </c>
      <c r="K237" s="59">
        <v>0.03</v>
      </c>
      <c r="L237" s="59">
        <v>0.02</v>
      </c>
    </row>
    <row r="238" spans="1:12">
      <c r="A238" s="59">
        <v>231</v>
      </c>
      <c r="B238" s="59" t="s">
        <v>400</v>
      </c>
      <c r="C238" s="59">
        <v>4</v>
      </c>
      <c r="D238" s="59">
        <v>2</v>
      </c>
      <c r="E238" s="59">
        <v>26</v>
      </c>
      <c r="F238" s="59">
        <v>15</v>
      </c>
      <c r="G238" s="59">
        <v>100</v>
      </c>
      <c r="H238" s="59">
        <v>73.33</v>
      </c>
      <c r="I238" s="59">
        <v>0.01</v>
      </c>
      <c r="J238" s="59">
        <v>0.02</v>
      </c>
      <c r="K238" s="59">
        <v>0.01</v>
      </c>
      <c r="L238" s="59">
        <v>0.01</v>
      </c>
    </row>
    <row r="239" spans="1:12">
      <c r="A239" s="59">
        <v>232</v>
      </c>
      <c r="B239" s="59" t="s">
        <v>1115</v>
      </c>
      <c r="C239" s="59">
        <v>3</v>
      </c>
      <c r="D239" s="59">
        <v>0</v>
      </c>
      <c r="E239" s="59">
        <v>26</v>
      </c>
      <c r="F239" s="59">
        <v>0</v>
      </c>
      <c r="G239" s="59">
        <v>0</v>
      </c>
      <c r="H239" s="59">
        <v>0</v>
      </c>
      <c r="I239" s="59">
        <v>0.01</v>
      </c>
      <c r="J239" s="59">
        <v>0.02</v>
      </c>
      <c r="K239" s="59">
        <v>0</v>
      </c>
      <c r="L239" s="59">
        <v>0</v>
      </c>
    </row>
    <row r="240" spans="1:12">
      <c r="A240" s="59">
        <v>233</v>
      </c>
      <c r="B240" s="59" t="s">
        <v>730</v>
      </c>
      <c r="C240" s="59">
        <v>6</v>
      </c>
      <c r="D240" s="59">
        <v>53</v>
      </c>
      <c r="E240" s="59">
        <v>25</v>
      </c>
      <c r="F240" s="59">
        <v>53</v>
      </c>
      <c r="G240" s="59">
        <v>-88.68</v>
      </c>
      <c r="H240" s="59">
        <v>-52.83</v>
      </c>
      <c r="I240" s="59">
        <v>0.02</v>
      </c>
      <c r="J240" s="59">
        <v>0.02</v>
      </c>
      <c r="K240" s="59">
        <v>0.2</v>
      </c>
      <c r="L240" s="59">
        <v>0.04</v>
      </c>
    </row>
    <row r="241" spans="1:12">
      <c r="A241" s="59">
        <v>234</v>
      </c>
      <c r="B241" s="59" t="s">
        <v>213</v>
      </c>
      <c r="C241" s="59">
        <v>2</v>
      </c>
      <c r="D241" s="59">
        <v>7</v>
      </c>
      <c r="E241" s="59">
        <v>25</v>
      </c>
      <c r="F241" s="59">
        <v>31</v>
      </c>
      <c r="G241" s="59">
        <v>-71.430000000000007</v>
      </c>
      <c r="H241" s="59">
        <v>-19.350000000000001</v>
      </c>
      <c r="I241" s="59">
        <v>0.01</v>
      </c>
      <c r="J241" s="59">
        <v>0.02</v>
      </c>
      <c r="K241" s="59">
        <v>0.03</v>
      </c>
      <c r="L241" s="59">
        <v>0.03</v>
      </c>
    </row>
    <row r="242" spans="1:12">
      <c r="A242" s="59">
        <v>235</v>
      </c>
      <c r="B242" s="59" t="s">
        <v>205</v>
      </c>
      <c r="C242" s="59">
        <v>3</v>
      </c>
      <c r="D242" s="59">
        <v>8</v>
      </c>
      <c r="E242" s="59">
        <v>25</v>
      </c>
      <c r="F242" s="59">
        <v>28</v>
      </c>
      <c r="G242" s="59">
        <v>-62.5</v>
      </c>
      <c r="H242" s="59">
        <v>-10.71</v>
      </c>
      <c r="I242" s="59">
        <v>0.01</v>
      </c>
      <c r="J242" s="59">
        <v>0.02</v>
      </c>
      <c r="K242" s="59">
        <v>0.03</v>
      </c>
      <c r="L242" s="59">
        <v>0.02</v>
      </c>
    </row>
    <row r="243" spans="1:12">
      <c r="A243" s="59">
        <v>236</v>
      </c>
      <c r="B243" s="59" t="s">
        <v>1111</v>
      </c>
      <c r="C243" s="59">
        <v>3</v>
      </c>
      <c r="D243" s="59">
        <v>0</v>
      </c>
      <c r="E243" s="59">
        <v>25</v>
      </c>
      <c r="F243" s="59">
        <v>0</v>
      </c>
      <c r="G243" s="59">
        <v>0</v>
      </c>
      <c r="H243" s="59">
        <v>0</v>
      </c>
      <c r="I243" s="59">
        <v>0.01</v>
      </c>
      <c r="J243" s="59">
        <v>0.02</v>
      </c>
      <c r="K243" s="59">
        <v>0</v>
      </c>
      <c r="L243" s="59">
        <v>0</v>
      </c>
    </row>
    <row r="244" spans="1:12">
      <c r="A244" s="59">
        <v>237</v>
      </c>
      <c r="B244" s="59" t="s">
        <v>137</v>
      </c>
      <c r="C244" s="59">
        <v>6</v>
      </c>
      <c r="D244" s="59">
        <v>18</v>
      </c>
      <c r="E244" s="59">
        <v>22</v>
      </c>
      <c r="F244" s="59">
        <v>89</v>
      </c>
      <c r="G244" s="59">
        <v>-66.67</v>
      </c>
      <c r="H244" s="59">
        <v>-75.28</v>
      </c>
      <c r="I244" s="59">
        <v>0.02</v>
      </c>
      <c r="J244" s="59">
        <v>0.02</v>
      </c>
      <c r="K244" s="59">
        <v>7.0000000000000007E-2</v>
      </c>
      <c r="L244" s="59">
        <v>0.08</v>
      </c>
    </row>
    <row r="245" spans="1:12">
      <c r="A245" s="59">
        <v>238</v>
      </c>
      <c r="B245" s="59" t="s">
        <v>632</v>
      </c>
      <c r="C245" s="59">
        <v>2</v>
      </c>
      <c r="D245" s="59">
        <v>10</v>
      </c>
      <c r="E245" s="59">
        <v>21</v>
      </c>
      <c r="F245" s="59">
        <v>77</v>
      </c>
      <c r="G245" s="59">
        <v>-80</v>
      </c>
      <c r="H245" s="59">
        <v>-72.73</v>
      </c>
      <c r="I245" s="59">
        <v>0.01</v>
      </c>
      <c r="J245" s="59">
        <v>0.02</v>
      </c>
      <c r="K245" s="59">
        <v>0.04</v>
      </c>
      <c r="L245" s="59">
        <v>7.0000000000000007E-2</v>
      </c>
    </row>
    <row r="246" spans="1:12">
      <c r="A246" s="59">
        <v>239</v>
      </c>
      <c r="B246" s="59" t="s">
        <v>194</v>
      </c>
      <c r="C246" s="59">
        <v>0</v>
      </c>
      <c r="D246" s="59">
        <v>4</v>
      </c>
      <c r="E246" s="59">
        <v>21</v>
      </c>
      <c r="F246" s="59">
        <v>28</v>
      </c>
      <c r="G246" s="59">
        <v>-100</v>
      </c>
      <c r="H246" s="59">
        <v>-25</v>
      </c>
      <c r="I246" s="59">
        <v>0</v>
      </c>
      <c r="J246" s="59">
        <v>0.02</v>
      </c>
      <c r="K246" s="59">
        <v>0.02</v>
      </c>
      <c r="L246" s="59">
        <v>0.02</v>
      </c>
    </row>
    <row r="247" spans="1:12">
      <c r="A247" s="59">
        <v>240</v>
      </c>
      <c r="B247" s="59" t="s">
        <v>581</v>
      </c>
      <c r="C247" s="59">
        <v>5</v>
      </c>
      <c r="D247" s="59">
        <v>18</v>
      </c>
      <c r="E247" s="59">
        <v>20</v>
      </c>
      <c r="F247" s="59">
        <v>82</v>
      </c>
      <c r="G247" s="59">
        <v>-72.22</v>
      </c>
      <c r="H247" s="59">
        <v>-75.61</v>
      </c>
      <c r="I247" s="59">
        <v>0.02</v>
      </c>
      <c r="J247" s="59">
        <v>0.02</v>
      </c>
      <c r="K247" s="59">
        <v>7.0000000000000007E-2</v>
      </c>
      <c r="L247" s="59">
        <v>7.0000000000000007E-2</v>
      </c>
    </row>
    <row r="248" spans="1:12">
      <c r="A248" s="59">
        <v>241</v>
      </c>
      <c r="B248" s="59" t="s">
        <v>215</v>
      </c>
      <c r="C248" s="59">
        <v>2</v>
      </c>
      <c r="D248" s="59">
        <v>6</v>
      </c>
      <c r="E248" s="59">
        <v>20</v>
      </c>
      <c r="F248" s="59">
        <v>47</v>
      </c>
      <c r="G248" s="59">
        <v>-66.67</v>
      </c>
      <c r="H248" s="59">
        <v>-57.45</v>
      </c>
      <c r="I248" s="59">
        <v>0.01</v>
      </c>
      <c r="J248" s="59">
        <v>0.02</v>
      </c>
      <c r="K248" s="59">
        <v>0.02</v>
      </c>
      <c r="L248" s="59">
        <v>0.04</v>
      </c>
    </row>
    <row r="249" spans="1:12">
      <c r="A249" s="59">
        <v>242</v>
      </c>
      <c r="B249" s="59" t="s">
        <v>100</v>
      </c>
      <c r="C249" s="59">
        <v>0</v>
      </c>
      <c r="D249" s="59">
        <v>56</v>
      </c>
      <c r="E249" s="59">
        <v>19</v>
      </c>
      <c r="F249" s="59">
        <v>275</v>
      </c>
      <c r="G249" s="59">
        <v>-100</v>
      </c>
      <c r="H249" s="59">
        <v>-93.09</v>
      </c>
      <c r="I249" s="59">
        <v>0</v>
      </c>
      <c r="J249" s="59">
        <v>0.02</v>
      </c>
      <c r="K249" s="59">
        <v>0.21</v>
      </c>
      <c r="L249" s="59">
        <v>0.23</v>
      </c>
    </row>
    <row r="250" spans="1:12">
      <c r="A250" s="59">
        <v>243</v>
      </c>
      <c r="B250" s="59" t="s">
        <v>225</v>
      </c>
      <c r="C250" s="59">
        <v>3</v>
      </c>
      <c r="D250" s="59">
        <v>8</v>
      </c>
      <c r="E250" s="59">
        <v>19</v>
      </c>
      <c r="F250" s="59">
        <v>80</v>
      </c>
      <c r="G250" s="59">
        <v>-62.5</v>
      </c>
      <c r="H250" s="59">
        <v>-76.25</v>
      </c>
      <c r="I250" s="59">
        <v>0.01</v>
      </c>
      <c r="J250" s="59">
        <v>0.02</v>
      </c>
      <c r="K250" s="59">
        <v>0.03</v>
      </c>
      <c r="L250" s="59">
        <v>7.0000000000000007E-2</v>
      </c>
    </row>
    <row r="251" spans="1:12">
      <c r="A251" s="59">
        <v>244</v>
      </c>
      <c r="B251" s="59" t="s">
        <v>170</v>
      </c>
      <c r="C251" s="59">
        <v>7</v>
      </c>
      <c r="D251" s="59">
        <v>28</v>
      </c>
      <c r="E251" s="59">
        <v>19</v>
      </c>
      <c r="F251" s="59">
        <v>52</v>
      </c>
      <c r="G251" s="59">
        <v>-75</v>
      </c>
      <c r="H251" s="59">
        <v>-63.46</v>
      </c>
      <c r="I251" s="59">
        <v>0.02</v>
      </c>
      <c r="J251" s="59">
        <v>0.02</v>
      </c>
      <c r="K251" s="59">
        <v>0.11</v>
      </c>
      <c r="L251" s="59">
        <v>0.04</v>
      </c>
    </row>
    <row r="252" spans="1:12">
      <c r="A252" s="59">
        <v>245</v>
      </c>
      <c r="B252" s="59" t="s">
        <v>226</v>
      </c>
      <c r="C252" s="59">
        <v>1</v>
      </c>
      <c r="D252" s="59">
        <v>5</v>
      </c>
      <c r="E252" s="59">
        <v>19</v>
      </c>
      <c r="F252" s="59">
        <v>22</v>
      </c>
      <c r="G252" s="59">
        <v>-80</v>
      </c>
      <c r="H252" s="59">
        <v>-13.64</v>
      </c>
      <c r="I252" s="59">
        <v>0</v>
      </c>
      <c r="J252" s="59">
        <v>0.02</v>
      </c>
      <c r="K252" s="59">
        <v>0.02</v>
      </c>
      <c r="L252" s="59">
        <v>0.02</v>
      </c>
    </row>
    <row r="253" spans="1:12">
      <c r="A253" s="59">
        <v>246</v>
      </c>
      <c r="B253" s="59" t="s">
        <v>1185</v>
      </c>
      <c r="C253" s="59">
        <v>11</v>
      </c>
      <c r="D253" s="59">
        <v>0</v>
      </c>
      <c r="E253" s="59">
        <v>19</v>
      </c>
      <c r="F253" s="59">
        <v>0</v>
      </c>
      <c r="G253" s="59">
        <v>0</v>
      </c>
      <c r="H253" s="59">
        <v>0</v>
      </c>
      <c r="I253" s="59">
        <v>0.04</v>
      </c>
      <c r="J253" s="59">
        <v>0.02</v>
      </c>
      <c r="K253" s="59">
        <v>0</v>
      </c>
      <c r="L253" s="59">
        <v>0</v>
      </c>
    </row>
    <row r="254" spans="1:12">
      <c r="A254" s="59">
        <v>247</v>
      </c>
      <c r="B254" s="59" t="s">
        <v>455</v>
      </c>
      <c r="C254" s="59">
        <v>6</v>
      </c>
      <c r="D254" s="59">
        <v>13</v>
      </c>
      <c r="E254" s="59">
        <v>17</v>
      </c>
      <c r="F254" s="59">
        <v>49</v>
      </c>
      <c r="G254" s="59">
        <v>-53.85</v>
      </c>
      <c r="H254" s="59">
        <v>-65.31</v>
      </c>
      <c r="I254" s="59">
        <v>0.02</v>
      </c>
      <c r="J254" s="59">
        <v>0.02</v>
      </c>
      <c r="K254" s="59">
        <v>0.05</v>
      </c>
      <c r="L254" s="59">
        <v>0.04</v>
      </c>
    </row>
    <row r="255" spans="1:12">
      <c r="A255" s="59">
        <v>248</v>
      </c>
      <c r="B255" s="59" t="s">
        <v>210</v>
      </c>
      <c r="C255" s="59">
        <v>4</v>
      </c>
      <c r="D255" s="59">
        <v>11</v>
      </c>
      <c r="E255" s="59">
        <v>17</v>
      </c>
      <c r="F255" s="59">
        <v>29</v>
      </c>
      <c r="G255" s="59">
        <v>-63.64</v>
      </c>
      <c r="H255" s="59">
        <v>-41.38</v>
      </c>
      <c r="I255" s="59">
        <v>0.01</v>
      </c>
      <c r="J255" s="59">
        <v>0.02</v>
      </c>
      <c r="K255" s="59">
        <v>0.04</v>
      </c>
      <c r="L255" s="59">
        <v>0.02</v>
      </c>
    </row>
    <row r="256" spans="1:12">
      <c r="A256" s="59">
        <v>249</v>
      </c>
      <c r="B256" s="59" t="s">
        <v>382</v>
      </c>
      <c r="C256" s="59">
        <v>4</v>
      </c>
      <c r="D256" s="59">
        <v>5</v>
      </c>
      <c r="E256" s="59">
        <v>17</v>
      </c>
      <c r="F256" s="59">
        <v>17</v>
      </c>
      <c r="G256" s="59">
        <v>-20</v>
      </c>
      <c r="H256" s="59">
        <v>0</v>
      </c>
      <c r="I256" s="59">
        <v>0.01</v>
      </c>
      <c r="J256" s="59">
        <v>0.02</v>
      </c>
      <c r="K256" s="59">
        <v>0.02</v>
      </c>
      <c r="L256" s="59">
        <v>0.01</v>
      </c>
    </row>
    <row r="257" spans="1:12">
      <c r="A257" s="59">
        <v>250</v>
      </c>
      <c r="B257" s="59" t="s">
        <v>385</v>
      </c>
      <c r="C257" s="59">
        <v>8</v>
      </c>
      <c r="D257" s="59">
        <v>0</v>
      </c>
      <c r="E257" s="59">
        <v>17</v>
      </c>
      <c r="F257" s="59">
        <v>15</v>
      </c>
      <c r="G257" s="59">
        <v>0</v>
      </c>
      <c r="H257" s="59">
        <v>13.33</v>
      </c>
      <c r="I257" s="59">
        <v>0.03</v>
      </c>
      <c r="J257" s="59">
        <v>0.02</v>
      </c>
      <c r="K257" s="59">
        <v>0</v>
      </c>
      <c r="L257" s="59">
        <v>0.01</v>
      </c>
    </row>
    <row r="258" spans="1:12">
      <c r="A258" s="59">
        <v>251</v>
      </c>
      <c r="B258" s="59" t="s">
        <v>713</v>
      </c>
      <c r="C258" s="59">
        <v>8</v>
      </c>
      <c r="D258" s="59">
        <v>2</v>
      </c>
      <c r="E258" s="59">
        <v>17</v>
      </c>
      <c r="F258" s="59">
        <v>7</v>
      </c>
      <c r="G258" s="59">
        <v>300</v>
      </c>
      <c r="H258" s="59">
        <v>142.86000000000001</v>
      </c>
      <c r="I258" s="59">
        <v>0.03</v>
      </c>
      <c r="J258" s="59">
        <v>0.02</v>
      </c>
      <c r="K258" s="59">
        <v>0.01</v>
      </c>
      <c r="L258" s="59">
        <v>0.01</v>
      </c>
    </row>
    <row r="259" spans="1:12">
      <c r="A259" s="59">
        <v>252</v>
      </c>
      <c r="B259" s="59" t="s">
        <v>220</v>
      </c>
      <c r="C259" s="59">
        <v>2</v>
      </c>
      <c r="D259" s="59">
        <v>4</v>
      </c>
      <c r="E259" s="59">
        <v>16</v>
      </c>
      <c r="F259" s="59">
        <v>21</v>
      </c>
      <c r="G259" s="59">
        <v>-50</v>
      </c>
      <c r="H259" s="59">
        <v>-23.81</v>
      </c>
      <c r="I259" s="59">
        <v>0.01</v>
      </c>
      <c r="J259" s="59">
        <v>0.01</v>
      </c>
      <c r="K259" s="59">
        <v>0.02</v>
      </c>
      <c r="L259" s="59">
        <v>0.02</v>
      </c>
    </row>
    <row r="260" spans="1:12">
      <c r="A260" s="59">
        <v>253</v>
      </c>
      <c r="B260" s="59" t="s">
        <v>1012</v>
      </c>
      <c r="C260" s="59">
        <v>2</v>
      </c>
      <c r="D260" s="59">
        <v>0</v>
      </c>
      <c r="E260" s="59">
        <v>15</v>
      </c>
      <c r="F260" s="59">
        <v>0</v>
      </c>
      <c r="G260" s="59">
        <v>0</v>
      </c>
      <c r="H260" s="59">
        <v>0</v>
      </c>
      <c r="I260" s="59">
        <v>0.01</v>
      </c>
      <c r="J260" s="59">
        <v>0.01</v>
      </c>
      <c r="K260" s="59">
        <v>0</v>
      </c>
      <c r="L260" s="59">
        <v>0</v>
      </c>
    </row>
    <row r="261" spans="1:12">
      <c r="A261" s="59">
        <v>254</v>
      </c>
      <c r="B261" s="59" t="s">
        <v>139</v>
      </c>
      <c r="C261" s="59">
        <v>1</v>
      </c>
      <c r="D261" s="59">
        <v>13</v>
      </c>
      <c r="E261" s="59">
        <v>14</v>
      </c>
      <c r="F261" s="59">
        <v>84</v>
      </c>
      <c r="G261" s="59">
        <v>-92.31</v>
      </c>
      <c r="H261" s="59">
        <v>-83.33</v>
      </c>
      <c r="I261" s="59">
        <v>0</v>
      </c>
      <c r="J261" s="59">
        <v>0.01</v>
      </c>
      <c r="K261" s="59">
        <v>0.05</v>
      </c>
      <c r="L261" s="59">
        <v>7.0000000000000007E-2</v>
      </c>
    </row>
    <row r="262" spans="1:12">
      <c r="A262" s="59">
        <v>255</v>
      </c>
      <c r="B262" s="59" t="s">
        <v>131</v>
      </c>
      <c r="C262" s="59">
        <v>0</v>
      </c>
      <c r="D262" s="59">
        <v>25</v>
      </c>
      <c r="E262" s="59">
        <v>14</v>
      </c>
      <c r="F262" s="59">
        <v>56</v>
      </c>
      <c r="G262" s="59">
        <v>-100</v>
      </c>
      <c r="H262" s="59">
        <v>-75</v>
      </c>
      <c r="I262" s="59">
        <v>0</v>
      </c>
      <c r="J262" s="59">
        <v>0.01</v>
      </c>
      <c r="K262" s="59">
        <v>0.09</v>
      </c>
      <c r="L262" s="59">
        <v>0.05</v>
      </c>
    </row>
    <row r="263" spans="1:12">
      <c r="A263" s="59">
        <v>256</v>
      </c>
      <c r="B263" s="59" t="s">
        <v>221</v>
      </c>
      <c r="C263" s="59">
        <v>4</v>
      </c>
      <c r="D263" s="59">
        <v>6</v>
      </c>
      <c r="E263" s="59">
        <v>14</v>
      </c>
      <c r="F263" s="59">
        <v>14</v>
      </c>
      <c r="G263" s="59">
        <v>-33.33</v>
      </c>
      <c r="H263" s="59">
        <v>0</v>
      </c>
      <c r="I263" s="59">
        <v>0.01</v>
      </c>
      <c r="J263" s="59">
        <v>0.01</v>
      </c>
      <c r="K263" s="59">
        <v>0.02</v>
      </c>
      <c r="L263" s="59">
        <v>0.01</v>
      </c>
    </row>
    <row r="264" spans="1:12">
      <c r="A264" s="59">
        <v>257</v>
      </c>
      <c r="B264" s="59" t="s">
        <v>1164</v>
      </c>
      <c r="C264" s="59">
        <v>5</v>
      </c>
      <c r="D264" s="59">
        <v>0</v>
      </c>
      <c r="E264" s="59">
        <v>14</v>
      </c>
      <c r="F264" s="59">
        <v>0</v>
      </c>
      <c r="G264" s="59">
        <v>0</v>
      </c>
      <c r="H264" s="59">
        <v>0</v>
      </c>
      <c r="I264" s="59">
        <v>0.02</v>
      </c>
      <c r="J264" s="59">
        <v>0.01</v>
      </c>
      <c r="K264" s="59">
        <v>0</v>
      </c>
      <c r="L264" s="59">
        <v>0</v>
      </c>
    </row>
    <row r="265" spans="1:12">
      <c r="A265" s="59">
        <v>258</v>
      </c>
      <c r="B265" s="59" t="s">
        <v>181</v>
      </c>
      <c r="C265" s="59">
        <v>0</v>
      </c>
      <c r="D265" s="59">
        <v>26</v>
      </c>
      <c r="E265" s="59">
        <v>13</v>
      </c>
      <c r="F265" s="59">
        <v>38</v>
      </c>
      <c r="G265" s="59">
        <v>-100</v>
      </c>
      <c r="H265" s="59">
        <v>-65.790000000000006</v>
      </c>
      <c r="I265" s="59">
        <v>0</v>
      </c>
      <c r="J265" s="59">
        <v>0.01</v>
      </c>
      <c r="K265" s="59">
        <v>0.1</v>
      </c>
      <c r="L265" s="59">
        <v>0.03</v>
      </c>
    </row>
    <row r="266" spans="1:12">
      <c r="A266" s="59">
        <v>259</v>
      </c>
      <c r="B266" s="59" t="s">
        <v>384</v>
      </c>
      <c r="C266" s="59">
        <v>2</v>
      </c>
      <c r="D266" s="59">
        <v>3</v>
      </c>
      <c r="E266" s="59">
        <v>12</v>
      </c>
      <c r="F266" s="59">
        <v>12</v>
      </c>
      <c r="G266" s="59">
        <v>-33.33</v>
      </c>
      <c r="H266" s="59">
        <v>0</v>
      </c>
      <c r="I266" s="59">
        <v>0.01</v>
      </c>
      <c r="J266" s="59">
        <v>0.01</v>
      </c>
      <c r="K266" s="59">
        <v>0.01</v>
      </c>
      <c r="L266" s="59">
        <v>0.01</v>
      </c>
    </row>
    <row r="267" spans="1:12">
      <c r="A267" s="59">
        <v>260</v>
      </c>
      <c r="B267" s="59" t="s">
        <v>573</v>
      </c>
      <c r="C267" s="59">
        <v>4</v>
      </c>
      <c r="D267" s="59">
        <v>0</v>
      </c>
      <c r="E267" s="59">
        <v>12</v>
      </c>
      <c r="F267" s="59">
        <v>4</v>
      </c>
      <c r="G267" s="67">
        <v>0</v>
      </c>
      <c r="H267" s="67">
        <v>200</v>
      </c>
      <c r="I267" s="59">
        <v>0.01</v>
      </c>
      <c r="J267" s="59">
        <v>0.01</v>
      </c>
      <c r="K267" s="59">
        <v>0</v>
      </c>
      <c r="L267" s="59">
        <v>0</v>
      </c>
    </row>
    <row r="268" spans="1:12">
      <c r="A268" s="59">
        <v>261</v>
      </c>
      <c r="B268" s="59" t="s">
        <v>1042</v>
      </c>
      <c r="C268" s="59">
        <v>0</v>
      </c>
      <c r="D268" s="59">
        <v>0</v>
      </c>
      <c r="E268" s="59">
        <v>12</v>
      </c>
      <c r="F268" s="59">
        <v>0</v>
      </c>
      <c r="G268" s="59">
        <v>0</v>
      </c>
      <c r="H268" s="59">
        <v>0</v>
      </c>
      <c r="I268" s="59">
        <v>0</v>
      </c>
      <c r="J268" s="59">
        <v>0.01</v>
      </c>
      <c r="K268" s="59">
        <v>0</v>
      </c>
      <c r="L268" s="59">
        <v>0</v>
      </c>
    </row>
    <row r="269" spans="1:12">
      <c r="A269" s="59">
        <v>262</v>
      </c>
      <c r="B269" s="59" t="s">
        <v>508</v>
      </c>
      <c r="C269" s="59">
        <v>4</v>
      </c>
      <c r="D269" s="59">
        <v>2</v>
      </c>
      <c r="E269" s="59">
        <v>11</v>
      </c>
      <c r="F269" s="59">
        <v>10</v>
      </c>
      <c r="G269" s="59">
        <v>100</v>
      </c>
      <c r="H269" s="59">
        <v>10</v>
      </c>
      <c r="I269" s="59">
        <v>0.01</v>
      </c>
      <c r="J269" s="59">
        <v>0.01</v>
      </c>
      <c r="K269" s="59">
        <v>0.01</v>
      </c>
      <c r="L269" s="59">
        <v>0.01</v>
      </c>
    </row>
    <row r="270" spans="1:12">
      <c r="A270" s="59">
        <v>263</v>
      </c>
      <c r="B270" s="59" t="s">
        <v>187</v>
      </c>
      <c r="C270" s="59">
        <v>5</v>
      </c>
      <c r="D270" s="59">
        <v>16</v>
      </c>
      <c r="E270" s="59">
        <v>10</v>
      </c>
      <c r="F270" s="59">
        <v>44</v>
      </c>
      <c r="G270" s="59">
        <v>-68.75</v>
      </c>
      <c r="H270" s="59">
        <v>-77.27</v>
      </c>
      <c r="I270" s="59">
        <v>0.02</v>
      </c>
      <c r="J270" s="59">
        <v>0.01</v>
      </c>
      <c r="K270" s="59">
        <v>0.06</v>
      </c>
      <c r="L270" s="59">
        <v>0.04</v>
      </c>
    </row>
    <row r="271" spans="1:12">
      <c r="A271" s="59">
        <v>264</v>
      </c>
      <c r="B271" s="59" t="s">
        <v>212</v>
      </c>
      <c r="C271" s="59">
        <v>5</v>
      </c>
      <c r="D271" s="59">
        <v>6</v>
      </c>
      <c r="E271" s="59">
        <v>10</v>
      </c>
      <c r="F271" s="59">
        <v>36</v>
      </c>
      <c r="G271" s="59">
        <v>-16.670000000000002</v>
      </c>
      <c r="H271" s="59">
        <v>-72.22</v>
      </c>
      <c r="I271" s="59">
        <v>0.02</v>
      </c>
      <c r="J271" s="59">
        <v>0.01</v>
      </c>
      <c r="K271" s="59">
        <v>0.02</v>
      </c>
      <c r="L271" s="59">
        <v>0.03</v>
      </c>
    </row>
    <row r="272" spans="1:12">
      <c r="A272" s="59">
        <v>265</v>
      </c>
      <c r="B272" s="59" t="s">
        <v>223</v>
      </c>
      <c r="C272" s="59">
        <v>0</v>
      </c>
      <c r="D272" s="59">
        <v>1</v>
      </c>
      <c r="E272" s="59">
        <v>10</v>
      </c>
      <c r="F272" s="59">
        <v>12</v>
      </c>
      <c r="G272" s="59">
        <v>-100</v>
      </c>
      <c r="H272" s="59">
        <v>-16.670000000000002</v>
      </c>
      <c r="I272" s="59">
        <v>0</v>
      </c>
      <c r="J272" s="59">
        <v>0.01</v>
      </c>
      <c r="K272" s="59">
        <v>0</v>
      </c>
      <c r="L272" s="59">
        <v>0.01</v>
      </c>
    </row>
    <row r="273" spans="1:12">
      <c r="A273" s="59">
        <v>266</v>
      </c>
      <c r="B273" s="59" t="s">
        <v>510</v>
      </c>
      <c r="C273" s="59">
        <v>0</v>
      </c>
      <c r="D273" s="59">
        <v>3</v>
      </c>
      <c r="E273" s="59">
        <v>9</v>
      </c>
      <c r="F273" s="59">
        <v>12</v>
      </c>
      <c r="G273" s="59">
        <v>-100</v>
      </c>
      <c r="H273" s="59">
        <v>-25</v>
      </c>
      <c r="I273" s="59">
        <v>0</v>
      </c>
      <c r="J273" s="59">
        <v>0.01</v>
      </c>
      <c r="K273" s="59">
        <v>0.01</v>
      </c>
      <c r="L273" s="59">
        <v>0.01</v>
      </c>
    </row>
    <row r="274" spans="1:12">
      <c r="A274" s="59">
        <v>267</v>
      </c>
      <c r="B274" s="59" t="s">
        <v>1119</v>
      </c>
      <c r="C274" s="59">
        <v>2</v>
      </c>
      <c r="D274" s="59">
        <v>0</v>
      </c>
      <c r="E274" s="59">
        <v>9</v>
      </c>
      <c r="F274" s="59">
        <v>0</v>
      </c>
      <c r="G274" s="67">
        <v>0</v>
      </c>
      <c r="H274" s="59">
        <v>0</v>
      </c>
      <c r="I274" s="59">
        <v>0.01</v>
      </c>
      <c r="J274" s="59">
        <v>0.01</v>
      </c>
      <c r="K274" s="59">
        <v>0</v>
      </c>
      <c r="L274" s="59">
        <v>0</v>
      </c>
    </row>
    <row r="275" spans="1:12">
      <c r="A275" s="59">
        <v>268</v>
      </c>
      <c r="B275" s="59" t="s">
        <v>190</v>
      </c>
      <c r="C275" s="24">
        <v>3</v>
      </c>
      <c r="D275" s="24">
        <v>2</v>
      </c>
      <c r="E275" s="24">
        <v>8</v>
      </c>
      <c r="F275" s="24">
        <v>40</v>
      </c>
      <c r="G275" s="67">
        <v>50</v>
      </c>
      <c r="H275" s="67">
        <v>-80</v>
      </c>
      <c r="I275" s="59">
        <v>0.01</v>
      </c>
      <c r="J275" s="59">
        <v>0.01</v>
      </c>
      <c r="K275" s="59">
        <v>0.01</v>
      </c>
      <c r="L275" s="59">
        <v>0.03</v>
      </c>
    </row>
    <row r="276" spans="1:12">
      <c r="A276" s="59">
        <v>269</v>
      </c>
      <c r="B276" s="59" t="s">
        <v>696</v>
      </c>
      <c r="C276" s="24">
        <v>4</v>
      </c>
      <c r="D276" s="59">
        <v>0</v>
      </c>
      <c r="E276" s="24">
        <v>8</v>
      </c>
      <c r="F276" s="59">
        <v>1</v>
      </c>
      <c r="G276" s="59">
        <v>0</v>
      </c>
      <c r="H276" s="59">
        <v>700</v>
      </c>
      <c r="I276" s="59">
        <v>0.01</v>
      </c>
      <c r="J276" s="59">
        <v>0.01</v>
      </c>
      <c r="K276" s="59">
        <v>0</v>
      </c>
      <c r="L276" s="59">
        <v>0</v>
      </c>
    </row>
    <row r="277" spans="1:12">
      <c r="A277" s="59">
        <v>270</v>
      </c>
      <c r="B277" s="59" t="s">
        <v>695</v>
      </c>
      <c r="C277" s="59">
        <v>3</v>
      </c>
      <c r="D277" s="59">
        <v>2</v>
      </c>
      <c r="E277" s="59">
        <v>7</v>
      </c>
      <c r="F277" s="59">
        <v>3</v>
      </c>
      <c r="G277" s="59">
        <v>50</v>
      </c>
      <c r="H277" s="59">
        <v>133.33000000000001</v>
      </c>
      <c r="I277" s="59">
        <v>0.01</v>
      </c>
      <c r="J277" s="59">
        <v>0.01</v>
      </c>
      <c r="K277" s="59">
        <v>0.01</v>
      </c>
      <c r="L277" s="59">
        <v>0</v>
      </c>
    </row>
    <row r="278" spans="1:12">
      <c r="A278" s="59">
        <v>271</v>
      </c>
      <c r="B278" s="59" t="s">
        <v>714</v>
      </c>
      <c r="C278" s="59">
        <v>2</v>
      </c>
      <c r="D278" s="59">
        <v>1</v>
      </c>
      <c r="E278" s="59">
        <v>7</v>
      </c>
      <c r="F278" s="59">
        <v>1</v>
      </c>
      <c r="G278" s="59">
        <v>100</v>
      </c>
      <c r="H278" s="59">
        <v>600</v>
      </c>
      <c r="I278" s="59">
        <v>0.01</v>
      </c>
      <c r="J278" s="59">
        <v>0.01</v>
      </c>
      <c r="K278" s="59">
        <v>0</v>
      </c>
      <c r="L278" s="59">
        <v>0</v>
      </c>
    </row>
    <row r="279" spans="1:12">
      <c r="A279" s="59">
        <v>272</v>
      </c>
      <c r="B279" s="59" t="s">
        <v>694</v>
      </c>
      <c r="C279" s="59">
        <v>0</v>
      </c>
      <c r="D279" s="59">
        <v>0</v>
      </c>
      <c r="E279" s="59">
        <v>7</v>
      </c>
      <c r="F279" s="59">
        <v>1</v>
      </c>
      <c r="G279" s="59">
        <v>0</v>
      </c>
      <c r="H279" s="59">
        <v>600</v>
      </c>
      <c r="I279" s="59">
        <v>0</v>
      </c>
      <c r="J279" s="59">
        <v>0.01</v>
      </c>
      <c r="K279" s="59">
        <v>0</v>
      </c>
      <c r="L279" s="59">
        <v>0</v>
      </c>
    </row>
    <row r="280" spans="1:12">
      <c r="A280" s="59">
        <v>273</v>
      </c>
      <c r="B280" s="59" t="s">
        <v>1045</v>
      </c>
      <c r="C280" s="59">
        <v>1</v>
      </c>
      <c r="D280" s="59">
        <v>0</v>
      </c>
      <c r="E280" s="59">
        <v>7</v>
      </c>
      <c r="F280" s="59">
        <v>0</v>
      </c>
      <c r="G280" s="59">
        <v>0</v>
      </c>
      <c r="H280" s="59">
        <v>0</v>
      </c>
      <c r="I280" s="59">
        <v>0</v>
      </c>
      <c r="J280" s="59">
        <v>0.01</v>
      </c>
      <c r="K280" s="59">
        <v>0</v>
      </c>
      <c r="L280" s="59">
        <v>0</v>
      </c>
    </row>
    <row r="281" spans="1:12">
      <c r="A281" s="59">
        <v>274</v>
      </c>
      <c r="B281" s="59" t="s">
        <v>214</v>
      </c>
      <c r="C281" s="59">
        <v>0</v>
      </c>
      <c r="D281" s="59">
        <v>86</v>
      </c>
      <c r="E281" s="59">
        <v>6</v>
      </c>
      <c r="F281" s="59">
        <v>130</v>
      </c>
      <c r="G281" s="59">
        <v>-100</v>
      </c>
      <c r="H281" s="59">
        <v>-95.38</v>
      </c>
      <c r="I281" s="59">
        <v>0</v>
      </c>
      <c r="J281" s="59">
        <v>0.01</v>
      </c>
      <c r="K281" s="59">
        <v>0.33</v>
      </c>
      <c r="L281" s="59">
        <v>0.11</v>
      </c>
    </row>
    <row r="282" spans="1:12">
      <c r="A282" s="59">
        <v>275</v>
      </c>
      <c r="B282" s="59" t="s">
        <v>407</v>
      </c>
      <c r="C282" s="59">
        <v>1</v>
      </c>
      <c r="D282" s="59">
        <v>9</v>
      </c>
      <c r="E282" s="59">
        <v>6</v>
      </c>
      <c r="F282" s="59">
        <v>68</v>
      </c>
      <c r="G282" s="59">
        <v>-88.89</v>
      </c>
      <c r="H282" s="59">
        <v>-91.18</v>
      </c>
      <c r="I282" s="59">
        <v>0</v>
      </c>
      <c r="J282" s="59">
        <v>0.01</v>
      </c>
      <c r="K282" s="59">
        <v>0.03</v>
      </c>
      <c r="L282" s="59">
        <v>0.06</v>
      </c>
    </row>
    <row r="283" spans="1:12">
      <c r="A283" s="59">
        <v>276</v>
      </c>
      <c r="B283" s="59" t="s">
        <v>1116</v>
      </c>
      <c r="C283" s="59">
        <v>1</v>
      </c>
      <c r="D283" s="59">
        <v>5</v>
      </c>
      <c r="E283" s="59">
        <v>6</v>
      </c>
      <c r="F283" s="59">
        <v>13</v>
      </c>
      <c r="G283" s="59">
        <v>-80</v>
      </c>
      <c r="H283" s="59">
        <v>-53.85</v>
      </c>
      <c r="I283" s="59">
        <v>0</v>
      </c>
      <c r="J283" s="59">
        <v>0.01</v>
      </c>
      <c r="K283" s="59">
        <v>0.02</v>
      </c>
      <c r="L283" s="59">
        <v>0.01</v>
      </c>
    </row>
    <row r="284" spans="1:12">
      <c r="A284" s="59">
        <v>277</v>
      </c>
      <c r="B284" s="59" t="s">
        <v>230</v>
      </c>
      <c r="C284" s="59">
        <v>4</v>
      </c>
      <c r="D284" s="59">
        <v>0</v>
      </c>
      <c r="E284" s="59">
        <v>6</v>
      </c>
      <c r="F284" s="59">
        <v>7</v>
      </c>
      <c r="G284" s="59">
        <v>0</v>
      </c>
      <c r="H284" s="59">
        <v>-14.29</v>
      </c>
      <c r="I284" s="59">
        <v>0.01</v>
      </c>
      <c r="J284" s="59">
        <v>0.01</v>
      </c>
      <c r="K284" s="59">
        <v>0</v>
      </c>
      <c r="L284" s="59">
        <v>0.01</v>
      </c>
    </row>
    <row r="285" spans="1:12">
      <c r="A285" s="59">
        <v>278</v>
      </c>
      <c r="B285" s="59" t="s">
        <v>1117</v>
      </c>
      <c r="C285" s="59">
        <v>0</v>
      </c>
      <c r="D285" s="59">
        <v>3</v>
      </c>
      <c r="E285" s="59">
        <v>6</v>
      </c>
      <c r="F285" s="59">
        <v>6</v>
      </c>
      <c r="G285" s="67">
        <v>-100</v>
      </c>
      <c r="H285" s="67">
        <v>0</v>
      </c>
      <c r="I285" s="59">
        <v>0</v>
      </c>
      <c r="J285" s="59">
        <v>0.01</v>
      </c>
      <c r="K285" s="59">
        <v>0.01</v>
      </c>
      <c r="L285" s="59">
        <v>0.01</v>
      </c>
    </row>
    <row r="286" spans="1:12">
      <c r="A286" s="59">
        <v>279</v>
      </c>
      <c r="B286" s="59" t="s">
        <v>1227</v>
      </c>
      <c r="C286" s="59">
        <v>1</v>
      </c>
      <c r="D286" s="59">
        <v>0</v>
      </c>
      <c r="E286" s="59">
        <v>6</v>
      </c>
      <c r="F286" s="59">
        <v>1</v>
      </c>
      <c r="G286" s="59">
        <v>0</v>
      </c>
      <c r="H286" s="59">
        <v>500</v>
      </c>
      <c r="I286" s="59">
        <v>0</v>
      </c>
      <c r="J286" s="59">
        <v>0.01</v>
      </c>
      <c r="K286" s="59">
        <v>0</v>
      </c>
      <c r="L286" s="59">
        <v>0</v>
      </c>
    </row>
    <row r="287" spans="1:12">
      <c r="A287" s="59">
        <v>280</v>
      </c>
      <c r="B287" s="59" t="s">
        <v>507</v>
      </c>
      <c r="C287" s="59">
        <v>0</v>
      </c>
      <c r="D287" s="59">
        <v>1</v>
      </c>
      <c r="E287" s="59">
        <v>5</v>
      </c>
      <c r="F287" s="59">
        <v>8</v>
      </c>
      <c r="G287" s="59">
        <v>-100</v>
      </c>
      <c r="H287" s="59">
        <v>-37.5</v>
      </c>
      <c r="I287" s="59">
        <v>0</v>
      </c>
      <c r="J287" s="59">
        <v>0</v>
      </c>
      <c r="K287" s="59">
        <v>0</v>
      </c>
      <c r="L287" s="59">
        <v>0.01</v>
      </c>
    </row>
    <row r="288" spans="1:12">
      <c r="A288" s="59">
        <v>281</v>
      </c>
      <c r="B288" s="59" t="s">
        <v>1118</v>
      </c>
      <c r="C288" s="59">
        <v>0</v>
      </c>
      <c r="D288" s="59">
        <v>0</v>
      </c>
      <c r="E288" s="59">
        <v>5</v>
      </c>
      <c r="F288" s="59">
        <v>0</v>
      </c>
      <c r="G288" s="59">
        <v>0</v>
      </c>
      <c r="H288" s="59">
        <v>0</v>
      </c>
      <c r="I288" s="59">
        <v>0</v>
      </c>
      <c r="J288" s="59">
        <v>0</v>
      </c>
      <c r="K288" s="59">
        <v>0</v>
      </c>
      <c r="L288" s="59">
        <v>0</v>
      </c>
    </row>
    <row r="289" spans="1:12">
      <c r="A289" s="59">
        <v>282</v>
      </c>
      <c r="B289" s="59" t="s">
        <v>222</v>
      </c>
      <c r="C289" s="59">
        <v>0</v>
      </c>
      <c r="D289" s="59">
        <v>4</v>
      </c>
      <c r="E289" s="59">
        <v>4</v>
      </c>
      <c r="F289" s="59">
        <v>10</v>
      </c>
      <c r="G289" s="59">
        <v>-100</v>
      </c>
      <c r="H289" s="59">
        <v>-60</v>
      </c>
      <c r="I289" s="59">
        <v>0</v>
      </c>
      <c r="J289" s="59">
        <v>0</v>
      </c>
      <c r="K289" s="59">
        <v>0.02</v>
      </c>
      <c r="L289" s="59">
        <v>0.01</v>
      </c>
    </row>
    <row r="290" spans="1:12">
      <c r="A290" s="59">
        <v>283</v>
      </c>
      <c r="B290" s="59" t="s">
        <v>595</v>
      </c>
      <c r="C290" s="59">
        <v>1</v>
      </c>
      <c r="D290" s="59">
        <v>4</v>
      </c>
      <c r="E290" s="59">
        <v>4</v>
      </c>
      <c r="F290" s="59">
        <v>10</v>
      </c>
      <c r="G290" s="59">
        <v>-75</v>
      </c>
      <c r="H290" s="59">
        <v>-60</v>
      </c>
      <c r="I290" s="59">
        <v>0</v>
      </c>
      <c r="J290" s="59">
        <v>0</v>
      </c>
      <c r="K290" s="59">
        <v>0.02</v>
      </c>
      <c r="L290" s="59">
        <v>0.01</v>
      </c>
    </row>
    <row r="291" spans="1:12">
      <c r="A291" s="59">
        <v>284</v>
      </c>
      <c r="B291" s="59" t="s">
        <v>1124</v>
      </c>
      <c r="C291" s="59">
        <v>2</v>
      </c>
      <c r="D291" s="59">
        <v>2</v>
      </c>
      <c r="E291" s="59">
        <v>4</v>
      </c>
      <c r="F291" s="59">
        <v>6</v>
      </c>
      <c r="G291" s="59">
        <v>0</v>
      </c>
      <c r="H291" s="59">
        <v>-33.33</v>
      </c>
      <c r="I291" s="59">
        <v>0.01</v>
      </c>
      <c r="J291" s="59">
        <v>0</v>
      </c>
      <c r="K291" s="59">
        <v>0.01</v>
      </c>
      <c r="L291" s="59">
        <v>0.01</v>
      </c>
    </row>
    <row r="292" spans="1:12">
      <c r="A292" s="59">
        <v>285</v>
      </c>
      <c r="B292" s="59" t="s">
        <v>228</v>
      </c>
      <c r="C292" s="59">
        <v>2</v>
      </c>
      <c r="D292" s="59">
        <v>0</v>
      </c>
      <c r="E292" s="59">
        <v>4</v>
      </c>
      <c r="F292" s="59">
        <v>3</v>
      </c>
      <c r="G292" s="59">
        <v>0</v>
      </c>
      <c r="H292" s="59">
        <v>33.33</v>
      </c>
      <c r="I292" s="59">
        <v>0.01</v>
      </c>
      <c r="J292" s="59">
        <v>0</v>
      </c>
      <c r="K292" s="59">
        <v>0</v>
      </c>
      <c r="L292" s="59">
        <v>0</v>
      </c>
    </row>
    <row r="293" spans="1:12">
      <c r="A293" s="59">
        <v>286</v>
      </c>
      <c r="B293" s="59" t="s">
        <v>502</v>
      </c>
      <c r="C293" s="59">
        <v>0</v>
      </c>
      <c r="D293" s="59">
        <v>0</v>
      </c>
      <c r="E293" s="59">
        <v>3</v>
      </c>
      <c r="F293" s="59">
        <v>6</v>
      </c>
      <c r="G293" s="59">
        <v>0</v>
      </c>
      <c r="H293" s="59">
        <v>-50</v>
      </c>
      <c r="I293" s="59">
        <v>0</v>
      </c>
      <c r="J293" s="59">
        <v>0</v>
      </c>
      <c r="K293" s="59">
        <v>0</v>
      </c>
      <c r="L293" s="59">
        <v>0.01</v>
      </c>
    </row>
    <row r="294" spans="1:12">
      <c r="A294" s="59">
        <v>287</v>
      </c>
      <c r="B294" s="59" t="s">
        <v>114</v>
      </c>
      <c r="C294" s="59">
        <v>0</v>
      </c>
      <c r="D294" s="59">
        <v>108</v>
      </c>
      <c r="E294" s="59">
        <v>2</v>
      </c>
      <c r="F294" s="59">
        <v>1279</v>
      </c>
      <c r="G294" s="59">
        <v>-100</v>
      </c>
      <c r="H294" s="59">
        <v>-99.84</v>
      </c>
      <c r="I294" s="59">
        <v>0</v>
      </c>
      <c r="J294" s="59">
        <v>0</v>
      </c>
      <c r="K294" s="59">
        <v>0.41</v>
      </c>
      <c r="L294" s="59">
        <v>1.08</v>
      </c>
    </row>
    <row r="295" spans="1:12">
      <c r="A295" s="59">
        <v>288</v>
      </c>
      <c r="B295" s="59" t="s">
        <v>148</v>
      </c>
      <c r="C295" s="59">
        <v>0</v>
      </c>
      <c r="D295" s="59">
        <v>36</v>
      </c>
      <c r="E295" s="59">
        <v>2</v>
      </c>
      <c r="F295" s="59">
        <v>91</v>
      </c>
      <c r="G295" s="59">
        <v>-100</v>
      </c>
      <c r="H295" s="59">
        <v>-97.8</v>
      </c>
      <c r="I295" s="59">
        <v>0</v>
      </c>
      <c r="J295" s="59">
        <v>0</v>
      </c>
      <c r="K295" s="59">
        <v>0.14000000000000001</v>
      </c>
      <c r="L295" s="59">
        <v>0.08</v>
      </c>
    </row>
    <row r="296" spans="1:12">
      <c r="A296" s="59">
        <v>289</v>
      </c>
      <c r="B296" s="59" t="s">
        <v>140</v>
      </c>
      <c r="C296" s="59">
        <v>0</v>
      </c>
      <c r="D296" s="59">
        <v>0</v>
      </c>
      <c r="E296" s="59">
        <v>2</v>
      </c>
      <c r="F296" s="59">
        <v>14</v>
      </c>
      <c r="G296" s="59">
        <v>0</v>
      </c>
      <c r="H296" s="59">
        <v>-85.71</v>
      </c>
      <c r="I296" s="59">
        <v>0</v>
      </c>
      <c r="J296" s="59">
        <v>0</v>
      </c>
      <c r="K296" s="59">
        <v>0</v>
      </c>
      <c r="L296" s="59">
        <v>0.01</v>
      </c>
    </row>
    <row r="297" spans="1:12">
      <c r="A297" s="59">
        <v>290</v>
      </c>
      <c r="B297" s="59" t="s">
        <v>574</v>
      </c>
      <c r="C297" s="59">
        <v>0</v>
      </c>
      <c r="D297" s="59">
        <v>0</v>
      </c>
      <c r="E297" s="59">
        <v>2</v>
      </c>
      <c r="F297" s="59">
        <v>6</v>
      </c>
      <c r="G297" s="59">
        <v>0</v>
      </c>
      <c r="H297" s="59">
        <v>-66.67</v>
      </c>
      <c r="I297" s="59">
        <v>0</v>
      </c>
      <c r="J297" s="59">
        <v>0</v>
      </c>
      <c r="K297" s="59">
        <v>0</v>
      </c>
      <c r="L297" s="59">
        <v>0.01</v>
      </c>
    </row>
    <row r="298" spans="1:12">
      <c r="A298" s="59">
        <v>291</v>
      </c>
      <c r="B298" s="59" t="s">
        <v>511</v>
      </c>
      <c r="C298" s="59">
        <v>0</v>
      </c>
      <c r="D298" s="59">
        <v>0</v>
      </c>
      <c r="E298" s="59">
        <v>2</v>
      </c>
      <c r="F298" s="59">
        <v>2</v>
      </c>
      <c r="G298" s="59">
        <v>0</v>
      </c>
      <c r="H298" s="59">
        <v>0</v>
      </c>
      <c r="I298" s="59">
        <v>0</v>
      </c>
      <c r="J298" s="59">
        <v>0</v>
      </c>
      <c r="K298" s="59">
        <v>0</v>
      </c>
      <c r="L298" s="59">
        <v>0</v>
      </c>
    </row>
    <row r="299" spans="1:12">
      <c r="A299" s="59">
        <v>292</v>
      </c>
      <c r="B299" s="59" t="s">
        <v>1187</v>
      </c>
      <c r="C299" s="59">
        <v>1</v>
      </c>
      <c r="D299" s="59">
        <v>0</v>
      </c>
      <c r="E299" s="59">
        <v>2</v>
      </c>
      <c r="F299" s="59">
        <v>1</v>
      </c>
      <c r="G299" s="59">
        <v>0</v>
      </c>
      <c r="H299" s="59">
        <v>100</v>
      </c>
      <c r="I299" s="59">
        <v>0</v>
      </c>
      <c r="J299" s="59">
        <v>0</v>
      </c>
      <c r="K299" s="59">
        <v>0</v>
      </c>
      <c r="L299" s="59">
        <v>0</v>
      </c>
    </row>
    <row r="300" spans="1:12">
      <c r="A300" s="152">
        <v>293</v>
      </c>
      <c r="B300" s="152" t="s">
        <v>1186</v>
      </c>
      <c r="C300" s="152">
        <v>0</v>
      </c>
      <c r="D300" s="152">
        <v>0</v>
      </c>
      <c r="E300" s="152">
        <v>2</v>
      </c>
      <c r="F300" s="152">
        <v>0</v>
      </c>
      <c r="G300" s="152">
        <v>0</v>
      </c>
      <c r="H300" s="152">
        <v>0</v>
      </c>
      <c r="I300" s="152">
        <v>0</v>
      </c>
      <c r="J300" s="152">
        <v>0</v>
      </c>
      <c r="K300" s="152">
        <v>0</v>
      </c>
      <c r="L300" s="152">
        <v>0</v>
      </c>
    </row>
    <row r="301" spans="1:12">
      <c r="A301" s="152">
        <v>294</v>
      </c>
      <c r="B301" s="152" t="s">
        <v>1228</v>
      </c>
      <c r="C301" s="152">
        <v>0</v>
      </c>
      <c r="D301" s="152">
        <v>0</v>
      </c>
      <c r="E301" s="152">
        <v>2</v>
      </c>
      <c r="F301" s="152">
        <v>0</v>
      </c>
      <c r="G301" s="152">
        <v>0</v>
      </c>
      <c r="H301" s="152">
        <v>0</v>
      </c>
      <c r="I301" s="152">
        <v>0</v>
      </c>
      <c r="J301" s="152">
        <v>0</v>
      </c>
      <c r="K301" s="152">
        <v>0</v>
      </c>
      <c r="L301" s="152">
        <v>0</v>
      </c>
    </row>
    <row r="302" spans="1:12">
      <c r="A302" s="152">
        <v>295</v>
      </c>
      <c r="B302" s="152" t="s">
        <v>1123</v>
      </c>
      <c r="C302" s="152">
        <v>0</v>
      </c>
      <c r="D302" s="152">
        <v>0</v>
      </c>
      <c r="E302" s="152">
        <v>1</v>
      </c>
      <c r="F302" s="152">
        <v>32</v>
      </c>
      <c r="G302" s="154">
        <v>0</v>
      </c>
      <c r="H302" s="154">
        <v>-96.88</v>
      </c>
      <c r="I302" s="152">
        <v>0</v>
      </c>
      <c r="J302" s="152">
        <v>0</v>
      </c>
      <c r="K302" s="152">
        <v>0</v>
      </c>
      <c r="L302" s="152">
        <v>0.03</v>
      </c>
    </row>
    <row r="303" spans="1:12">
      <c r="A303" s="152">
        <v>296</v>
      </c>
      <c r="B303" s="152" t="s">
        <v>409</v>
      </c>
      <c r="C303" s="152">
        <v>0</v>
      </c>
      <c r="D303" s="152">
        <v>0</v>
      </c>
      <c r="E303" s="152">
        <v>1</v>
      </c>
      <c r="F303" s="152">
        <v>4</v>
      </c>
      <c r="G303" s="152">
        <v>0</v>
      </c>
      <c r="H303" s="152">
        <v>-75</v>
      </c>
      <c r="I303" s="152">
        <v>0</v>
      </c>
      <c r="J303" s="152">
        <v>0</v>
      </c>
      <c r="K303" s="152">
        <v>0</v>
      </c>
      <c r="L303" s="152">
        <v>0</v>
      </c>
    </row>
    <row r="304" spans="1:12">
      <c r="A304" s="152">
        <v>297</v>
      </c>
      <c r="B304" s="152" t="s">
        <v>1165</v>
      </c>
      <c r="C304" s="152">
        <v>0</v>
      </c>
      <c r="D304" s="152">
        <v>2</v>
      </c>
      <c r="E304" s="152">
        <v>1</v>
      </c>
      <c r="F304" s="152">
        <v>3</v>
      </c>
      <c r="G304" s="152">
        <v>-100</v>
      </c>
      <c r="H304" s="152">
        <v>-66.67</v>
      </c>
      <c r="I304" s="152">
        <v>0</v>
      </c>
      <c r="J304" s="152">
        <v>0</v>
      </c>
      <c r="K304" s="152">
        <v>0.01</v>
      </c>
      <c r="L304" s="152">
        <v>0</v>
      </c>
    </row>
    <row r="305" spans="1:12">
      <c r="A305" s="152">
        <v>298</v>
      </c>
      <c r="B305" s="152" t="s">
        <v>620</v>
      </c>
      <c r="C305" s="152">
        <v>1</v>
      </c>
      <c r="D305" s="152">
        <v>0</v>
      </c>
      <c r="E305" s="152">
        <v>1</v>
      </c>
      <c r="F305" s="152">
        <v>3</v>
      </c>
      <c r="G305" s="152">
        <v>0</v>
      </c>
      <c r="H305" s="152">
        <v>-66.67</v>
      </c>
      <c r="I305" s="152">
        <v>0</v>
      </c>
      <c r="J305" s="152">
        <v>0</v>
      </c>
      <c r="K305" s="152">
        <v>0</v>
      </c>
      <c r="L305" s="152">
        <v>0</v>
      </c>
    </row>
    <row r="306" spans="1:12">
      <c r="A306" s="152">
        <v>299</v>
      </c>
      <c r="B306" s="152" t="s">
        <v>180</v>
      </c>
      <c r="C306" s="152">
        <v>0</v>
      </c>
      <c r="D306" s="152">
        <v>0</v>
      </c>
      <c r="E306" s="152">
        <v>1</v>
      </c>
      <c r="F306" s="152">
        <v>2</v>
      </c>
      <c r="G306" s="152">
        <v>0</v>
      </c>
      <c r="H306" s="152">
        <v>-50</v>
      </c>
      <c r="I306" s="152">
        <v>0</v>
      </c>
      <c r="J306" s="152">
        <v>0</v>
      </c>
      <c r="K306" s="152">
        <v>0</v>
      </c>
      <c r="L306" s="152">
        <v>0</v>
      </c>
    </row>
    <row r="307" spans="1:12">
      <c r="A307" s="152">
        <v>300</v>
      </c>
      <c r="B307" s="152" t="s">
        <v>428</v>
      </c>
      <c r="C307" s="152">
        <v>0</v>
      </c>
      <c r="D307" s="152">
        <v>0</v>
      </c>
      <c r="E307" s="152">
        <v>1</v>
      </c>
      <c r="F307" s="152">
        <v>1</v>
      </c>
      <c r="G307" s="152">
        <v>0</v>
      </c>
      <c r="H307" s="152">
        <v>0</v>
      </c>
      <c r="I307" s="152">
        <v>0</v>
      </c>
      <c r="J307" s="152">
        <v>0</v>
      </c>
      <c r="K307" s="152">
        <v>0</v>
      </c>
      <c r="L307" s="152">
        <v>0</v>
      </c>
    </row>
    <row r="308" spans="1:12">
      <c r="A308" s="152">
        <v>301</v>
      </c>
      <c r="B308" s="152" t="s">
        <v>1121</v>
      </c>
      <c r="C308" s="152">
        <v>0</v>
      </c>
      <c r="D308" s="152">
        <v>1</v>
      </c>
      <c r="E308" s="152">
        <v>1</v>
      </c>
      <c r="F308" s="152">
        <v>1</v>
      </c>
      <c r="G308" s="152">
        <v>-100</v>
      </c>
      <c r="H308" s="152">
        <v>0</v>
      </c>
      <c r="I308" s="152">
        <v>0</v>
      </c>
      <c r="J308" s="152">
        <v>0</v>
      </c>
      <c r="K308" s="152">
        <v>0</v>
      </c>
      <c r="L308" s="152">
        <v>0</v>
      </c>
    </row>
    <row r="309" spans="1:12">
      <c r="A309" s="152">
        <v>302</v>
      </c>
      <c r="B309" s="152" t="s">
        <v>693</v>
      </c>
      <c r="C309" s="152">
        <v>0</v>
      </c>
      <c r="D309" s="152">
        <v>0</v>
      </c>
      <c r="E309" s="152">
        <v>1</v>
      </c>
      <c r="F309" s="152">
        <v>1</v>
      </c>
      <c r="G309" s="152">
        <v>0</v>
      </c>
      <c r="H309" s="152">
        <v>0</v>
      </c>
      <c r="I309" s="152">
        <v>0</v>
      </c>
      <c r="J309" s="152">
        <v>0</v>
      </c>
      <c r="K309" s="152">
        <v>0</v>
      </c>
      <c r="L309" s="152">
        <v>0</v>
      </c>
    </row>
    <row r="310" spans="1:12">
      <c r="A310" s="152">
        <v>303</v>
      </c>
      <c r="B310" s="152" t="s">
        <v>1120</v>
      </c>
      <c r="C310" s="152">
        <v>0</v>
      </c>
      <c r="D310" s="152">
        <v>1</v>
      </c>
      <c r="E310" s="152">
        <v>1</v>
      </c>
      <c r="F310" s="152">
        <v>1</v>
      </c>
      <c r="G310" s="152">
        <v>-100</v>
      </c>
      <c r="H310" s="152">
        <v>0</v>
      </c>
      <c r="I310" s="152">
        <v>0</v>
      </c>
      <c r="J310" s="152">
        <v>0</v>
      </c>
      <c r="K310" s="152">
        <v>0</v>
      </c>
      <c r="L310" s="152">
        <v>0</v>
      </c>
    </row>
    <row r="311" spans="1:12">
      <c r="A311" s="152">
        <v>304</v>
      </c>
      <c r="B311" s="152" t="s">
        <v>1229</v>
      </c>
      <c r="C311" s="152">
        <v>1</v>
      </c>
      <c r="D311" s="152">
        <v>0</v>
      </c>
      <c r="E311" s="152">
        <v>1</v>
      </c>
      <c r="F311" s="152">
        <v>0</v>
      </c>
      <c r="G311" s="152">
        <v>0</v>
      </c>
      <c r="H311" s="152">
        <v>0</v>
      </c>
      <c r="I311" s="152">
        <v>0</v>
      </c>
      <c r="J311" s="152">
        <v>0</v>
      </c>
      <c r="K311" s="152">
        <v>0</v>
      </c>
      <c r="L311" s="152">
        <v>0</v>
      </c>
    </row>
    <row r="312" spans="1:12">
      <c r="A312" s="152">
        <v>305</v>
      </c>
      <c r="B312" s="152" t="s">
        <v>1230</v>
      </c>
      <c r="C312" s="152">
        <v>1</v>
      </c>
      <c r="D312" s="152">
        <v>0</v>
      </c>
      <c r="E312" s="152">
        <v>1</v>
      </c>
      <c r="F312" s="152">
        <v>0</v>
      </c>
      <c r="G312" s="152">
        <v>0</v>
      </c>
      <c r="H312" s="152">
        <v>0</v>
      </c>
      <c r="I312" s="152">
        <v>0</v>
      </c>
      <c r="J312" s="152">
        <v>0</v>
      </c>
      <c r="K312" s="152">
        <v>0</v>
      </c>
      <c r="L312" s="152">
        <v>0</v>
      </c>
    </row>
    <row r="313" spans="1:12">
      <c r="A313" s="152">
        <v>306</v>
      </c>
      <c r="B313" s="152" t="s">
        <v>1231</v>
      </c>
      <c r="C313" s="152">
        <v>0</v>
      </c>
      <c r="D313" s="152">
        <v>0</v>
      </c>
      <c r="E313" s="152">
        <v>1</v>
      </c>
      <c r="F313" s="152">
        <v>0</v>
      </c>
      <c r="G313" s="152">
        <v>0</v>
      </c>
      <c r="H313" s="152">
        <v>0</v>
      </c>
      <c r="I313" s="152">
        <v>0</v>
      </c>
      <c r="J313" s="152">
        <v>0</v>
      </c>
      <c r="K313" s="152">
        <v>0</v>
      </c>
      <c r="L313" s="152">
        <v>0</v>
      </c>
    </row>
    <row r="314" spans="1:12">
      <c r="A314" s="152">
        <v>307</v>
      </c>
      <c r="B314" s="152" t="s">
        <v>143</v>
      </c>
      <c r="C314" s="152">
        <v>0</v>
      </c>
      <c r="D314" s="152">
        <v>82</v>
      </c>
      <c r="E314" s="152">
        <v>0</v>
      </c>
      <c r="F314" s="152">
        <v>305</v>
      </c>
      <c r="G314" s="152">
        <v>-100</v>
      </c>
      <c r="H314" s="152">
        <v>-100</v>
      </c>
      <c r="I314" s="152">
        <v>0</v>
      </c>
      <c r="J314" s="152">
        <v>0</v>
      </c>
      <c r="K314" s="152">
        <v>0.31</v>
      </c>
      <c r="L314" s="152">
        <v>0.26</v>
      </c>
    </row>
    <row r="315" spans="1:12" s="11" customFormat="1" ht="16">
      <c r="A315" s="152">
        <v>308</v>
      </c>
      <c r="B315" s="152" t="s">
        <v>203</v>
      </c>
      <c r="C315" s="152">
        <v>0</v>
      </c>
      <c r="D315" s="152">
        <v>71</v>
      </c>
      <c r="E315" s="152">
        <v>0</v>
      </c>
      <c r="F315" s="152">
        <v>146</v>
      </c>
      <c r="G315" s="152">
        <v>-100</v>
      </c>
      <c r="H315" s="152">
        <v>-100</v>
      </c>
      <c r="I315" s="152">
        <v>0</v>
      </c>
      <c r="J315" s="152">
        <v>0</v>
      </c>
      <c r="K315" s="152">
        <v>0.27</v>
      </c>
      <c r="L315" s="152">
        <v>0.12</v>
      </c>
    </row>
    <row r="316" spans="1:12">
      <c r="A316" s="152">
        <v>309</v>
      </c>
      <c r="B316" s="152" t="s">
        <v>142</v>
      </c>
      <c r="C316" s="152">
        <v>0</v>
      </c>
      <c r="D316" s="152">
        <v>34</v>
      </c>
      <c r="E316" s="152">
        <v>0</v>
      </c>
      <c r="F316" s="152">
        <v>86</v>
      </c>
      <c r="G316" s="152">
        <v>-100</v>
      </c>
      <c r="H316" s="152">
        <v>-100</v>
      </c>
      <c r="I316" s="152">
        <v>0</v>
      </c>
      <c r="J316" s="152">
        <v>0</v>
      </c>
      <c r="K316" s="152">
        <v>0.13</v>
      </c>
      <c r="L316" s="152">
        <v>7.0000000000000007E-2</v>
      </c>
    </row>
    <row r="317" spans="1:12">
      <c r="A317" s="152">
        <v>310</v>
      </c>
      <c r="B317" s="152" t="s">
        <v>162</v>
      </c>
      <c r="C317" s="152">
        <v>0</v>
      </c>
      <c r="D317" s="152">
        <v>3</v>
      </c>
      <c r="E317" s="152">
        <v>0</v>
      </c>
      <c r="F317" s="152">
        <v>48</v>
      </c>
      <c r="G317" s="152">
        <v>-100</v>
      </c>
      <c r="H317" s="152">
        <v>-100</v>
      </c>
      <c r="I317" s="152">
        <v>0</v>
      </c>
      <c r="J317" s="152">
        <v>0</v>
      </c>
      <c r="K317" s="152">
        <v>0.01</v>
      </c>
      <c r="L317" s="152">
        <v>0.04</v>
      </c>
    </row>
    <row r="318" spans="1:12">
      <c r="A318" s="152">
        <v>311</v>
      </c>
      <c r="B318" s="152" t="s">
        <v>383</v>
      </c>
      <c r="C318" s="152">
        <v>0</v>
      </c>
      <c r="D318" s="152">
        <v>12</v>
      </c>
      <c r="E318" s="152">
        <v>0</v>
      </c>
      <c r="F318" s="152">
        <v>39</v>
      </c>
      <c r="G318" s="152">
        <v>-100</v>
      </c>
      <c r="H318" s="152">
        <v>-100</v>
      </c>
      <c r="I318" s="152">
        <v>0</v>
      </c>
      <c r="J318" s="152">
        <v>0</v>
      </c>
      <c r="K318" s="152">
        <v>0.05</v>
      </c>
      <c r="L318" s="152">
        <v>0.03</v>
      </c>
    </row>
    <row r="319" spans="1:12">
      <c r="A319" s="152">
        <v>312</v>
      </c>
      <c r="B319" s="152" t="s">
        <v>580</v>
      </c>
      <c r="C319" s="152">
        <v>0</v>
      </c>
      <c r="D319" s="152">
        <v>11</v>
      </c>
      <c r="E319" s="152">
        <v>0</v>
      </c>
      <c r="F319" s="152">
        <v>33</v>
      </c>
      <c r="G319" s="152">
        <v>-100</v>
      </c>
      <c r="H319" s="152">
        <v>-100</v>
      </c>
      <c r="I319" s="152">
        <v>0</v>
      </c>
      <c r="J319" s="152">
        <v>0</v>
      </c>
      <c r="K319" s="152">
        <v>0.04</v>
      </c>
      <c r="L319" s="152">
        <v>0.03</v>
      </c>
    </row>
    <row r="320" spans="1:12">
      <c r="A320" s="152">
        <v>313</v>
      </c>
      <c r="B320" s="152" t="s">
        <v>1167</v>
      </c>
      <c r="C320" s="152">
        <v>0</v>
      </c>
      <c r="D320" s="152">
        <v>1</v>
      </c>
      <c r="E320" s="152">
        <v>0</v>
      </c>
      <c r="F320" s="152">
        <v>27</v>
      </c>
      <c r="G320" s="152">
        <v>-100</v>
      </c>
      <c r="H320" s="152">
        <v>-100</v>
      </c>
      <c r="I320" s="152">
        <v>0</v>
      </c>
      <c r="J320" s="152">
        <v>0</v>
      </c>
      <c r="K320" s="152">
        <v>0</v>
      </c>
      <c r="L320" s="152">
        <v>0.02</v>
      </c>
    </row>
    <row r="321" spans="1:12">
      <c r="A321" s="152">
        <v>314</v>
      </c>
      <c r="B321" s="152" t="s">
        <v>231</v>
      </c>
      <c r="C321" s="152">
        <v>0</v>
      </c>
      <c r="D321" s="152">
        <v>0</v>
      </c>
      <c r="E321" s="152">
        <v>0</v>
      </c>
      <c r="F321" s="152">
        <v>22</v>
      </c>
      <c r="G321" s="152">
        <v>0</v>
      </c>
      <c r="H321" s="152">
        <v>-100</v>
      </c>
      <c r="I321" s="152">
        <v>0</v>
      </c>
      <c r="J321" s="152">
        <v>0</v>
      </c>
      <c r="K321" s="152">
        <v>0</v>
      </c>
      <c r="L321" s="152">
        <v>0.02</v>
      </c>
    </row>
    <row r="322" spans="1:12">
      <c r="A322" s="152">
        <v>315</v>
      </c>
      <c r="B322" s="152" t="s">
        <v>198</v>
      </c>
      <c r="C322" s="152">
        <v>0</v>
      </c>
      <c r="D322" s="152">
        <v>0</v>
      </c>
      <c r="E322" s="152">
        <v>0</v>
      </c>
      <c r="F322" s="152">
        <v>19</v>
      </c>
      <c r="G322" s="152">
        <v>0</v>
      </c>
      <c r="H322" s="152">
        <v>-100</v>
      </c>
      <c r="I322" s="152">
        <v>0</v>
      </c>
      <c r="J322" s="152">
        <v>0</v>
      </c>
      <c r="K322" s="152">
        <v>0</v>
      </c>
      <c r="L322" s="152">
        <v>0.02</v>
      </c>
    </row>
    <row r="323" spans="1:12">
      <c r="A323" s="152">
        <v>316</v>
      </c>
      <c r="B323" s="152" t="s">
        <v>167</v>
      </c>
      <c r="C323" s="152">
        <v>0</v>
      </c>
      <c r="D323" s="152">
        <v>2</v>
      </c>
      <c r="E323" s="152">
        <v>0</v>
      </c>
      <c r="F323" s="152">
        <v>16</v>
      </c>
      <c r="G323" s="152">
        <v>-100</v>
      </c>
      <c r="H323" s="152">
        <v>-100</v>
      </c>
      <c r="I323" s="152">
        <v>0</v>
      </c>
      <c r="J323" s="152">
        <v>0</v>
      </c>
      <c r="K323" s="152">
        <v>0.01</v>
      </c>
      <c r="L323" s="152">
        <v>0.01</v>
      </c>
    </row>
    <row r="324" spans="1:12">
      <c r="A324" s="152">
        <v>317</v>
      </c>
      <c r="B324" s="152" t="s">
        <v>133</v>
      </c>
      <c r="C324" s="152">
        <v>0</v>
      </c>
      <c r="D324" s="152">
        <v>1</v>
      </c>
      <c r="E324" s="152">
        <v>0</v>
      </c>
      <c r="F324" s="152">
        <v>15</v>
      </c>
      <c r="G324" s="152">
        <v>-100</v>
      </c>
      <c r="H324" s="152">
        <v>-100</v>
      </c>
      <c r="I324" s="152">
        <v>0</v>
      </c>
      <c r="J324" s="152">
        <v>0</v>
      </c>
      <c r="K324" s="152">
        <v>0</v>
      </c>
      <c r="L324" s="152">
        <v>0.01</v>
      </c>
    </row>
    <row r="325" spans="1:12">
      <c r="A325" s="152">
        <v>318</v>
      </c>
      <c r="B325" s="152" t="s">
        <v>1122</v>
      </c>
      <c r="C325" s="152">
        <v>0</v>
      </c>
      <c r="D325" s="152">
        <v>0</v>
      </c>
      <c r="E325" s="152">
        <v>0</v>
      </c>
      <c r="F325" s="152">
        <v>7</v>
      </c>
      <c r="G325" s="152">
        <v>0</v>
      </c>
      <c r="H325" s="152">
        <v>-100</v>
      </c>
      <c r="I325" s="152">
        <v>0</v>
      </c>
      <c r="J325" s="152">
        <v>0</v>
      </c>
      <c r="K325" s="152">
        <v>0</v>
      </c>
      <c r="L325" s="152">
        <v>0.01</v>
      </c>
    </row>
    <row r="326" spans="1:12">
      <c r="A326" s="152">
        <v>319</v>
      </c>
      <c r="B326" s="152" t="s">
        <v>509</v>
      </c>
      <c r="C326" s="152">
        <v>0</v>
      </c>
      <c r="D326" s="152">
        <v>0</v>
      </c>
      <c r="E326" s="152">
        <v>0</v>
      </c>
      <c r="F326" s="152">
        <v>5</v>
      </c>
      <c r="G326" s="152">
        <v>0</v>
      </c>
      <c r="H326" s="152">
        <v>-100</v>
      </c>
      <c r="I326" s="152">
        <v>0</v>
      </c>
      <c r="J326" s="152">
        <v>0</v>
      </c>
      <c r="K326" s="152">
        <v>0</v>
      </c>
      <c r="L326" s="152">
        <v>0</v>
      </c>
    </row>
    <row r="327" spans="1:12">
      <c r="A327" s="152">
        <v>320</v>
      </c>
      <c r="B327" s="152" t="s">
        <v>1188</v>
      </c>
      <c r="C327" s="152">
        <v>0</v>
      </c>
      <c r="D327" s="152">
        <v>0</v>
      </c>
      <c r="E327" s="152">
        <v>0</v>
      </c>
      <c r="F327" s="152">
        <v>5</v>
      </c>
      <c r="G327" s="152">
        <v>0</v>
      </c>
      <c r="H327" s="152">
        <v>-100</v>
      </c>
      <c r="I327" s="152">
        <v>0</v>
      </c>
      <c r="J327" s="152">
        <v>0</v>
      </c>
      <c r="K327" s="152">
        <v>0</v>
      </c>
      <c r="L327" s="152">
        <v>0</v>
      </c>
    </row>
    <row r="328" spans="1:12">
      <c r="A328" s="152">
        <v>321</v>
      </c>
      <c r="B328" s="152" t="s">
        <v>105</v>
      </c>
      <c r="C328" s="152">
        <v>0</v>
      </c>
      <c r="D328" s="152">
        <v>2</v>
      </c>
      <c r="E328" s="152">
        <v>0</v>
      </c>
      <c r="F328" s="152">
        <v>4</v>
      </c>
      <c r="G328" s="152">
        <v>-100</v>
      </c>
      <c r="H328" s="152">
        <v>-100</v>
      </c>
      <c r="I328" s="152">
        <v>0</v>
      </c>
      <c r="J328" s="152">
        <v>0</v>
      </c>
      <c r="K328" s="152">
        <v>0.01</v>
      </c>
      <c r="L328" s="152">
        <v>0</v>
      </c>
    </row>
    <row r="329" spans="1:12">
      <c r="A329" s="152">
        <v>322</v>
      </c>
      <c r="B329" s="152" t="s">
        <v>227</v>
      </c>
      <c r="C329" s="152">
        <v>0</v>
      </c>
      <c r="D329" s="152">
        <v>0</v>
      </c>
      <c r="E329" s="152">
        <v>0</v>
      </c>
      <c r="F329" s="152">
        <v>3</v>
      </c>
      <c r="G329" s="152">
        <v>0</v>
      </c>
      <c r="H329" s="152">
        <v>-100</v>
      </c>
      <c r="I329" s="152">
        <v>0</v>
      </c>
      <c r="J329" s="152">
        <v>0</v>
      </c>
      <c r="K329" s="152">
        <v>0</v>
      </c>
      <c r="L329" s="152">
        <v>0</v>
      </c>
    </row>
    <row r="330" spans="1:12">
      <c r="A330" s="152">
        <v>323</v>
      </c>
      <c r="B330" s="152" t="s">
        <v>1191</v>
      </c>
      <c r="C330" s="152">
        <v>0</v>
      </c>
      <c r="D330" s="152">
        <v>1</v>
      </c>
      <c r="E330" s="152">
        <v>0</v>
      </c>
      <c r="F330" s="152">
        <v>2</v>
      </c>
      <c r="G330" s="152">
        <v>-100</v>
      </c>
      <c r="H330" s="152">
        <v>-100</v>
      </c>
      <c r="I330" s="152">
        <v>0</v>
      </c>
      <c r="J330" s="152">
        <v>0</v>
      </c>
      <c r="K330" s="152">
        <v>0</v>
      </c>
      <c r="L330" s="152">
        <v>0</v>
      </c>
    </row>
    <row r="331" spans="1:12">
      <c r="A331" s="152">
        <v>324</v>
      </c>
      <c r="B331" s="152" t="s">
        <v>1189</v>
      </c>
      <c r="C331" s="152">
        <v>0</v>
      </c>
      <c r="D331" s="152">
        <v>0</v>
      </c>
      <c r="E331" s="152">
        <v>0</v>
      </c>
      <c r="F331" s="152">
        <v>2</v>
      </c>
      <c r="G331" s="152">
        <v>0</v>
      </c>
      <c r="H331" s="152">
        <v>-100</v>
      </c>
      <c r="I331" s="152">
        <v>0</v>
      </c>
      <c r="J331" s="152">
        <v>0</v>
      </c>
      <c r="K331" s="152">
        <v>0</v>
      </c>
      <c r="L331" s="152">
        <v>0</v>
      </c>
    </row>
    <row r="332" spans="1:12">
      <c r="A332" s="152">
        <v>325</v>
      </c>
      <c r="B332" s="152" t="s">
        <v>1125</v>
      </c>
      <c r="C332" s="152">
        <v>0</v>
      </c>
      <c r="D332" s="152">
        <v>0</v>
      </c>
      <c r="E332" s="152">
        <v>0</v>
      </c>
      <c r="F332" s="152">
        <v>1</v>
      </c>
      <c r="G332" s="152">
        <v>0</v>
      </c>
      <c r="H332" s="152">
        <v>-100</v>
      </c>
      <c r="I332" s="152">
        <v>0</v>
      </c>
      <c r="J332" s="152">
        <v>0</v>
      </c>
      <c r="K332" s="152">
        <v>0</v>
      </c>
      <c r="L332" s="152">
        <v>0</v>
      </c>
    </row>
    <row r="333" spans="1:12">
      <c r="A333" s="152">
        <v>326</v>
      </c>
      <c r="B333" s="152" t="s">
        <v>1232</v>
      </c>
      <c r="C333" s="152">
        <v>0</v>
      </c>
      <c r="D333" s="152">
        <v>1</v>
      </c>
      <c r="E333" s="152">
        <v>0</v>
      </c>
      <c r="F333" s="152">
        <v>1</v>
      </c>
      <c r="G333" s="152">
        <v>-100</v>
      </c>
      <c r="H333" s="152">
        <v>-100</v>
      </c>
      <c r="I333" s="152">
        <v>0</v>
      </c>
      <c r="J333" s="152">
        <v>0</v>
      </c>
      <c r="K333" s="152">
        <v>0</v>
      </c>
      <c r="L333" s="152">
        <v>0</v>
      </c>
    </row>
    <row r="334" spans="1:12">
      <c r="A334" s="152">
        <v>327</v>
      </c>
      <c r="B334" s="152" t="s">
        <v>1190</v>
      </c>
      <c r="C334" s="152">
        <v>0</v>
      </c>
      <c r="D334" s="152">
        <v>0</v>
      </c>
      <c r="E334" s="152">
        <v>0</v>
      </c>
      <c r="F334" s="152">
        <v>1</v>
      </c>
      <c r="G334" s="152">
        <v>0</v>
      </c>
      <c r="H334" s="152">
        <v>-100</v>
      </c>
      <c r="I334" s="152">
        <v>0</v>
      </c>
      <c r="J334" s="152">
        <v>0</v>
      </c>
      <c r="K334" s="152">
        <v>0</v>
      </c>
      <c r="L334" s="152">
        <v>0</v>
      </c>
    </row>
    <row r="335" spans="1:12">
      <c r="A335" s="152">
        <v>328</v>
      </c>
      <c r="B335" s="152" t="s">
        <v>1233</v>
      </c>
      <c r="C335" s="152">
        <v>0</v>
      </c>
      <c r="D335" s="152">
        <v>1</v>
      </c>
      <c r="E335" s="152">
        <v>0</v>
      </c>
      <c r="F335" s="152">
        <v>1</v>
      </c>
      <c r="G335" s="152">
        <v>-100</v>
      </c>
      <c r="H335" s="152">
        <v>-100</v>
      </c>
      <c r="I335" s="152">
        <v>0</v>
      </c>
      <c r="J335" s="152">
        <v>0</v>
      </c>
      <c r="K335" s="152">
        <v>0</v>
      </c>
      <c r="L335" s="152">
        <v>0</v>
      </c>
    </row>
    <row r="336" spans="1:12">
      <c r="A336" s="152">
        <v>329</v>
      </c>
      <c r="B336" s="152" t="s">
        <v>1234</v>
      </c>
      <c r="C336" s="152">
        <v>0</v>
      </c>
      <c r="D336" s="152">
        <v>1</v>
      </c>
      <c r="E336" s="152">
        <v>0</v>
      </c>
      <c r="F336" s="152">
        <v>1</v>
      </c>
      <c r="G336" s="152">
        <v>-100</v>
      </c>
      <c r="H336" s="152">
        <v>-100</v>
      </c>
      <c r="I336" s="152">
        <v>0</v>
      </c>
      <c r="J336" s="152">
        <v>0</v>
      </c>
      <c r="K336" s="152">
        <v>0</v>
      </c>
      <c r="L336" s="152">
        <v>0</v>
      </c>
    </row>
    <row r="337" spans="1:12">
      <c r="A337" s="152">
        <v>330</v>
      </c>
      <c r="B337" s="152" t="s">
        <v>1168</v>
      </c>
      <c r="C337" s="152">
        <v>0</v>
      </c>
      <c r="D337" s="152">
        <v>0</v>
      </c>
      <c r="E337" s="152">
        <v>0</v>
      </c>
      <c r="F337" s="152">
        <v>1</v>
      </c>
      <c r="G337" s="152">
        <v>0</v>
      </c>
      <c r="H337" s="152">
        <v>-100</v>
      </c>
      <c r="I337" s="152">
        <v>0</v>
      </c>
      <c r="J337" s="152">
        <v>0</v>
      </c>
      <c r="K337" s="152">
        <v>0</v>
      </c>
      <c r="L337" s="152">
        <v>0</v>
      </c>
    </row>
    <row r="338" spans="1:12">
      <c r="A338" s="152">
        <v>331</v>
      </c>
      <c r="B338" s="152" t="s">
        <v>1169</v>
      </c>
      <c r="C338" s="152">
        <v>0</v>
      </c>
      <c r="D338" s="152">
        <v>0</v>
      </c>
      <c r="E338" s="152">
        <v>0</v>
      </c>
      <c r="F338" s="152">
        <v>1</v>
      </c>
      <c r="G338" s="152">
        <v>0</v>
      </c>
      <c r="H338" s="152">
        <v>-100</v>
      </c>
      <c r="I338" s="152">
        <v>0</v>
      </c>
      <c r="J338" s="152">
        <v>0</v>
      </c>
      <c r="K338" s="152">
        <v>0</v>
      </c>
      <c r="L338" s="152">
        <v>0</v>
      </c>
    </row>
    <row r="339" spans="1:12">
      <c r="A339" s="152">
        <v>332</v>
      </c>
      <c r="B339" s="152" t="s">
        <v>1235</v>
      </c>
      <c r="C339" s="152">
        <v>0</v>
      </c>
      <c r="D339" s="152">
        <v>1</v>
      </c>
      <c r="E339" s="152">
        <v>0</v>
      </c>
      <c r="F339" s="152">
        <v>1</v>
      </c>
      <c r="G339" s="152">
        <v>-100</v>
      </c>
      <c r="H339" s="152">
        <v>-100</v>
      </c>
      <c r="I339" s="152">
        <v>0</v>
      </c>
      <c r="J339" s="152">
        <v>0</v>
      </c>
      <c r="K339" s="152">
        <v>0</v>
      </c>
      <c r="L339" s="152">
        <v>0</v>
      </c>
    </row>
    <row r="340" spans="1:12">
      <c r="A340" s="152">
        <v>333</v>
      </c>
      <c r="B340" s="152" t="s">
        <v>217</v>
      </c>
      <c r="C340" s="152">
        <v>54</v>
      </c>
      <c r="D340" s="152">
        <v>27</v>
      </c>
      <c r="E340" s="152">
        <v>110</v>
      </c>
      <c r="F340" s="152">
        <v>86</v>
      </c>
      <c r="G340" s="152">
        <v>100</v>
      </c>
      <c r="H340" s="152">
        <v>27.91</v>
      </c>
      <c r="I340" s="152">
        <v>0.19</v>
      </c>
      <c r="J340" s="152">
        <v>0.1</v>
      </c>
      <c r="K340" s="152">
        <v>0.1</v>
      </c>
      <c r="L340" s="152">
        <v>7.0000000000000007E-2</v>
      </c>
    </row>
    <row r="341" spans="1:12">
      <c r="A341" s="152"/>
      <c r="B341" s="153" t="s">
        <v>475</v>
      </c>
      <c r="C341" s="152">
        <f>SUBTOTAL(109,getAggModelsPB[antalPerioden])</f>
        <v>28490</v>
      </c>
      <c r="D341" s="152">
        <f>SUBTOTAL(109,getAggModelsPB[antalFGPeriod])</f>
        <v>26413</v>
      </c>
      <c r="E341" s="152">
        <f>SUBTOTAL(109,getAggModelsPB[antalÅret])</f>
        <v>112380</v>
      </c>
      <c r="F341" s="152">
        <f>SUBTOTAL(109,getAggModelsPB[antalFGAr])</f>
        <v>118094</v>
      </c>
      <c r="G341" s="154">
        <f>IF(getAggModelsPB[[#Totals],[antalFGPeriod]] &gt; 0,(getAggModelsPB[[#Totals],[antalPerioden]] - getAggModelsPB[[#Totals],[antalFGPeriod]] ) / getAggModelsPB[[#Totals],[antalFGPeriod]] * 100,0)</f>
        <v>7.8635520387687885</v>
      </c>
      <c r="H341" s="154">
        <f>IF(getAggModelsPB[[#Totals],[antalFGAr]] &gt; 0,(getAggModelsPB[[#Totals],[antalÅret]] - getAggModelsPB[[#Totals],[antalFGAr]]) / getAggModelsPB[[#Totals],[antalFGAr]] * 100,0)</f>
        <v>-4.8385184683387807</v>
      </c>
      <c r="I341" s="155" t="str">
        <f>TEXT(100,"0,00")</f>
        <v>100,00</v>
      </c>
      <c r="J341" s="155" t="str">
        <f>TEXT(100,"0,00")</f>
        <v>100,00</v>
      </c>
      <c r="K341" s="155" t="str">
        <f>TEXT(100,"0,00")</f>
        <v>100,00</v>
      </c>
      <c r="L341" s="155" t="str">
        <f>TEXT(100,"0,00")</f>
        <v>100,00</v>
      </c>
    </row>
    <row r="342" spans="1:12">
      <c r="A342" s="152"/>
      <c r="B342" s="152"/>
      <c r="C342" s="152"/>
      <c r="D342" s="152"/>
      <c r="E342" s="152"/>
      <c r="F342" s="152"/>
      <c r="G342" s="152"/>
      <c r="H342" s="152"/>
      <c r="I342" s="152"/>
      <c r="J342" s="152"/>
      <c r="K342" s="152"/>
      <c r="L342" s="152"/>
    </row>
    <row r="343" spans="1:12">
      <c r="A343" s="152"/>
      <c r="B343" s="152"/>
      <c r="C343" s="152"/>
      <c r="D343" s="152"/>
      <c r="E343" s="152"/>
      <c r="F343" s="152"/>
      <c r="G343" s="152"/>
      <c r="H343" s="152"/>
      <c r="I343" s="152"/>
      <c r="J343" s="152"/>
      <c r="K343" s="152"/>
      <c r="L343" s="152"/>
    </row>
    <row r="344" spans="1:12">
      <c r="A344" s="152" t="s">
        <v>705</v>
      </c>
      <c r="B344" s="152"/>
      <c r="C344" s="152"/>
      <c r="D344" s="152"/>
      <c r="E344" s="152"/>
      <c r="F344" s="152"/>
      <c r="G344" s="152"/>
      <c r="H344" s="152"/>
      <c r="I344" s="152"/>
      <c r="J344" s="152"/>
      <c r="K344" s="152"/>
      <c r="L344" s="152"/>
    </row>
    <row r="345" spans="1:12">
      <c r="A345" s="152"/>
      <c r="B345" s="152"/>
      <c r="C345" s="152"/>
      <c r="D345" s="152"/>
      <c r="E345" s="152"/>
      <c r="F345" s="152"/>
      <c r="G345" s="152"/>
      <c r="H345" s="152"/>
      <c r="I345" s="152"/>
      <c r="J345" s="152"/>
      <c r="K345" s="152"/>
      <c r="L345" s="152"/>
    </row>
    <row r="346" spans="1:12">
      <c r="A346" s="152"/>
      <c r="B346" s="152"/>
      <c r="C346" s="152"/>
      <c r="D346" s="152"/>
      <c r="E346" s="152"/>
      <c r="F346" s="152"/>
      <c r="G346" s="152"/>
      <c r="H346" s="152"/>
      <c r="I346" s="152"/>
      <c r="J346" s="152"/>
      <c r="K346" s="152"/>
      <c r="L346" s="152"/>
    </row>
    <row r="347" spans="1:12">
      <c r="A347" s="152"/>
      <c r="B347" s="152"/>
      <c r="C347" s="152"/>
      <c r="D347" s="152"/>
      <c r="E347" s="152"/>
      <c r="F347" s="152"/>
      <c r="G347" s="152"/>
      <c r="H347" s="152"/>
      <c r="I347" s="152"/>
      <c r="J347" s="152"/>
      <c r="K347" s="152"/>
      <c r="L347" s="152"/>
    </row>
    <row r="348" spans="1:12">
      <c r="A348" s="152"/>
      <c r="B348" s="152"/>
      <c r="C348" s="152"/>
      <c r="D348" s="152"/>
      <c r="E348" s="152"/>
      <c r="F348" s="152"/>
      <c r="G348" s="152"/>
      <c r="H348" s="152"/>
      <c r="I348" s="152"/>
      <c r="J348" s="152"/>
      <c r="K348" s="152"/>
      <c r="L348" s="152"/>
    </row>
    <row r="349" spans="1:12">
      <c r="A349" s="152"/>
      <c r="B349" s="152"/>
      <c r="C349" s="152"/>
      <c r="D349" s="152"/>
      <c r="E349" s="152"/>
      <c r="F349" s="152"/>
      <c r="G349" s="152"/>
      <c r="H349" s="152"/>
      <c r="I349" s="152"/>
      <c r="J349" s="152"/>
      <c r="K349" s="152"/>
      <c r="L349" s="152"/>
    </row>
    <row r="350" spans="1:12">
      <c r="A350" s="152"/>
      <c r="B350" s="152"/>
      <c r="C350" s="152"/>
      <c r="D350" s="152"/>
      <c r="E350" s="152"/>
      <c r="F350" s="152"/>
      <c r="G350" s="152"/>
      <c r="H350" s="152"/>
      <c r="I350" s="152"/>
      <c r="J350" s="152"/>
      <c r="K350" s="152"/>
      <c r="L350" s="152"/>
    </row>
    <row r="351" spans="1:12">
      <c r="A351" s="152"/>
      <c r="B351" s="152"/>
      <c r="C351" s="152"/>
      <c r="D351" s="152"/>
      <c r="E351" s="152"/>
      <c r="F351" s="152"/>
      <c r="G351" s="152"/>
      <c r="H351" s="152"/>
      <c r="I351" s="152"/>
      <c r="J351" s="152"/>
      <c r="K351" s="152"/>
      <c r="L351" s="152"/>
    </row>
    <row r="352" spans="1:12">
      <c r="A352" s="152"/>
      <c r="B352" s="152"/>
      <c r="C352" s="152"/>
      <c r="D352" s="152"/>
      <c r="E352" s="152"/>
      <c r="F352" s="152"/>
      <c r="G352" s="152"/>
      <c r="H352" s="152"/>
      <c r="I352" s="152"/>
      <c r="J352" s="152"/>
      <c r="K352" s="152"/>
      <c r="L352" s="152"/>
    </row>
    <row r="353" spans="1:12">
      <c r="A353" s="152"/>
      <c r="B353" s="152"/>
      <c r="C353" s="152"/>
      <c r="D353" s="152"/>
      <c r="E353" s="152"/>
      <c r="F353" s="152"/>
      <c r="G353" s="152"/>
      <c r="H353" s="152"/>
      <c r="I353" s="152"/>
      <c r="J353" s="152"/>
      <c r="K353" s="152"/>
      <c r="L353" s="152"/>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10"/>
  <sheetViews>
    <sheetView zoomScaleNormal="100" workbookViewId="0">
      <pane ySplit="9" topLeftCell="A10" activePane="bottomLeft" state="frozen"/>
      <selection pane="bottomLeft" activeCell="P10" sqref="P10"/>
    </sheetView>
  </sheetViews>
  <sheetFormatPr baseColWidth="10" defaultColWidth="8.83203125" defaultRowHeight="14" outlineLevelRow="1"/>
  <cols>
    <col min="1" max="1" width="6.5" style="40" customWidth="1"/>
    <col min="2" max="2" width="18.5" style="27" customWidth="1"/>
    <col min="3" max="3" width="4.1640625" style="187" customWidth="1"/>
    <col min="4" max="4" width="3.5" style="188" customWidth="1"/>
    <col min="5" max="6" width="7.6640625" style="27" customWidth="1"/>
    <col min="7" max="7" width="8.5" style="27" customWidth="1"/>
    <col min="8" max="8" width="9.5" style="27" bestFit="1" customWidth="1"/>
    <col min="9" max="9" width="8.6640625" style="27" customWidth="1"/>
    <col min="10" max="11" width="7.6640625" style="27" customWidth="1"/>
    <col min="12" max="12" width="8.5" style="27" customWidth="1"/>
    <col min="13" max="16384" width="8.83203125" style="27"/>
  </cols>
  <sheetData>
    <row r="1" spans="1:19" ht="20" thickBot="1">
      <c r="E1" s="254" t="s">
        <v>1247</v>
      </c>
      <c r="F1" s="254"/>
      <c r="G1" s="254"/>
      <c r="H1" s="254"/>
      <c r="I1" s="254"/>
      <c r="J1" s="254"/>
      <c r="K1" s="254"/>
      <c r="L1" s="254"/>
      <c r="M1" s="254"/>
      <c r="N1" s="254"/>
    </row>
    <row r="2" spans="1:19" ht="3.75" customHeight="1">
      <c r="E2" s="189"/>
      <c r="F2" s="189"/>
      <c r="G2" s="189"/>
    </row>
    <row r="3" spans="1:19">
      <c r="G3" s="190" t="s">
        <v>738</v>
      </c>
      <c r="H3" s="191">
        <f>CntPeriod/RegDagar</f>
        <v>1424.5</v>
      </c>
      <c r="J3" s="192" t="s">
        <v>739</v>
      </c>
      <c r="K3" s="193">
        <v>20</v>
      </c>
      <c r="L3" s="193"/>
    </row>
    <row r="4" spans="1:19">
      <c r="G4" s="190" t="s">
        <v>740</v>
      </c>
      <c r="H4" s="192">
        <f>CntPeriod</f>
        <v>28490</v>
      </c>
      <c r="J4" s="192"/>
      <c r="K4" s="192"/>
      <c r="L4" s="192"/>
      <c r="M4" s="192"/>
    </row>
    <row r="5" spans="1:19" ht="13.25" customHeight="1">
      <c r="B5" s="192"/>
      <c r="C5" s="194"/>
      <c r="E5" s="195"/>
      <c r="F5" s="192"/>
      <c r="G5" s="192"/>
      <c r="H5" s="192"/>
      <c r="I5" s="192"/>
      <c r="J5" s="192"/>
      <c r="K5" s="192"/>
      <c r="L5" s="192"/>
    </row>
    <row r="6" spans="1:19">
      <c r="E6" s="255" t="s">
        <v>741</v>
      </c>
      <c r="F6" s="256"/>
      <c r="G6" s="256"/>
      <c r="H6" s="256"/>
      <c r="I6" s="257"/>
      <c r="J6" s="255" t="s">
        <v>742</v>
      </c>
      <c r="K6" s="256"/>
      <c r="L6" s="256"/>
      <c r="M6" s="256"/>
      <c r="N6" s="257"/>
      <c r="R6" s="196"/>
      <c r="S6" s="196"/>
    </row>
    <row r="7" spans="1:19">
      <c r="A7" s="244" t="s">
        <v>743</v>
      </c>
      <c r="B7" s="244"/>
      <c r="C7" s="244"/>
      <c r="D7" s="258"/>
      <c r="E7" s="259" t="s">
        <v>1248</v>
      </c>
      <c r="F7" s="260"/>
      <c r="G7" s="260"/>
      <c r="H7" s="260"/>
      <c r="I7" s="261"/>
      <c r="J7" s="262" t="s">
        <v>744</v>
      </c>
      <c r="K7" s="263"/>
      <c r="L7" s="263"/>
      <c r="M7" s="263"/>
      <c r="N7" s="264"/>
    </row>
    <row r="8" spans="1:19" ht="13.25" customHeight="1">
      <c r="A8" s="197" t="s">
        <v>745</v>
      </c>
      <c r="E8" s="251" t="s">
        <v>746</v>
      </c>
      <c r="F8" s="252"/>
      <c r="G8" s="241" t="s">
        <v>747</v>
      </c>
      <c r="H8" s="251" t="s">
        <v>562</v>
      </c>
      <c r="I8" s="253"/>
      <c r="J8" s="251" t="s">
        <v>746</v>
      </c>
      <c r="K8" s="252"/>
      <c r="L8" s="241" t="s">
        <v>747</v>
      </c>
      <c r="M8" s="251" t="s">
        <v>562</v>
      </c>
      <c r="N8" s="253"/>
    </row>
    <row r="9" spans="1:19">
      <c r="A9" s="197" t="s">
        <v>748</v>
      </c>
      <c r="B9" s="196" t="s">
        <v>474</v>
      </c>
      <c r="C9" s="198"/>
      <c r="E9" s="199">
        <v>2023</v>
      </c>
      <c r="F9" s="200">
        <v>2022</v>
      </c>
      <c r="G9" s="201" t="s">
        <v>749</v>
      </c>
      <c r="H9" s="200">
        <v>2023</v>
      </c>
      <c r="I9" s="202">
        <v>2022</v>
      </c>
      <c r="J9" s="199">
        <v>2023</v>
      </c>
      <c r="K9" s="200">
        <v>2022</v>
      </c>
      <c r="L9" s="201" t="s">
        <v>749</v>
      </c>
      <c r="M9" s="200">
        <v>2023</v>
      </c>
      <c r="N9" s="202">
        <v>2022</v>
      </c>
    </row>
    <row r="10" spans="1:19" collapsed="1">
      <c r="A10" s="197" t="s">
        <v>750</v>
      </c>
      <c r="B10" s="196" t="s">
        <v>303</v>
      </c>
      <c r="C10" s="203">
        <f t="shared" ref="C10:C73" si="0">IF(K10=0,"",SUM(((J10-K10)/K10)*100))</f>
        <v>-12.905881747542839</v>
      </c>
      <c r="E10" s="199">
        <v>4549</v>
      </c>
      <c r="F10" s="200">
        <v>3670</v>
      </c>
      <c r="G10" s="204">
        <f t="shared" ref="G10:G73" si="1">IF(F10=0,"",SUM(((E10-F10)/F10)*100))</f>
        <v>23.950953678474114</v>
      </c>
      <c r="H10" s="205">
        <f t="shared" ref="H10:H73" si="2">IF(E10=0,"",SUM((E10/CntPeriod)*100))</f>
        <v>15.967005967005967</v>
      </c>
      <c r="I10" s="205">
        <f t="shared" ref="I10:I73" si="3">IF(F10=0,"",SUM((F10/CntPeriodPrevYear)*100))</f>
        <v>13.894673077651158</v>
      </c>
      <c r="J10" s="199">
        <v>16925</v>
      </c>
      <c r="K10" s="200">
        <v>19433</v>
      </c>
      <c r="L10" s="204">
        <f t="shared" ref="L10:L73" si="4">IF(K10=0,"",SUM(((J10-K10)/K10)*100))</f>
        <v>-12.905881747542839</v>
      </c>
      <c r="M10" s="205">
        <f t="shared" ref="M10:M73" si="5">IF(J10=0,"",SUM((J10/CntYearAck)*100))</f>
        <v>15.060508987364299</v>
      </c>
      <c r="N10" s="206">
        <f t="shared" ref="N10:N73" si="6">IF(K10=0,"",SUM((K10/CntPrevYearAck)*100))</f>
        <v>16.455535420935867</v>
      </c>
    </row>
    <row r="11" spans="1:19" hidden="1" outlineLevel="1">
      <c r="A11" s="197"/>
      <c r="B11" s="207" t="s">
        <v>751</v>
      </c>
      <c r="C11" s="203">
        <f t="shared" si="0"/>
        <v>-8.898305084745763</v>
      </c>
      <c r="E11" s="199">
        <v>1459</v>
      </c>
      <c r="F11" s="200">
        <v>1055</v>
      </c>
      <c r="G11" s="208">
        <f t="shared" si="1"/>
        <v>38.293838862559241</v>
      </c>
      <c r="H11" s="205">
        <f t="shared" si="2"/>
        <v>5.121095121095121</v>
      </c>
      <c r="I11" s="205">
        <f t="shared" si="3"/>
        <v>3.9942452580168855</v>
      </c>
      <c r="J11" s="199">
        <v>5590</v>
      </c>
      <c r="K11" s="200">
        <v>6136</v>
      </c>
      <c r="L11" s="208">
        <f t="shared" si="4"/>
        <v>-8.898305084745763</v>
      </c>
      <c r="M11" s="205">
        <f t="shared" si="5"/>
        <v>4.9741946965652248</v>
      </c>
      <c r="N11" s="206">
        <f t="shared" si="6"/>
        <v>5.1958609243484011</v>
      </c>
    </row>
    <row r="12" spans="1:19" hidden="1" outlineLevel="1">
      <c r="A12" s="197"/>
      <c r="B12" s="207" t="s">
        <v>752</v>
      </c>
      <c r="C12" s="203">
        <f t="shared" si="0"/>
        <v>-3.8420490928495199</v>
      </c>
      <c r="E12" s="199">
        <v>1111</v>
      </c>
      <c r="F12" s="200">
        <v>711</v>
      </c>
      <c r="G12" s="208">
        <f t="shared" si="1"/>
        <v>56.258790436005626</v>
      </c>
      <c r="H12" s="205">
        <f t="shared" si="2"/>
        <v>3.8996138996138998</v>
      </c>
      <c r="I12" s="205">
        <f t="shared" si="3"/>
        <v>2.6918562828910009</v>
      </c>
      <c r="J12" s="199">
        <v>4505</v>
      </c>
      <c r="K12" s="200">
        <v>4685</v>
      </c>
      <c r="L12" s="208">
        <f t="shared" si="4"/>
        <v>-3.8420490928495199</v>
      </c>
      <c r="M12" s="205">
        <f t="shared" si="5"/>
        <v>4.0087204128848555</v>
      </c>
      <c r="N12" s="206">
        <f t="shared" si="6"/>
        <v>3.9671786881636661</v>
      </c>
    </row>
    <row r="13" spans="1:19" hidden="1" outlineLevel="1">
      <c r="A13" s="197"/>
      <c r="B13" s="207" t="s">
        <v>753</v>
      </c>
      <c r="C13" s="203">
        <f t="shared" si="0"/>
        <v>-46.718322698268004</v>
      </c>
      <c r="E13" s="199">
        <v>515</v>
      </c>
      <c r="F13" s="200">
        <v>1016</v>
      </c>
      <c r="G13" s="208">
        <f t="shared" si="1"/>
        <v>-49.311023622047244</v>
      </c>
      <c r="H13" s="205">
        <f t="shared" si="2"/>
        <v>1.8076518076518076</v>
      </c>
      <c r="I13" s="205">
        <f t="shared" si="3"/>
        <v>3.8465906939764509</v>
      </c>
      <c r="J13" s="199">
        <v>2338</v>
      </c>
      <c r="K13" s="200">
        <v>4388</v>
      </c>
      <c r="L13" s="208">
        <f t="shared" si="4"/>
        <v>-46.718322698268004</v>
      </c>
      <c r="M13" s="205">
        <f t="shared" si="5"/>
        <v>2.0804413596725397</v>
      </c>
      <c r="N13" s="206">
        <f t="shared" si="6"/>
        <v>3.715684116043152</v>
      </c>
    </row>
    <row r="14" spans="1:19" hidden="1" outlineLevel="1">
      <c r="A14" s="197"/>
      <c r="B14" s="207" t="s">
        <v>756</v>
      </c>
      <c r="C14" s="203">
        <f t="shared" si="0"/>
        <v>383.38192419825077</v>
      </c>
      <c r="E14" s="199">
        <v>556</v>
      </c>
      <c r="F14" s="200">
        <v>50</v>
      </c>
      <c r="G14" s="208">
        <f t="shared" si="1"/>
        <v>1011.9999999999999</v>
      </c>
      <c r="H14" s="205">
        <f t="shared" si="2"/>
        <v>1.9515619515619518</v>
      </c>
      <c r="I14" s="205">
        <f t="shared" si="3"/>
        <v>0.18930072312876237</v>
      </c>
      <c r="J14" s="199">
        <v>1658</v>
      </c>
      <c r="K14" s="200">
        <v>343</v>
      </c>
      <c r="L14" s="208">
        <f t="shared" si="4"/>
        <v>383.38192419825077</v>
      </c>
      <c r="M14" s="205">
        <f t="shared" si="5"/>
        <v>1.4753514860295425</v>
      </c>
      <c r="N14" s="206">
        <f t="shared" si="6"/>
        <v>0.29044659339170492</v>
      </c>
    </row>
    <row r="15" spans="1:19" hidden="1" outlineLevel="1">
      <c r="A15" s="197"/>
      <c r="B15" s="207" t="s">
        <v>754</v>
      </c>
      <c r="C15" s="203">
        <f t="shared" si="0"/>
        <v>-43.553629469122427</v>
      </c>
      <c r="E15" s="199">
        <v>536</v>
      </c>
      <c r="F15" s="200">
        <v>604</v>
      </c>
      <c r="G15" s="208">
        <f t="shared" si="1"/>
        <v>-11.258278145695364</v>
      </c>
      <c r="H15" s="205">
        <f t="shared" si="2"/>
        <v>1.8813618813618811</v>
      </c>
      <c r="I15" s="205">
        <f t="shared" si="3"/>
        <v>2.2867527353954493</v>
      </c>
      <c r="J15" s="199">
        <v>1563</v>
      </c>
      <c r="K15" s="200">
        <v>2769</v>
      </c>
      <c r="L15" s="208">
        <f t="shared" si="4"/>
        <v>-43.553629469122427</v>
      </c>
      <c r="M15" s="205">
        <f t="shared" si="5"/>
        <v>1.390816871329418</v>
      </c>
      <c r="N15" s="206">
        <f t="shared" si="6"/>
        <v>2.3447423239114604</v>
      </c>
    </row>
    <row r="16" spans="1:19" hidden="1" outlineLevel="1">
      <c r="A16" s="197"/>
      <c r="B16" s="207" t="s">
        <v>755</v>
      </c>
      <c r="C16" s="203">
        <f t="shared" si="0"/>
        <v>14.535519125683061</v>
      </c>
      <c r="E16" s="199">
        <v>325</v>
      </c>
      <c r="F16" s="200">
        <v>174</v>
      </c>
      <c r="G16" s="208">
        <f t="shared" si="1"/>
        <v>86.781609195402297</v>
      </c>
      <c r="H16" s="205">
        <f t="shared" si="2"/>
        <v>1.1407511407511406</v>
      </c>
      <c r="I16" s="205">
        <f t="shared" si="3"/>
        <v>0.65876651648809292</v>
      </c>
      <c r="J16" s="199">
        <v>1048</v>
      </c>
      <c r="K16" s="200">
        <v>915</v>
      </c>
      <c r="L16" s="208">
        <f t="shared" si="4"/>
        <v>14.535519125683061</v>
      </c>
      <c r="M16" s="205">
        <f t="shared" si="5"/>
        <v>0.93255027584979533</v>
      </c>
      <c r="N16" s="206">
        <f t="shared" si="6"/>
        <v>0.77480651006825063</v>
      </c>
    </row>
    <row r="17" spans="1:14" hidden="1" outlineLevel="1">
      <c r="A17" s="197"/>
      <c r="B17" s="207" t="s">
        <v>757</v>
      </c>
      <c r="C17" s="203">
        <f t="shared" si="0"/>
        <v>13.77551020408163</v>
      </c>
      <c r="E17" s="199">
        <v>47</v>
      </c>
      <c r="F17" s="200">
        <v>60</v>
      </c>
      <c r="G17" s="208">
        <f t="shared" si="1"/>
        <v>-21.666666666666668</v>
      </c>
      <c r="H17" s="205">
        <f t="shared" si="2"/>
        <v>0.16497016497016495</v>
      </c>
      <c r="I17" s="205">
        <f t="shared" si="3"/>
        <v>0.2271608677545148</v>
      </c>
      <c r="J17" s="199">
        <v>223</v>
      </c>
      <c r="K17" s="200">
        <v>196</v>
      </c>
      <c r="L17" s="208">
        <f t="shared" si="4"/>
        <v>13.77551020408163</v>
      </c>
      <c r="M17" s="205">
        <f t="shared" si="5"/>
        <v>0.19843388503292403</v>
      </c>
      <c r="N17" s="206">
        <f t="shared" si="6"/>
        <v>0.16596948193811709</v>
      </c>
    </row>
    <row r="18" spans="1:14" hidden="1" outlineLevel="1">
      <c r="A18" s="197"/>
      <c r="B18" s="207" t="s">
        <v>1177</v>
      </c>
      <c r="C18" s="203">
        <f t="shared" si="0"/>
        <v>-100</v>
      </c>
      <c r="E18" s="199">
        <v>0</v>
      </c>
      <c r="F18" s="200">
        <v>0</v>
      </c>
      <c r="G18" s="208" t="str">
        <f t="shared" si="1"/>
        <v/>
      </c>
      <c r="H18" s="205" t="str">
        <f t="shared" si="2"/>
        <v/>
      </c>
      <c r="I18" s="205" t="str">
        <f t="shared" si="3"/>
        <v/>
      </c>
      <c r="J18" s="199">
        <v>0</v>
      </c>
      <c r="K18" s="200">
        <v>1</v>
      </c>
      <c r="L18" s="208">
        <f t="shared" si="4"/>
        <v>-100</v>
      </c>
      <c r="M18" s="205" t="str">
        <f t="shared" si="5"/>
        <v/>
      </c>
      <c r="N18" s="206">
        <f t="shared" si="6"/>
        <v>8.4678307111284222E-4</v>
      </c>
    </row>
    <row r="19" spans="1:14" collapsed="1">
      <c r="A19" s="197" t="s">
        <v>1143</v>
      </c>
      <c r="B19" s="196" t="s">
        <v>768</v>
      </c>
      <c r="C19" s="203">
        <f t="shared" si="0"/>
        <v>-8.7845303867403324</v>
      </c>
      <c r="E19" s="199">
        <v>3004</v>
      </c>
      <c r="F19" s="200">
        <v>3348</v>
      </c>
      <c r="G19" s="208">
        <f t="shared" si="1"/>
        <v>-10.27479091995221</v>
      </c>
      <c r="H19" s="205">
        <f t="shared" si="2"/>
        <v>10.544050544050544</v>
      </c>
      <c r="I19" s="205">
        <f t="shared" si="3"/>
        <v>12.675576420701928</v>
      </c>
      <c r="J19" s="199">
        <v>11557</v>
      </c>
      <c r="K19" s="200">
        <v>12670</v>
      </c>
      <c r="L19" s="208">
        <f t="shared" si="4"/>
        <v>-8.7845303867403324</v>
      </c>
      <c r="M19" s="205">
        <f t="shared" si="5"/>
        <v>10.283858337782524</v>
      </c>
      <c r="N19" s="206">
        <f t="shared" si="6"/>
        <v>10.728741510999711</v>
      </c>
    </row>
    <row r="20" spans="1:14" hidden="1" outlineLevel="1">
      <c r="A20" s="197"/>
      <c r="B20" s="207" t="s">
        <v>769</v>
      </c>
      <c r="C20" s="203">
        <f t="shared" si="0"/>
        <v>9.3548387096774199</v>
      </c>
      <c r="E20" s="199">
        <v>837</v>
      </c>
      <c r="F20" s="200">
        <v>658</v>
      </c>
      <c r="G20" s="208">
        <f t="shared" si="1"/>
        <v>27.203647416413375</v>
      </c>
      <c r="H20" s="205">
        <f t="shared" si="2"/>
        <v>2.937872937872938</v>
      </c>
      <c r="I20" s="205">
        <f t="shared" si="3"/>
        <v>2.4911975163745126</v>
      </c>
      <c r="J20" s="199">
        <v>3390</v>
      </c>
      <c r="K20" s="200">
        <v>3100</v>
      </c>
      <c r="L20" s="208">
        <f t="shared" si="4"/>
        <v>9.3548387096774199</v>
      </c>
      <c r="M20" s="205">
        <f t="shared" si="5"/>
        <v>3.016550987720235</v>
      </c>
      <c r="N20" s="206">
        <f t="shared" si="6"/>
        <v>2.6250275204498115</v>
      </c>
    </row>
    <row r="21" spans="1:14" hidden="1" outlineLevel="1">
      <c r="A21" s="197"/>
      <c r="B21" s="207" t="s">
        <v>776</v>
      </c>
      <c r="C21" s="203">
        <f t="shared" si="0"/>
        <v>97.90660225442835</v>
      </c>
      <c r="E21" s="199">
        <v>337</v>
      </c>
      <c r="F21" s="200">
        <v>135</v>
      </c>
      <c r="G21" s="208">
        <f t="shared" si="1"/>
        <v>149.62962962962962</v>
      </c>
      <c r="H21" s="205">
        <f t="shared" si="2"/>
        <v>1.1828711828711829</v>
      </c>
      <c r="I21" s="205">
        <f t="shared" si="3"/>
        <v>0.51111195244765839</v>
      </c>
      <c r="J21" s="199">
        <v>1229</v>
      </c>
      <c r="K21" s="200">
        <v>621</v>
      </c>
      <c r="L21" s="208">
        <f t="shared" si="4"/>
        <v>97.90660225442835</v>
      </c>
      <c r="M21" s="205">
        <f t="shared" si="5"/>
        <v>1.0936109628047694</v>
      </c>
      <c r="N21" s="206">
        <f t="shared" si="6"/>
        <v>0.52585228716107502</v>
      </c>
    </row>
    <row r="22" spans="1:14" hidden="1" outlineLevel="1">
      <c r="A22" s="197"/>
      <c r="B22" s="207" t="s">
        <v>773</v>
      </c>
      <c r="C22" s="203">
        <f t="shared" si="0"/>
        <v>2.0282186948853616</v>
      </c>
      <c r="E22" s="199">
        <v>334</v>
      </c>
      <c r="F22" s="200">
        <v>338</v>
      </c>
      <c r="G22" s="208">
        <f t="shared" si="1"/>
        <v>-1.1834319526627219</v>
      </c>
      <c r="H22" s="205">
        <f t="shared" si="2"/>
        <v>1.1723411723411725</v>
      </c>
      <c r="I22" s="205">
        <f t="shared" si="3"/>
        <v>1.2796728883504334</v>
      </c>
      <c r="J22" s="199">
        <v>1157</v>
      </c>
      <c r="K22" s="200">
        <v>1134</v>
      </c>
      <c r="L22" s="208">
        <f t="shared" si="4"/>
        <v>2.0282186948853616</v>
      </c>
      <c r="M22" s="205">
        <f t="shared" si="5"/>
        <v>1.0295426232425697</v>
      </c>
      <c r="N22" s="206">
        <f t="shared" si="6"/>
        <v>0.9602520026419632</v>
      </c>
    </row>
    <row r="23" spans="1:14" hidden="1" outlineLevel="1">
      <c r="A23" s="197"/>
      <c r="B23" s="207" t="s">
        <v>771</v>
      </c>
      <c r="C23" s="203">
        <f t="shared" si="0"/>
        <v>-36.480686695278969</v>
      </c>
      <c r="E23" s="199">
        <v>199</v>
      </c>
      <c r="F23" s="200">
        <v>470</v>
      </c>
      <c r="G23" s="208">
        <f t="shared" si="1"/>
        <v>-57.659574468085104</v>
      </c>
      <c r="H23" s="205">
        <f t="shared" si="2"/>
        <v>0.69849069849069845</v>
      </c>
      <c r="I23" s="205">
        <f t="shared" si="3"/>
        <v>1.7794267974103661</v>
      </c>
      <c r="J23" s="199">
        <v>1036</v>
      </c>
      <c r="K23" s="200">
        <v>1631</v>
      </c>
      <c r="L23" s="208">
        <f t="shared" si="4"/>
        <v>-36.480686695278969</v>
      </c>
      <c r="M23" s="205">
        <f t="shared" si="5"/>
        <v>0.92187221925609542</v>
      </c>
      <c r="N23" s="206">
        <f t="shared" si="6"/>
        <v>1.3811031889850458</v>
      </c>
    </row>
    <row r="24" spans="1:14" hidden="1" outlineLevel="1">
      <c r="A24" s="197"/>
      <c r="B24" s="207" t="s">
        <v>770</v>
      </c>
      <c r="C24" s="203">
        <f t="shared" si="0"/>
        <v>-54.680748919827174</v>
      </c>
      <c r="E24" s="199">
        <v>368</v>
      </c>
      <c r="F24" s="200">
        <v>645</v>
      </c>
      <c r="G24" s="208">
        <f t="shared" si="1"/>
        <v>-42.945736434108525</v>
      </c>
      <c r="H24" s="205">
        <f t="shared" si="2"/>
        <v>1.2916812916812916</v>
      </c>
      <c r="I24" s="205">
        <f t="shared" si="3"/>
        <v>2.4419793283610343</v>
      </c>
      <c r="J24" s="199">
        <v>944</v>
      </c>
      <c r="K24" s="200">
        <v>2083</v>
      </c>
      <c r="L24" s="208">
        <f t="shared" si="4"/>
        <v>-54.680748919827174</v>
      </c>
      <c r="M24" s="205">
        <f t="shared" si="5"/>
        <v>0.84000711870439582</v>
      </c>
      <c r="N24" s="206">
        <f t="shared" si="6"/>
        <v>1.7638491371280505</v>
      </c>
    </row>
    <row r="25" spans="1:14" hidden="1" outlineLevel="1">
      <c r="A25" s="197"/>
      <c r="B25" s="207" t="s">
        <v>772</v>
      </c>
      <c r="C25" s="203">
        <f t="shared" si="0"/>
        <v>-52.777777777777779</v>
      </c>
      <c r="E25" s="199">
        <v>184</v>
      </c>
      <c r="F25" s="200">
        <v>339</v>
      </c>
      <c r="G25" s="208">
        <f t="shared" si="1"/>
        <v>-45.722713864306783</v>
      </c>
      <c r="H25" s="205">
        <f t="shared" si="2"/>
        <v>0.64584064584064582</v>
      </c>
      <c r="I25" s="205">
        <f t="shared" si="3"/>
        <v>1.2834589028130088</v>
      </c>
      <c r="J25" s="199">
        <v>748</v>
      </c>
      <c r="K25" s="200">
        <v>1584</v>
      </c>
      <c r="L25" s="208">
        <f t="shared" si="4"/>
        <v>-52.777777777777779</v>
      </c>
      <c r="M25" s="205">
        <f t="shared" si="5"/>
        <v>0.6655988610072967</v>
      </c>
      <c r="N25" s="206">
        <f t="shared" si="6"/>
        <v>1.3413043846427422</v>
      </c>
    </row>
    <row r="26" spans="1:14" hidden="1" outlineLevel="1">
      <c r="A26" s="197"/>
      <c r="B26" s="207" t="s">
        <v>775</v>
      </c>
      <c r="C26" s="203">
        <f t="shared" si="0"/>
        <v>1.935483870967742</v>
      </c>
      <c r="E26" s="199">
        <v>131</v>
      </c>
      <c r="F26" s="200">
        <v>192</v>
      </c>
      <c r="G26" s="208">
        <f t="shared" si="1"/>
        <v>-31.770833333333332</v>
      </c>
      <c r="H26" s="205">
        <f t="shared" si="2"/>
        <v>0.45981045981045982</v>
      </c>
      <c r="I26" s="205">
        <f t="shared" si="3"/>
        <v>0.72691477681444738</v>
      </c>
      <c r="J26" s="199">
        <v>632</v>
      </c>
      <c r="K26" s="200">
        <v>620</v>
      </c>
      <c r="L26" s="208">
        <f t="shared" si="4"/>
        <v>1.935483870967742</v>
      </c>
      <c r="M26" s="205">
        <f t="shared" si="5"/>
        <v>0.56237764726819717</v>
      </c>
      <c r="N26" s="206">
        <f t="shared" si="6"/>
        <v>0.52500550408996227</v>
      </c>
    </row>
    <row r="27" spans="1:14" hidden="1" outlineLevel="1">
      <c r="A27" s="197"/>
      <c r="B27" s="207" t="s">
        <v>779</v>
      </c>
      <c r="C27" s="203">
        <f t="shared" si="0"/>
        <v>658.90410958904113</v>
      </c>
      <c r="E27" s="199">
        <v>138</v>
      </c>
      <c r="F27" s="200">
        <v>53</v>
      </c>
      <c r="G27" s="208">
        <f t="shared" si="1"/>
        <v>160.37735849056605</v>
      </c>
      <c r="H27" s="205">
        <f t="shared" si="2"/>
        <v>0.48438048438048437</v>
      </c>
      <c r="I27" s="205">
        <f t="shared" si="3"/>
        <v>0.20065876651648809</v>
      </c>
      <c r="J27" s="199">
        <v>554</v>
      </c>
      <c r="K27" s="200">
        <v>73</v>
      </c>
      <c r="L27" s="208">
        <f t="shared" si="4"/>
        <v>658.90410958904113</v>
      </c>
      <c r="M27" s="205">
        <f t="shared" si="5"/>
        <v>0.4929702794091475</v>
      </c>
      <c r="N27" s="206">
        <f t="shared" si="6"/>
        <v>6.181516419123749E-2</v>
      </c>
    </row>
    <row r="28" spans="1:14" hidden="1" outlineLevel="1">
      <c r="A28" s="197"/>
      <c r="B28" s="207" t="s">
        <v>774</v>
      </c>
      <c r="C28" s="203">
        <f t="shared" si="0"/>
        <v>-38.849929873772794</v>
      </c>
      <c r="E28" s="199">
        <v>64</v>
      </c>
      <c r="F28" s="200">
        <v>270</v>
      </c>
      <c r="G28" s="208">
        <f t="shared" si="1"/>
        <v>-76.296296296296291</v>
      </c>
      <c r="H28" s="205">
        <f t="shared" si="2"/>
        <v>0.22464022464022465</v>
      </c>
      <c r="I28" s="205">
        <f t="shared" si="3"/>
        <v>1.0222239048953168</v>
      </c>
      <c r="J28" s="199">
        <v>436</v>
      </c>
      <c r="K28" s="200">
        <v>713</v>
      </c>
      <c r="L28" s="208">
        <f t="shared" si="4"/>
        <v>-38.849929873772794</v>
      </c>
      <c r="M28" s="205">
        <f t="shared" si="5"/>
        <v>0.38796938957109806</v>
      </c>
      <c r="N28" s="206">
        <f t="shared" si="6"/>
        <v>0.6037563297034565</v>
      </c>
    </row>
    <row r="29" spans="1:14" hidden="1" outlineLevel="1">
      <c r="A29" s="197"/>
      <c r="B29" s="207" t="s">
        <v>1050</v>
      </c>
      <c r="C29" s="203" t="str">
        <f t="shared" si="0"/>
        <v/>
      </c>
      <c r="E29" s="199">
        <v>127</v>
      </c>
      <c r="F29" s="200">
        <v>0</v>
      </c>
      <c r="G29" s="208" t="str">
        <f t="shared" si="1"/>
        <v/>
      </c>
      <c r="H29" s="205">
        <f t="shared" si="2"/>
        <v>0.44577044577044578</v>
      </c>
      <c r="I29" s="205" t="str">
        <f t="shared" si="3"/>
        <v/>
      </c>
      <c r="J29" s="199">
        <v>359</v>
      </c>
      <c r="K29" s="200">
        <v>0</v>
      </c>
      <c r="L29" s="208" t="str">
        <f t="shared" si="4"/>
        <v/>
      </c>
      <c r="M29" s="205">
        <f t="shared" si="5"/>
        <v>0.3194518597615234</v>
      </c>
      <c r="N29" s="206" t="str">
        <f t="shared" si="6"/>
        <v/>
      </c>
    </row>
    <row r="30" spans="1:14" hidden="1" outlineLevel="1">
      <c r="A30" s="197"/>
      <c r="B30" s="207" t="s">
        <v>778</v>
      </c>
      <c r="C30" s="203">
        <f t="shared" si="0"/>
        <v>0.63091482649842268</v>
      </c>
      <c r="E30" s="199">
        <v>101</v>
      </c>
      <c r="F30" s="200">
        <v>66</v>
      </c>
      <c r="G30" s="208">
        <f t="shared" si="1"/>
        <v>53.030303030303031</v>
      </c>
      <c r="H30" s="205">
        <f t="shared" si="2"/>
        <v>0.35451035451035451</v>
      </c>
      <c r="I30" s="205">
        <f t="shared" si="3"/>
        <v>0.24987695452996631</v>
      </c>
      <c r="J30" s="199">
        <v>319</v>
      </c>
      <c r="K30" s="200">
        <v>317</v>
      </c>
      <c r="L30" s="208">
        <f t="shared" si="4"/>
        <v>0.63091482649842268</v>
      </c>
      <c r="M30" s="205">
        <f t="shared" si="5"/>
        <v>0.28385833778252362</v>
      </c>
      <c r="N30" s="206">
        <f t="shared" si="6"/>
        <v>0.26843023354277101</v>
      </c>
    </row>
    <row r="31" spans="1:14" hidden="1" outlineLevel="1">
      <c r="A31" s="197"/>
      <c r="B31" s="207" t="s">
        <v>783</v>
      </c>
      <c r="C31" s="203">
        <f t="shared" si="0"/>
        <v>233.96226415094338</v>
      </c>
      <c r="E31" s="199">
        <v>49</v>
      </c>
      <c r="F31" s="200">
        <v>19</v>
      </c>
      <c r="G31" s="208">
        <f t="shared" si="1"/>
        <v>157.89473684210526</v>
      </c>
      <c r="H31" s="205">
        <f t="shared" si="2"/>
        <v>0.171990171990172</v>
      </c>
      <c r="I31" s="205">
        <f t="shared" si="3"/>
        <v>7.1934274788929692E-2</v>
      </c>
      <c r="J31" s="199">
        <v>177</v>
      </c>
      <c r="K31" s="200">
        <v>53</v>
      </c>
      <c r="L31" s="208">
        <f t="shared" si="4"/>
        <v>233.96226415094338</v>
      </c>
      <c r="M31" s="205">
        <f t="shared" si="5"/>
        <v>0.1575013347570742</v>
      </c>
      <c r="N31" s="206">
        <f t="shared" si="6"/>
        <v>4.4879502768980645E-2</v>
      </c>
    </row>
    <row r="32" spans="1:14" hidden="1" outlineLevel="1">
      <c r="A32" s="197"/>
      <c r="B32" s="207" t="s">
        <v>781</v>
      </c>
      <c r="C32" s="203">
        <f t="shared" si="0"/>
        <v>58.095238095238102</v>
      </c>
      <c r="E32" s="199">
        <v>42</v>
      </c>
      <c r="F32" s="200">
        <v>22</v>
      </c>
      <c r="G32" s="208">
        <f t="shared" si="1"/>
        <v>90.909090909090907</v>
      </c>
      <c r="H32" s="205">
        <f t="shared" si="2"/>
        <v>0.14742014742014742</v>
      </c>
      <c r="I32" s="205">
        <f t="shared" si="3"/>
        <v>8.329231817665543E-2</v>
      </c>
      <c r="J32" s="199">
        <v>166</v>
      </c>
      <c r="K32" s="200">
        <v>105</v>
      </c>
      <c r="L32" s="208">
        <f t="shared" si="4"/>
        <v>58.095238095238102</v>
      </c>
      <c r="M32" s="205">
        <f t="shared" si="5"/>
        <v>0.14771311621284927</v>
      </c>
      <c r="N32" s="206">
        <f t="shared" si="6"/>
        <v>8.8912222466848448E-2</v>
      </c>
    </row>
    <row r="33" spans="1:14" hidden="1" outlineLevel="1">
      <c r="A33" s="197"/>
      <c r="B33" s="207" t="s">
        <v>777</v>
      </c>
      <c r="C33" s="203">
        <f t="shared" si="0"/>
        <v>-56.478405315614623</v>
      </c>
      <c r="E33" s="199">
        <v>38</v>
      </c>
      <c r="F33" s="200">
        <v>58</v>
      </c>
      <c r="G33" s="208">
        <f t="shared" si="1"/>
        <v>-34.482758620689658</v>
      </c>
      <c r="H33" s="205">
        <f t="shared" si="2"/>
        <v>0.13338013338013338</v>
      </c>
      <c r="I33" s="205">
        <f t="shared" si="3"/>
        <v>0.21958883882936434</v>
      </c>
      <c r="J33" s="199">
        <v>131</v>
      </c>
      <c r="K33" s="200">
        <v>301</v>
      </c>
      <c r="L33" s="208">
        <f t="shared" si="4"/>
        <v>-56.478405315614623</v>
      </c>
      <c r="M33" s="205">
        <f t="shared" si="5"/>
        <v>0.11656878448122442</v>
      </c>
      <c r="N33" s="206">
        <f t="shared" si="6"/>
        <v>0.25488170440496555</v>
      </c>
    </row>
    <row r="34" spans="1:14" hidden="1" outlineLevel="1">
      <c r="A34" s="197"/>
      <c r="B34" s="207" t="s">
        <v>780</v>
      </c>
      <c r="C34" s="203">
        <f t="shared" si="0"/>
        <v>-30.147058823529409</v>
      </c>
      <c r="E34" s="199">
        <v>15</v>
      </c>
      <c r="F34" s="200">
        <v>17</v>
      </c>
      <c r="G34" s="208">
        <f t="shared" si="1"/>
        <v>-11.76470588235294</v>
      </c>
      <c r="H34" s="205">
        <f t="shared" si="2"/>
        <v>5.2650052650052653E-2</v>
      </c>
      <c r="I34" s="205">
        <f t="shared" si="3"/>
        <v>6.4362245863779199E-2</v>
      </c>
      <c r="J34" s="199">
        <v>95</v>
      </c>
      <c r="K34" s="200">
        <v>136</v>
      </c>
      <c r="L34" s="208">
        <f t="shared" si="4"/>
        <v>-30.147058823529409</v>
      </c>
      <c r="M34" s="205">
        <f t="shared" si="5"/>
        <v>8.4534614700124577E-2</v>
      </c>
      <c r="N34" s="206">
        <f t="shared" si="6"/>
        <v>0.11516249767134655</v>
      </c>
    </row>
    <row r="35" spans="1:14" hidden="1" outlineLevel="1">
      <c r="A35" s="197"/>
      <c r="B35" s="207" t="s">
        <v>786</v>
      </c>
      <c r="C35" s="203">
        <f t="shared" si="0"/>
        <v>207.40740740740739</v>
      </c>
      <c r="E35" s="199">
        <v>14</v>
      </c>
      <c r="F35" s="200">
        <v>9</v>
      </c>
      <c r="G35" s="208">
        <f t="shared" si="1"/>
        <v>55.555555555555557</v>
      </c>
      <c r="H35" s="205">
        <f t="shared" si="2"/>
        <v>4.9140049140049137E-2</v>
      </c>
      <c r="I35" s="205">
        <f t="shared" si="3"/>
        <v>3.4074130163177223E-2</v>
      </c>
      <c r="J35" s="199">
        <v>83</v>
      </c>
      <c r="K35" s="200">
        <v>27</v>
      </c>
      <c r="L35" s="208">
        <f t="shared" si="4"/>
        <v>207.40740740740739</v>
      </c>
      <c r="M35" s="205">
        <f t="shared" si="5"/>
        <v>7.3856558106424636E-2</v>
      </c>
      <c r="N35" s="206">
        <f t="shared" si="6"/>
        <v>2.2863142920046743E-2</v>
      </c>
    </row>
    <row r="36" spans="1:14" hidden="1" outlineLevel="1">
      <c r="A36" s="197"/>
      <c r="B36" s="207" t="s">
        <v>784</v>
      </c>
      <c r="C36" s="203">
        <f t="shared" si="0"/>
        <v>19.148936170212767</v>
      </c>
      <c r="E36" s="199">
        <v>21</v>
      </c>
      <c r="F36" s="200">
        <v>14</v>
      </c>
      <c r="G36" s="208">
        <f t="shared" si="1"/>
        <v>50</v>
      </c>
      <c r="H36" s="205">
        <f t="shared" si="2"/>
        <v>7.3710073710073709E-2</v>
      </c>
      <c r="I36" s="205">
        <f t="shared" si="3"/>
        <v>5.3004202476053454E-2</v>
      </c>
      <c r="J36" s="199">
        <v>56</v>
      </c>
      <c r="K36" s="200">
        <v>47</v>
      </c>
      <c r="L36" s="208">
        <f t="shared" si="4"/>
        <v>19.148936170212767</v>
      </c>
      <c r="M36" s="205">
        <f t="shared" si="5"/>
        <v>4.9830930770599746E-2</v>
      </c>
      <c r="N36" s="206">
        <f t="shared" si="6"/>
        <v>3.9798804342303588E-2</v>
      </c>
    </row>
    <row r="37" spans="1:14" hidden="1" outlineLevel="1">
      <c r="A37" s="197"/>
      <c r="B37" s="207" t="s">
        <v>785</v>
      </c>
      <c r="C37" s="203">
        <f t="shared" si="0"/>
        <v>15.384615384615385</v>
      </c>
      <c r="E37" s="199">
        <v>5</v>
      </c>
      <c r="F37" s="200">
        <v>9</v>
      </c>
      <c r="G37" s="208">
        <f t="shared" si="1"/>
        <v>-44.444444444444443</v>
      </c>
      <c r="H37" s="205">
        <f t="shared" si="2"/>
        <v>1.755001755001755E-2</v>
      </c>
      <c r="I37" s="205">
        <f t="shared" si="3"/>
        <v>3.4074130163177223E-2</v>
      </c>
      <c r="J37" s="199">
        <v>45</v>
      </c>
      <c r="K37" s="200">
        <v>39</v>
      </c>
      <c r="L37" s="208">
        <f t="shared" si="4"/>
        <v>15.384615384615385</v>
      </c>
      <c r="M37" s="205">
        <f t="shared" si="5"/>
        <v>4.0042712226374795E-2</v>
      </c>
      <c r="N37" s="206">
        <f t="shared" si="6"/>
        <v>3.3024539773400849E-2</v>
      </c>
    </row>
    <row r="38" spans="1:14" hidden="1" outlineLevel="1">
      <c r="A38" s="197"/>
      <c r="B38" s="207" t="s">
        <v>782</v>
      </c>
      <c r="C38" s="203">
        <f t="shared" si="0"/>
        <v>-100</v>
      </c>
      <c r="E38" s="199">
        <v>0</v>
      </c>
      <c r="F38" s="200">
        <v>34</v>
      </c>
      <c r="G38" s="208">
        <f t="shared" si="1"/>
        <v>-100</v>
      </c>
      <c r="H38" s="205" t="str">
        <f t="shared" si="2"/>
        <v/>
      </c>
      <c r="I38" s="205">
        <f t="shared" si="3"/>
        <v>0.1287244917275584</v>
      </c>
      <c r="J38" s="199">
        <v>0</v>
      </c>
      <c r="K38" s="200">
        <v>86</v>
      </c>
      <c r="L38" s="208">
        <f t="shared" si="4"/>
        <v>-100</v>
      </c>
      <c r="M38" s="205" t="str">
        <f t="shared" si="5"/>
        <v/>
      </c>
      <c r="N38" s="206">
        <f t="shared" si="6"/>
        <v>7.2823344115704444E-2</v>
      </c>
    </row>
    <row r="39" spans="1:14" collapsed="1">
      <c r="A39" s="197" t="s">
        <v>1203</v>
      </c>
      <c r="B39" s="196" t="s">
        <v>301</v>
      </c>
      <c r="C39" s="203">
        <f t="shared" si="0"/>
        <v>-4.7038849495655652</v>
      </c>
      <c r="E39" s="199">
        <v>2252</v>
      </c>
      <c r="F39" s="200">
        <v>2217</v>
      </c>
      <c r="G39" s="208">
        <f t="shared" si="1"/>
        <v>1.5787099684258006</v>
      </c>
      <c r="H39" s="205">
        <f t="shared" si="2"/>
        <v>7.904527904527904</v>
      </c>
      <c r="I39" s="205">
        <f t="shared" si="3"/>
        <v>8.3935940635293225</v>
      </c>
      <c r="J39" s="199">
        <v>9542</v>
      </c>
      <c r="K39" s="200">
        <v>10013</v>
      </c>
      <c r="L39" s="208">
        <f t="shared" si="4"/>
        <v>-4.7038849495655652</v>
      </c>
      <c r="M39" s="205">
        <f t="shared" si="5"/>
        <v>8.4908346680904074</v>
      </c>
      <c r="N39" s="206">
        <f t="shared" si="6"/>
        <v>8.4788388910528898</v>
      </c>
    </row>
    <row r="40" spans="1:14" hidden="1" outlineLevel="1">
      <c r="A40" s="197"/>
      <c r="B40" s="207" t="s">
        <v>787</v>
      </c>
      <c r="C40" s="203">
        <f t="shared" si="0"/>
        <v>-31.192321889996311</v>
      </c>
      <c r="E40" s="199">
        <v>539</v>
      </c>
      <c r="F40" s="200">
        <v>491</v>
      </c>
      <c r="G40" s="208">
        <f t="shared" si="1"/>
        <v>9.7759674134419541</v>
      </c>
      <c r="H40" s="205">
        <f t="shared" si="2"/>
        <v>1.8918918918918921</v>
      </c>
      <c r="I40" s="205">
        <f t="shared" si="3"/>
        <v>1.8589331011244465</v>
      </c>
      <c r="J40" s="199">
        <v>1864</v>
      </c>
      <c r="K40" s="200">
        <v>2709</v>
      </c>
      <c r="L40" s="208">
        <f t="shared" si="4"/>
        <v>-31.192321889996311</v>
      </c>
      <c r="M40" s="205">
        <f t="shared" si="5"/>
        <v>1.6586581242213918</v>
      </c>
      <c r="N40" s="206">
        <f t="shared" si="6"/>
        <v>2.29393533964469</v>
      </c>
    </row>
    <row r="41" spans="1:14" hidden="1" outlineLevel="1">
      <c r="A41" s="197"/>
      <c r="B41" s="207" t="s">
        <v>791</v>
      </c>
      <c r="C41" s="203">
        <f t="shared" si="0"/>
        <v>39.660743134087241</v>
      </c>
      <c r="E41" s="199">
        <v>286</v>
      </c>
      <c r="F41" s="200">
        <v>304</v>
      </c>
      <c r="G41" s="208">
        <f t="shared" si="1"/>
        <v>-5.9210526315789469</v>
      </c>
      <c r="H41" s="205">
        <f t="shared" si="2"/>
        <v>1.0038610038610039</v>
      </c>
      <c r="I41" s="205">
        <f t="shared" si="3"/>
        <v>1.1509483966228751</v>
      </c>
      <c r="J41" s="199">
        <v>1729</v>
      </c>
      <c r="K41" s="200">
        <v>1238</v>
      </c>
      <c r="L41" s="208">
        <f t="shared" si="4"/>
        <v>39.660743134087241</v>
      </c>
      <c r="M41" s="205">
        <f t="shared" si="5"/>
        <v>1.5385299875422673</v>
      </c>
      <c r="N41" s="206">
        <f t="shared" si="6"/>
        <v>1.0483174420376988</v>
      </c>
    </row>
    <row r="42" spans="1:14" hidden="1" outlineLevel="1">
      <c r="A42" s="197"/>
      <c r="B42" s="207" t="s">
        <v>788</v>
      </c>
      <c r="C42" s="203">
        <f t="shared" si="0"/>
        <v>-42.782258064516128</v>
      </c>
      <c r="E42" s="199">
        <v>294</v>
      </c>
      <c r="F42" s="200">
        <v>465</v>
      </c>
      <c r="G42" s="208">
        <f t="shared" si="1"/>
        <v>-36.774193548387096</v>
      </c>
      <c r="H42" s="205">
        <f t="shared" si="2"/>
        <v>1.0319410319410318</v>
      </c>
      <c r="I42" s="205">
        <f t="shared" si="3"/>
        <v>1.7604967250974899</v>
      </c>
      <c r="J42" s="199">
        <v>1419</v>
      </c>
      <c r="K42" s="200">
        <v>2480</v>
      </c>
      <c r="L42" s="208">
        <f t="shared" si="4"/>
        <v>-42.782258064516128</v>
      </c>
      <c r="M42" s="205">
        <f t="shared" si="5"/>
        <v>1.2626801922050186</v>
      </c>
      <c r="N42" s="206">
        <f t="shared" si="6"/>
        <v>2.1000220163598491</v>
      </c>
    </row>
    <row r="43" spans="1:14" hidden="1" outlineLevel="1">
      <c r="A43" s="197"/>
      <c r="B43" s="207" t="s">
        <v>789</v>
      </c>
      <c r="C43" s="203">
        <f t="shared" si="0"/>
        <v>-8.7385019710906704</v>
      </c>
      <c r="E43" s="199">
        <v>424</v>
      </c>
      <c r="F43" s="200">
        <v>354</v>
      </c>
      <c r="G43" s="208">
        <f t="shared" si="1"/>
        <v>19.774011299435028</v>
      </c>
      <c r="H43" s="205">
        <f t="shared" si="2"/>
        <v>1.4882414882414883</v>
      </c>
      <c r="I43" s="205">
        <f t="shared" si="3"/>
        <v>1.3402491197516373</v>
      </c>
      <c r="J43" s="199">
        <v>1389</v>
      </c>
      <c r="K43" s="200">
        <v>1522</v>
      </c>
      <c r="L43" s="208">
        <f t="shared" si="4"/>
        <v>-8.7385019710906704</v>
      </c>
      <c r="M43" s="205">
        <f t="shared" si="5"/>
        <v>1.2359850507207688</v>
      </c>
      <c r="N43" s="206">
        <f t="shared" si="6"/>
        <v>1.288803834233746</v>
      </c>
    </row>
    <row r="44" spans="1:14" hidden="1" outlineLevel="1">
      <c r="A44" s="197"/>
      <c r="B44" s="207" t="s">
        <v>1052</v>
      </c>
      <c r="C44" s="203" t="str">
        <f t="shared" si="0"/>
        <v/>
      </c>
      <c r="E44" s="199">
        <v>154</v>
      </c>
      <c r="F44" s="200">
        <v>0</v>
      </c>
      <c r="G44" s="208" t="str">
        <f t="shared" si="1"/>
        <v/>
      </c>
      <c r="H44" s="205">
        <f t="shared" si="2"/>
        <v>0.54054054054054057</v>
      </c>
      <c r="I44" s="205" t="str">
        <f t="shared" si="3"/>
        <v/>
      </c>
      <c r="J44" s="199">
        <v>1021</v>
      </c>
      <c r="K44" s="200">
        <v>0</v>
      </c>
      <c r="L44" s="208" t="str">
        <f t="shared" si="4"/>
        <v/>
      </c>
      <c r="M44" s="205">
        <f t="shared" si="5"/>
        <v>0.90852464851397041</v>
      </c>
      <c r="N44" s="206" t="str">
        <f t="shared" si="6"/>
        <v/>
      </c>
    </row>
    <row r="45" spans="1:14" hidden="1" outlineLevel="1">
      <c r="A45" s="197"/>
      <c r="B45" s="207" t="s">
        <v>790</v>
      </c>
      <c r="C45" s="203">
        <f t="shared" si="0"/>
        <v>-35.456885456885459</v>
      </c>
      <c r="E45" s="199">
        <v>136</v>
      </c>
      <c r="F45" s="200">
        <v>392</v>
      </c>
      <c r="G45" s="208">
        <f t="shared" si="1"/>
        <v>-65.306122448979593</v>
      </c>
      <c r="H45" s="205">
        <f t="shared" si="2"/>
        <v>0.47736047736047738</v>
      </c>
      <c r="I45" s="205">
        <f t="shared" si="3"/>
        <v>1.4841176693294968</v>
      </c>
      <c r="J45" s="199">
        <v>1003</v>
      </c>
      <c r="K45" s="200">
        <v>1554</v>
      </c>
      <c r="L45" s="208">
        <f t="shared" si="4"/>
        <v>-35.456885456885459</v>
      </c>
      <c r="M45" s="205">
        <f t="shared" si="5"/>
        <v>0.89250756362342054</v>
      </c>
      <c r="N45" s="206">
        <f t="shared" si="6"/>
        <v>1.3159008925093569</v>
      </c>
    </row>
    <row r="46" spans="1:14" hidden="1" outlineLevel="1">
      <c r="A46" s="197"/>
      <c r="B46" s="207" t="s">
        <v>1178</v>
      </c>
      <c r="C46" s="203" t="str">
        <f t="shared" si="0"/>
        <v/>
      </c>
      <c r="E46" s="199">
        <v>306</v>
      </c>
      <c r="F46" s="200">
        <v>0</v>
      </c>
      <c r="G46" s="208" t="str">
        <f t="shared" si="1"/>
        <v/>
      </c>
      <c r="H46" s="205">
        <f t="shared" si="2"/>
        <v>1.0740610740610741</v>
      </c>
      <c r="I46" s="205" t="str">
        <f t="shared" si="3"/>
        <v/>
      </c>
      <c r="J46" s="199">
        <v>540</v>
      </c>
      <c r="K46" s="200">
        <v>0</v>
      </c>
      <c r="L46" s="208" t="str">
        <f t="shared" si="4"/>
        <v/>
      </c>
      <c r="M46" s="205">
        <f t="shared" si="5"/>
        <v>0.48051254671649762</v>
      </c>
      <c r="N46" s="206" t="str">
        <f t="shared" si="6"/>
        <v/>
      </c>
    </row>
    <row r="47" spans="1:14" hidden="1" outlineLevel="1">
      <c r="A47" s="197"/>
      <c r="B47" s="207" t="s">
        <v>792</v>
      </c>
      <c r="C47" s="203">
        <f t="shared" si="0"/>
        <v>121.62162162162163</v>
      </c>
      <c r="E47" s="199">
        <v>64</v>
      </c>
      <c r="F47" s="200">
        <v>148</v>
      </c>
      <c r="G47" s="208">
        <f t="shared" si="1"/>
        <v>-56.756756756756758</v>
      </c>
      <c r="H47" s="205">
        <f t="shared" si="2"/>
        <v>0.22464022464022465</v>
      </c>
      <c r="I47" s="205">
        <f t="shared" si="3"/>
        <v>0.56033014046113661</v>
      </c>
      <c r="J47" s="199">
        <v>328</v>
      </c>
      <c r="K47" s="200">
        <v>148</v>
      </c>
      <c r="L47" s="208">
        <f t="shared" si="4"/>
        <v>121.62162162162163</v>
      </c>
      <c r="M47" s="205">
        <f t="shared" si="5"/>
        <v>0.29186688022779855</v>
      </c>
      <c r="N47" s="206">
        <f t="shared" si="6"/>
        <v>0.12532389452470066</v>
      </c>
    </row>
    <row r="48" spans="1:14" hidden="1" outlineLevel="1">
      <c r="A48" s="197"/>
      <c r="B48" s="207" t="s">
        <v>794</v>
      </c>
      <c r="C48" s="203">
        <f t="shared" si="0"/>
        <v>-23.566878980891719</v>
      </c>
      <c r="E48" s="199">
        <v>17</v>
      </c>
      <c r="F48" s="200">
        <v>26</v>
      </c>
      <c r="G48" s="208">
        <f t="shared" si="1"/>
        <v>-34.615384615384613</v>
      </c>
      <c r="H48" s="205">
        <f t="shared" si="2"/>
        <v>5.9670059670059672E-2</v>
      </c>
      <c r="I48" s="205">
        <f t="shared" si="3"/>
        <v>9.8436376026956415E-2</v>
      </c>
      <c r="J48" s="199">
        <v>120</v>
      </c>
      <c r="K48" s="200">
        <v>157</v>
      </c>
      <c r="L48" s="208">
        <f t="shared" si="4"/>
        <v>-23.566878980891719</v>
      </c>
      <c r="M48" s="205">
        <f t="shared" si="5"/>
        <v>0.10678056593699946</v>
      </c>
      <c r="N48" s="206">
        <f t="shared" si="6"/>
        <v>0.13294494216471625</v>
      </c>
    </row>
    <row r="49" spans="1:14" hidden="1" outlineLevel="1">
      <c r="A49" s="197"/>
      <c r="B49" s="207" t="s">
        <v>793</v>
      </c>
      <c r="C49" s="203">
        <f t="shared" si="0"/>
        <v>-60.544217687074834</v>
      </c>
      <c r="E49" s="199">
        <v>21</v>
      </c>
      <c r="F49" s="200">
        <v>29</v>
      </c>
      <c r="G49" s="208">
        <f t="shared" si="1"/>
        <v>-27.586206896551722</v>
      </c>
      <c r="H49" s="205">
        <f t="shared" si="2"/>
        <v>7.3710073710073709E-2</v>
      </c>
      <c r="I49" s="205">
        <f t="shared" si="3"/>
        <v>0.10979441941468217</v>
      </c>
      <c r="J49" s="199">
        <v>58</v>
      </c>
      <c r="K49" s="200">
        <v>147</v>
      </c>
      <c r="L49" s="208">
        <f t="shared" si="4"/>
        <v>-60.544217687074834</v>
      </c>
      <c r="M49" s="205">
        <f t="shared" si="5"/>
        <v>5.1610606869549741E-2</v>
      </c>
      <c r="N49" s="206">
        <f t="shared" si="6"/>
        <v>0.12447711145358782</v>
      </c>
    </row>
    <row r="50" spans="1:14" hidden="1" outlineLevel="1">
      <c r="A50" s="197"/>
      <c r="B50" s="207" t="s">
        <v>797</v>
      </c>
      <c r="C50" s="203">
        <f t="shared" si="0"/>
        <v>73.333333333333329</v>
      </c>
      <c r="E50" s="199">
        <v>4</v>
      </c>
      <c r="F50" s="200">
        <v>2</v>
      </c>
      <c r="G50" s="208">
        <f t="shared" si="1"/>
        <v>100</v>
      </c>
      <c r="H50" s="205">
        <f t="shared" si="2"/>
        <v>1.4040014040014041E-2</v>
      </c>
      <c r="I50" s="205">
        <f t="shared" si="3"/>
        <v>7.5720289251504933E-3</v>
      </c>
      <c r="J50" s="199">
        <v>26</v>
      </c>
      <c r="K50" s="200">
        <v>15</v>
      </c>
      <c r="L50" s="208">
        <f t="shared" si="4"/>
        <v>73.333333333333329</v>
      </c>
      <c r="M50" s="205">
        <f t="shared" si="5"/>
        <v>2.3135789286349885E-2</v>
      </c>
      <c r="N50" s="206">
        <f t="shared" si="6"/>
        <v>1.2701746066692634E-2</v>
      </c>
    </row>
    <row r="51" spans="1:14" hidden="1" outlineLevel="1">
      <c r="A51" s="197"/>
      <c r="B51" s="207" t="s">
        <v>795</v>
      </c>
      <c r="C51" s="203">
        <f t="shared" si="0"/>
        <v>-13.636363636363635</v>
      </c>
      <c r="E51" s="199">
        <v>1</v>
      </c>
      <c r="F51" s="200">
        <v>5</v>
      </c>
      <c r="G51" s="208">
        <f t="shared" si="1"/>
        <v>-80</v>
      </c>
      <c r="H51" s="205">
        <f t="shared" si="2"/>
        <v>3.5100035100035102E-3</v>
      </c>
      <c r="I51" s="205">
        <f t="shared" si="3"/>
        <v>1.8930072312876235E-2</v>
      </c>
      <c r="J51" s="199">
        <v>19</v>
      </c>
      <c r="K51" s="200">
        <v>22</v>
      </c>
      <c r="L51" s="208">
        <f t="shared" si="4"/>
        <v>-13.636363636363635</v>
      </c>
      <c r="M51" s="205">
        <f t="shared" si="5"/>
        <v>1.6906922940024917E-2</v>
      </c>
      <c r="N51" s="206">
        <f t="shared" si="6"/>
        <v>1.8629227564482532E-2</v>
      </c>
    </row>
    <row r="52" spans="1:14" hidden="1" outlineLevel="1">
      <c r="A52" s="197"/>
      <c r="B52" s="207" t="s">
        <v>1051</v>
      </c>
      <c r="C52" s="203" t="str">
        <f t="shared" si="0"/>
        <v/>
      </c>
      <c r="E52" s="199">
        <v>0</v>
      </c>
      <c r="F52" s="200">
        <v>0</v>
      </c>
      <c r="G52" s="208" t="str">
        <f t="shared" si="1"/>
        <v/>
      </c>
      <c r="H52" s="205" t="str">
        <f t="shared" si="2"/>
        <v/>
      </c>
      <c r="I52" s="205" t="str">
        <f t="shared" si="3"/>
        <v/>
      </c>
      <c r="J52" s="199">
        <v>12</v>
      </c>
      <c r="K52" s="200">
        <v>0</v>
      </c>
      <c r="L52" s="208" t="str">
        <f t="shared" si="4"/>
        <v/>
      </c>
      <c r="M52" s="205">
        <f t="shared" si="5"/>
        <v>1.0678056593699947E-2</v>
      </c>
      <c r="N52" s="206" t="str">
        <f t="shared" si="6"/>
        <v/>
      </c>
    </row>
    <row r="53" spans="1:14" hidden="1" outlineLevel="1">
      <c r="A53" s="197"/>
      <c r="B53" s="207" t="s">
        <v>799</v>
      </c>
      <c r="C53" s="203">
        <f t="shared" si="0"/>
        <v>700</v>
      </c>
      <c r="E53" s="199">
        <v>4</v>
      </c>
      <c r="F53" s="200">
        <v>0</v>
      </c>
      <c r="G53" s="208" t="str">
        <f t="shared" si="1"/>
        <v/>
      </c>
      <c r="H53" s="205">
        <f t="shared" si="2"/>
        <v>1.4040014040014041E-2</v>
      </c>
      <c r="I53" s="205" t="str">
        <f t="shared" si="3"/>
        <v/>
      </c>
      <c r="J53" s="199">
        <v>8</v>
      </c>
      <c r="K53" s="200">
        <v>1</v>
      </c>
      <c r="L53" s="208">
        <f t="shared" si="4"/>
        <v>700</v>
      </c>
      <c r="M53" s="205">
        <f t="shared" si="5"/>
        <v>7.118704395799964E-3</v>
      </c>
      <c r="N53" s="206">
        <f t="shared" si="6"/>
        <v>8.4678307111284222E-4</v>
      </c>
    </row>
    <row r="54" spans="1:14" hidden="1" outlineLevel="1">
      <c r="A54" s="197"/>
      <c r="B54" s="207" t="s">
        <v>798</v>
      </c>
      <c r="C54" s="203">
        <f t="shared" si="0"/>
        <v>33.333333333333329</v>
      </c>
      <c r="E54" s="199">
        <v>2</v>
      </c>
      <c r="F54" s="200">
        <v>0</v>
      </c>
      <c r="G54" s="208" t="str">
        <f t="shared" si="1"/>
        <v/>
      </c>
      <c r="H54" s="205">
        <f t="shared" si="2"/>
        <v>7.0200070200070203E-3</v>
      </c>
      <c r="I54" s="205" t="str">
        <f t="shared" si="3"/>
        <v/>
      </c>
      <c r="J54" s="199">
        <v>4</v>
      </c>
      <c r="K54" s="200">
        <v>3</v>
      </c>
      <c r="L54" s="208">
        <f t="shared" si="4"/>
        <v>33.333333333333329</v>
      </c>
      <c r="M54" s="205">
        <f t="shared" si="5"/>
        <v>3.559352197899982E-3</v>
      </c>
      <c r="N54" s="206">
        <f t="shared" si="6"/>
        <v>2.5403492133385269E-3</v>
      </c>
    </row>
    <row r="55" spans="1:14" hidden="1" outlineLevel="1">
      <c r="A55" s="197"/>
      <c r="B55" s="207" t="s">
        <v>800</v>
      </c>
      <c r="C55" s="203">
        <f t="shared" si="0"/>
        <v>0</v>
      </c>
      <c r="E55" s="199">
        <v>0</v>
      </c>
      <c r="F55" s="200">
        <v>0</v>
      </c>
      <c r="G55" s="208" t="str">
        <f t="shared" si="1"/>
        <v/>
      </c>
      <c r="H55" s="205" t="str">
        <f t="shared" si="2"/>
        <v/>
      </c>
      <c r="I55" s="205" t="str">
        <f t="shared" si="3"/>
        <v/>
      </c>
      <c r="J55" s="199">
        <v>2</v>
      </c>
      <c r="K55" s="200">
        <v>2</v>
      </c>
      <c r="L55" s="208">
        <f t="shared" si="4"/>
        <v>0</v>
      </c>
      <c r="M55" s="205">
        <f t="shared" si="5"/>
        <v>1.779676098949991E-3</v>
      </c>
      <c r="N55" s="206">
        <f t="shared" si="6"/>
        <v>1.6935661422256844E-3</v>
      </c>
    </row>
    <row r="56" spans="1:14" hidden="1" outlineLevel="1">
      <c r="A56" s="197"/>
      <c r="B56" s="207" t="s">
        <v>796</v>
      </c>
      <c r="C56" s="203">
        <f t="shared" si="0"/>
        <v>-100</v>
      </c>
      <c r="E56" s="199">
        <v>0</v>
      </c>
      <c r="F56" s="200">
        <v>1</v>
      </c>
      <c r="G56" s="208">
        <f t="shared" si="1"/>
        <v>-100</v>
      </c>
      <c r="H56" s="205" t="str">
        <f t="shared" si="2"/>
        <v/>
      </c>
      <c r="I56" s="205">
        <f t="shared" si="3"/>
        <v>3.7860144625752466E-3</v>
      </c>
      <c r="J56" s="199">
        <v>0</v>
      </c>
      <c r="K56" s="200">
        <v>15</v>
      </c>
      <c r="L56" s="208">
        <f t="shared" si="4"/>
        <v>-100</v>
      </c>
      <c r="M56" s="205" t="str">
        <f t="shared" si="5"/>
        <v/>
      </c>
      <c r="N56" s="206">
        <f t="shared" si="6"/>
        <v>1.2701746066692634E-2</v>
      </c>
    </row>
    <row r="57" spans="1:14" collapsed="1">
      <c r="A57" s="197" t="s">
        <v>1204</v>
      </c>
      <c r="B57" s="196" t="s">
        <v>281</v>
      </c>
      <c r="C57" s="203">
        <f t="shared" si="0"/>
        <v>-30.784678319077724</v>
      </c>
      <c r="E57" s="199">
        <v>2065</v>
      </c>
      <c r="F57" s="200">
        <v>2825</v>
      </c>
      <c r="G57" s="208">
        <f t="shared" si="1"/>
        <v>-26.902654867256636</v>
      </c>
      <c r="H57" s="205">
        <f t="shared" si="2"/>
        <v>7.2481572481572485</v>
      </c>
      <c r="I57" s="205">
        <f t="shared" si="3"/>
        <v>10.695490856775072</v>
      </c>
      <c r="J57" s="199">
        <v>9306</v>
      </c>
      <c r="K57" s="200">
        <v>13445</v>
      </c>
      <c r="L57" s="208">
        <f t="shared" si="4"/>
        <v>-30.784678319077724</v>
      </c>
      <c r="M57" s="205">
        <f t="shared" si="5"/>
        <v>8.2808328884143094</v>
      </c>
      <c r="N57" s="206">
        <f t="shared" si="6"/>
        <v>11.384998391112164</v>
      </c>
    </row>
    <row r="58" spans="1:14" hidden="1" outlineLevel="1">
      <c r="A58" s="197"/>
      <c r="B58" s="207" t="s">
        <v>758</v>
      </c>
      <c r="C58" s="203">
        <f t="shared" si="0"/>
        <v>-52.670807453416145</v>
      </c>
      <c r="E58" s="199">
        <v>580</v>
      </c>
      <c r="F58" s="200">
        <v>720</v>
      </c>
      <c r="G58" s="208">
        <f t="shared" si="1"/>
        <v>-19.444444444444446</v>
      </c>
      <c r="H58" s="205">
        <f t="shared" si="2"/>
        <v>2.0358020358020359</v>
      </c>
      <c r="I58" s="205">
        <f t="shared" si="3"/>
        <v>2.7259304130541779</v>
      </c>
      <c r="J58" s="199">
        <v>2286</v>
      </c>
      <c r="K58" s="200">
        <v>4830</v>
      </c>
      <c r="L58" s="208">
        <f t="shared" si="4"/>
        <v>-52.670807453416145</v>
      </c>
      <c r="M58" s="205">
        <f t="shared" si="5"/>
        <v>2.0341697810998398</v>
      </c>
      <c r="N58" s="206">
        <f t="shared" si="6"/>
        <v>4.0899622334750285</v>
      </c>
    </row>
    <row r="59" spans="1:14" hidden="1" outlineLevel="1">
      <c r="A59" s="197"/>
      <c r="B59" s="207" t="s">
        <v>761</v>
      </c>
      <c r="C59" s="203">
        <f t="shared" si="0"/>
        <v>34.116856950973805</v>
      </c>
      <c r="E59" s="199">
        <v>387</v>
      </c>
      <c r="F59" s="200">
        <v>296</v>
      </c>
      <c r="G59" s="208">
        <f t="shared" si="1"/>
        <v>30.743243243243246</v>
      </c>
      <c r="H59" s="205">
        <f t="shared" si="2"/>
        <v>1.3583713583713584</v>
      </c>
      <c r="I59" s="205">
        <f t="shared" si="3"/>
        <v>1.1206602809222732</v>
      </c>
      <c r="J59" s="199">
        <v>1997</v>
      </c>
      <c r="K59" s="200">
        <v>1489</v>
      </c>
      <c r="L59" s="208">
        <f t="shared" si="4"/>
        <v>34.116856950973805</v>
      </c>
      <c r="M59" s="205">
        <f t="shared" si="5"/>
        <v>1.7770065848015664</v>
      </c>
      <c r="N59" s="206">
        <f t="shared" si="6"/>
        <v>1.2608599928870221</v>
      </c>
    </row>
    <row r="60" spans="1:14" hidden="1" outlineLevel="1">
      <c r="A60" s="197"/>
      <c r="B60" s="207" t="s">
        <v>759</v>
      </c>
      <c r="C60" s="203">
        <f t="shared" si="0"/>
        <v>-48.65910263022176</v>
      </c>
      <c r="E60" s="199">
        <v>372</v>
      </c>
      <c r="F60" s="200">
        <v>1063</v>
      </c>
      <c r="G60" s="208">
        <f t="shared" si="1"/>
        <v>-65.004703668861708</v>
      </c>
      <c r="H60" s="205">
        <f t="shared" si="2"/>
        <v>1.3057213057213057</v>
      </c>
      <c r="I60" s="205">
        <f t="shared" si="3"/>
        <v>4.024533373717488</v>
      </c>
      <c r="J60" s="199">
        <v>1991</v>
      </c>
      <c r="K60" s="200">
        <v>3878</v>
      </c>
      <c r="L60" s="208">
        <f t="shared" si="4"/>
        <v>-48.65910263022176</v>
      </c>
      <c r="M60" s="205">
        <f t="shared" si="5"/>
        <v>1.7716675565047164</v>
      </c>
      <c r="N60" s="206">
        <f t="shared" si="6"/>
        <v>3.2838247497756026</v>
      </c>
    </row>
    <row r="61" spans="1:14" hidden="1" outlineLevel="1">
      <c r="A61" s="197"/>
      <c r="B61" s="207" t="s">
        <v>760</v>
      </c>
      <c r="C61" s="203">
        <f t="shared" si="0"/>
        <v>29.855072463768117</v>
      </c>
      <c r="E61" s="199">
        <v>366</v>
      </c>
      <c r="F61" s="200">
        <v>482</v>
      </c>
      <c r="G61" s="208">
        <f t="shared" si="1"/>
        <v>-24.066390041493776</v>
      </c>
      <c r="H61" s="205">
        <f t="shared" si="2"/>
        <v>1.2846612846612846</v>
      </c>
      <c r="I61" s="205">
        <f t="shared" si="3"/>
        <v>1.824858970961269</v>
      </c>
      <c r="J61" s="199">
        <v>1792</v>
      </c>
      <c r="K61" s="200">
        <v>1380</v>
      </c>
      <c r="L61" s="208">
        <f t="shared" si="4"/>
        <v>29.855072463768117</v>
      </c>
      <c r="M61" s="205">
        <f t="shared" si="5"/>
        <v>1.5945897846591919</v>
      </c>
      <c r="N61" s="206">
        <f t="shared" si="6"/>
        <v>1.1685606381357225</v>
      </c>
    </row>
    <row r="62" spans="1:14" hidden="1" outlineLevel="1">
      <c r="A62" s="197"/>
      <c r="B62" s="207" t="s">
        <v>762</v>
      </c>
      <c r="C62" s="203">
        <f t="shared" si="0"/>
        <v>-32.098765432098766</v>
      </c>
      <c r="E62" s="199">
        <v>143</v>
      </c>
      <c r="F62" s="200">
        <v>60</v>
      </c>
      <c r="G62" s="208">
        <f t="shared" si="1"/>
        <v>138.33333333333334</v>
      </c>
      <c r="H62" s="205">
        <f t="shared" si="2"/>
        <v>0.50193050193050193</v>
      </c>
      <c r="I62" s="205">
        <f t="shared" si="3"/>
        <v>0.2271608677545148</v>
      </c>
      <c r="J62" s="199">
        <v>440</v>
      </c>
      <c r="K62" s="200">
        <v>648</v>
      </c>
      <c r="L62" s="208">
        <f t="shared" si="4"/>
        <v>-32.098765432098766</v>
      </c>
      <c r="M62" s="205">
        <f t="shared" si="5"/>
        <v>0.39152874176899805</v>
      </c>
      <c r="N62" s="206">
        <f t="shared" si="6"/>
        <v>0.54871543008112178</v>
      </c>
    </row>
    <row r="63" spans="1:14" hidden="1" outlineLevel="1">
      <c r="A63" s="197"/>
      <c r="B63" s="207" t="s">
        <v>764</v>
      </c>
      <c r="C63" s="203">
        <f t="shared" si="0"/>
        <v>6.3218390804597711</v>
      </c>
      <c r="E63" s="199">
        <v>103</v>
      </c>
      <c r="F63" s="200">
        <v>34</v>
      </c>
      <c r="G63" s="208">
        <f t="shared" si="1"/>
        <v>202.94117647058823</v>
      </c>
      <c r="H63" s="205">
        <f t="shared" si="2"/>
        <v>0.3615303615303615</v>
      </c>
      <c r="I63" s="205">
        <f t="shared" si="3"/>
        <v>0.1287244917275584</v>
      </c>
      <c r="J63" s="199">
        <v>370</v>
      </c>
      <c r="K63" s="200">
        <v>348</v>
      </c>
      <c r="L63" s="208">
        <f t="shared" si="4"/>
        <v>6.3218390804597711</v>
      </c>
      <c r="M63" s="205">
        <f t="shared" si="5"/>
        <v>0.32924007830574836</v>
      </c>
      <c r="N63" s="206">
        <f t="shared" si="6"/>
        <v>0.29468050874726914</v>
      </c>
    </row>
    <row r="64" spans="1:14" hidden="1" outlineLevel="1">
      <c r="A64" s="197"/>
      <c r="B64" s="207" t="s">
        <v>763</v>
      </c>
      <c r="C64" s="203">
        <f t="shared" si="0"/>
        <v>-14.615384615384617</v>
      </c>
      <c r="E64" s="199">
        <v>94</v>
      </c>
      <c r="F64" s="200">
        <v>90</v>
      </c>
      <c r="G64" s="208">
        <f t="shared" si="1"/>
        <v>4.4444444444444446</v>
      </c>
      <c r="H64" s="205">
        <f t="shared" si="2"/>
        <v>0.3299403299403299</v>
      </c>
      <c r="I64" s="205">
        <f t="shared" si="3"/>
        <v>0.34074130163177224</v>
      </c>
      <c r="J64" s="199">
        <v>333</v>
      </c>
      <c r="K64" s="200">
        <v>390</v>
      </c>
      <c r="L64" s="208">
        <f t="shared" si="4"/>
        <v>-14.615384615384617</v>
      </c>
      <c r="M64" s="205">
        <f t="shared" si="5"/>
        <v>0.2963160704751735</v>
      </c>
      <c r="N64" s="206">
        <f t="shared" si="6"/>
        <v>0.33024539773400852</v>
      </c>
    </row>
    <row r="65" spans="1:14" hidden="1" outlineLevel="1">
      <c r="A65" s="197"/>
      <c r="B65" s="207" t="s">
        <v>766</v>
      </c>
      <c r="C65" s="203">
        <f t="shared" si="0"/>
        <v>-61.764705882352942</v>
      </c>
      <c r="E65" s="199">
        <v>20</v>
      </c>
      <c r="F65" s="200">
        <v>24</v>
      </c>
      <c r="G65" s="208">
        <f t="shared" si="1"/>
        <v>-16.666666666666664</v>
      </c>
      <c r="H65" s="205">
        <f t="shared" si="2"/>
        <v>7.02000702000702E-2</v>
      </c>
      <c r="I65" s="205">
        <f t="shared" si="3"/>
        <v>9.0864347101805923E-2</v>
      </c>
      <c r="J65" s="199">
        <v>78</v>
      </c>
      <c r="K65" s="200">
        <v>204</v>
      </c>
      <c r="L65" s="208">
        <f t="shared" si="4"/>
        <v>-61.764705882352942</v>
      </c>
      <c r="M65" s="205">
        <f t="shared" si="5"/>
        <v>6.9407367859049648E-2</v>
      </c>
      <c r="N65" s="206">
        <f t="shared" si="6"/>
        <v>0.17274374650701985</v>
      </c>
    </row>
    <row r="66" spans="1:14" hidden="1" outlineLevel="1">
      <c r="A66" s="197"/>
      <c r="B66" s="207" t="s">
        <v>765</v>
      </c>
      <c r="C66" s="203">
        <f t="shared" si="0"/>
        <v>-93.090909090909093</v>
      </c>
      <c r="E66" s="199">
        <v>0</v>
      </c>
      <c r="F66" s="200">
        <v>56</v>
      </c>
      <c r="G66" s="208">
        <f t="shared" si="1"/>
        <v>-100</v>
      </c>
      <c r="H66" s="205" t="str">
        <f t="shared" si="2"/>
        <v/>
      </c>
      <c r="I66" s="205">
        <f t="shared" si="3"/>
        <v>0.21201680990421382</v>
      </c>
      <c r="J66" s="199">
        <v>19</v>
      </c>
      <c r="K66" s="200">
        <v>275</v>
      </c>
      <c r="L66" s="208">
        <f t="shared" si="4"/>
        <v>-93.090909090909093</v>
      </c>
      <c r="M66" s="205">
        <f t="shared" si="5"/>
        <v>1.6906922940024917E-2</v>
      </c>
      <c r="N66" s="206">
        <f t="shared" si="6"/>
        <v>0.23286534455603164</v>
      </c>
    </row>
    <row r="67" spans="1:14" hidden="1" outlineLevel="1">
      <c r="A67" s="197"/>
      <c r="B67" s="207" t="s">
        <v>767</v>
      </c>
      <c r="C67" s="203">
        <f t="shared" si="0"/>
        <v>-100</v>
      </c>
      <c r="E67" s="199">
        <v>0</v>
      </c>
      <c r="F67" s="200">
        <v>0</v>
      </c>
      <c r="G67" s="208" t="str">
        <f t="shared" si="1"/>
        <v/>
      </c>
      <c r="H67" s="205" t="str">
        <f t="shared" si="2"/>
        <v/>
      </c>
      <c r="I67" s="205" t="str">
        <f t="shared" si="3"/>
        <v/>
      </c>
      <c r="J67" s="199">
        <v>0</v>
      </c>
      <c r="K67" s="200">
        <v>3</v>
      </c>
      <c r="L67" s="208">
        <f t="shared" si="4"/>
        <v>-100</v>
      </c>
      <c r="M67" s="205" t="str">
        <f t="shared" si="5"/>
        <v/>
      </c>
      <c r="N67" s="206">
        <f t="shared" si="6"/>
        <v>2.5403492133385269E-3</v>
      </c>
    </row>
    <row r="68" spans="1:14" collapsed="1">
      <c r="A68" s="197" t="s">
        <v>1249</v>
      </c>
      <c r="B68" s="196" t="s">
        <v>300</v>
      </c>
      <c r="C68" s="203">
        <f t="shared" si="0"/>
        <v>128.77822814128547</v>
      </c>
      <c r="E68" s="199">
        <v>2477</v>
      </c>
      <c r="F68" s="200">
        <v>312</v>
      </c>
      <c r="G68" s="208">
        <f t="shared" si="1"/>
        <v>693.91025641025635</v>
      </c>
      <c r="H68" s="205">
        <f t="shared" si="2"/>
        <v>8.6942786942786938</v>
      </c>
      <c r="I68" s="205">
        <f t="shared" si="3"/>
        <v>1.1812365123234772</v>
      </c>
      <c r="J68" s="199">
        <v>7902</v>
      </c>
      <c r="K68" s="200">
        <v>3454</v>
      </c>
      <c r="L68" s="208">
        <f t="shared" si="4"/>
        <v>128.77822814128547</v>
      </c>
      <c r="M68" s="205">
        <f t="shared" si="5"/>
        <v>7.0315002669514151</v>
      </c>
      <c r="N68" s="206">
        <f t="shared" si="6"/>
        <v>2.9247887276237576</v>
      </c>
    </row>
    <row r="69" spans="1:14" hidden="1" outlineLevel="1">
      <c r="A69" s="197"/>
      <c r="B69" s="207" t="s">
        <v>871</v>
      </c>
      <c r="C69" s="203">
        <f t="shared" si="0"/>
        <v>171.46631439894321</v>
      </c>
      <c r="E69" s="199">
        <v>1903</v>
      </c>
      <c r="F69" s="200">
        <v>312</v>
      </c>
      <c r="G69" s="208">
        <f t="shared" si="1"/>
        <v>509.93589743589746</v>
      </c>
      <c r="H69" s="205">
        <f t="shared" si="2"/>
        <v>6.67953667953668</v>
      </c>
      <c r="I69" s="205">
        <f t="shared" si="3"/>
        <v>1.1812365123234772</v>
      </c>
      <c r="J69" s="199">
        <v>6165</v>
      </c>
      <c r="K69" s="200">
        <v>2271</v>
      </c>
      <c r="L69" s="208">
        <f t="shared" si="4"/>
        <v>171.46631439894321</v>
      </c>
      <c r="M69" s="205">
        <f t="shared" si="5"/>
        <v>5.4858515750133474</v>
      </c>
      <c r="N69" s="206">
        <f t="shared" si="6"/>
        <v>1.9230443544972651</v>
      </c>
    </row>
    <row r="70" spans="1:14" hidden="1" outlineLevel="1">
      <c r="A70" s="197"/>
      <c r="B70" s="207" t="s">
        <v>872</v>
      </c>
      <c r="C70" s="203">
        <f t="shared" si="0"/>
        <v>6.0016906170752327</v>
      </c>
      <c r="E70" s="199">
        <v>188</v>
      </c>
      <c r="F70" s="200">
        <v>0</v>
      </c>
      <c r="G70" s="208" t="str">
        <f t="shared" si="1"/>
        <v/>
      </c>
      <c r="H70" s="205">
        <f t="shared" si="2"/>
        <v>0.6598806598806598</v>
      </c>
      <c r="I70" s="205" t="str">
        <f t="shared" si="3"/>
        <v/>
      </c>
      <c r="J70" s="199">
        <v>1254</v>
      </c>
      <c r="K70" s="200">
        <v>1183</v>
      </c>
      <c r="L70" s="208">
        <f t="shared" si="4"/>
        <v>6.0016906170752327</v>
      </c>
      <c r="M70" s="205">
        <f t="shared" si="5"/>
        <v>1.1158569140416443</v>
      </c>
      <c r="N70" s="206">
        <f t="shared" si="6"/>
        <v>1.0017443731264923</v>
      </c>
    </row>
    <row r="71" spans="1:14" hidden="1" outlineLevel="1">
      <c r="A71" s="197"/>
      <c r="B71" s="207" t="s">
        <v>1078</v>
      </c>
      <c r="C71" s="203" t="str">
        <f t="shared" si="0"/>
        <v/>
      </c>
      <c r="E71" s="199">
        <v>262</v>
      </c>
      <c r="F71" s="200">
        <v>0</v>
      </c>
      <c r="G71" s="208" t="str">
        <f t="shared" si="1"/>
        <v/>
      </c>
      <c r="H71" s="205">
        <f t="shared" si="2"/>
        <v>0.91962091962091963</v>
      </c>
      <c r="I71" s="205" t="str">
        <f t="shared" si="3"/>
        <v/>
      </c>
      <c r="J71" s="199">
        <v>303</v>
      </c>
      <c r="K71" s="200">
        <v>0</v>
      </c>
      <c r="L71" s="208" t="str">
        <f t="shared" si="4"/>
        <v/>
      </c>
      <c r="M71" s="205">
        <f t="shared" si="5"/>
        <v>0.26962092899092366</v>
      </c>
      <c r="N71" s="206" t="str">
        <f t="shared" si="6"/>
        <v/>
      </c>
    </row>
    <row r="72" spans="1:14" hidden="1" outlineLevel="1">
      <c r="A72" s="197"/>
      <c r="B72" s="207" t="s">
        <v>873</v>
      </c>
      <c r="C72" s="203" t="str">
        <f t="shared" si="0"/>
        <v/>
      </c>
      <c r="E72" s="199">
        <v>124</v>
      </c>
      <c r="F72" s="200">
        <v>0</v>
      </c>
      <c r="G72" s="208" t="str">
        <f t="shared" si="1"/>
        <v/>
      </c>
      <c r="H72" s="205">
        <f t="shared" si="2"/>
        <v>0.43524043524043521</v>
      </c>
      <c r="I72" s="205" t="str">
        <f t="shared" si="3"/>
        <v/>
      </c>
      <c r="J72" s="199">
        <v>180</v>
      </c>
      <c r="K72" s="200">
        <v>0</v>
      </c>
      <c r="L72" s="208" t="str">
        <f t="shared" si="4"/>
        <v/>
      </c>
      <c r="M72" s="205">
        <f t="shared" si="5"/>
        <v>0.16017084890549918</v>
      </c>
      <c r="N72" s="206" t="str">
        <f t="shared" si="6"/>
        <v/>
      </c>
    </row>
    <row r="73" spans="1:14" collapsed="1">
      <c r="A73" s="197" t="s">
        <v>1205</v>
      </c>
      <c r="B73" s="196" t="s">
        <v>268</v>
      </c>
      <c r="C73" s="203">
        <f t="shared" si="0"/>
        <v>23.675104716809326</v>
      </c>
      <c r="E73" s="199">
        <v>1673</v>
      </c>
      <c r="F73" s="200">
        <v>1263</v>
      </c>
      <c r="G73" s="208">
        <f t="shared" si="1"/>
        <v>32.462391132224859</v>
      </c>
      <c r="H73" s="205">
        <f t="shared" si="2"/>
        <v>5.8722358722358727</v>
      </c>
      <c r="I73" s="205">
        <f t="shared" si="3"/>
        <v>4.7817362662325369</v>
      </c>
      <c r="J73" s="199">
        <v>6791</v>
      </c>
      <c r="K73" s="200">
        <v>5491</v>
      </c>
      <c r="L73" s="208">
        <f t="shared" si="4"/>
        <v>23.675104716809326</v>
      </c>
      <c r="M73" s="205">
        <f t="shared" si="5"/>
        <v>6.0428901939846948</v>
      </c>
      <c r="N73" s="206">
        <f t="shared" si="6"/>
        <v>4.6496858434806176</v>
      </c>
    </row>
    <row r="74" spans="1:14" hidden="1" outlineLevel="1">
      <c r="A74" s="197"/>
      <c r="B74" s="207" t="s">
        <v>845</v>
      </c>
      <c r="C74" s="203">
        <f t="shared" ref="C74:C137" si="7">IF(K74=0,"",SUM(((J74-K74)/K74)*100))</f>
        <v>84.076433121019107</v>
      </c>
      <c r="E74" s="199">
        <v>286</v>
      </c>
      <c r="F74" s="200">
        <v>160</v>
      </c>
      <c r="G74" s="208">
        <f t="shared" ref="G74:G137" si="8">IF(F74=0,"",SUM(((E74-F74)/F74)*100))</f>
        <v>78.75</v>
      </c>
      <c r="H74" s="205">
        <f t="shared" ref="H74:H137" si="9">IF(E74=0,"",SUM((E74/CntPeriod)*100))</f>
        <v>1.0038610038610039</v>
      </c>
      <c r="I74" s="205">
        <f t="shared" ref="I74:I137" si="10">IF(F74=0,"",SUM((F74/CntPeriodPrevYear)*100))</f>
        <v>0.6057623140120395</v>
      </c>
      <c r="J74" s="199">
        <v>1156</v>
      </c>
      <c r="K74" s="200">
        <v>628</v>
      </c>
      <c r="L74" s="208">
        <f t="shared" ref="L74:L137" si="11">IF(K74=0,"",SUM(((J74-K74)/K74)*100))</f>
        <v>84.076433121019107</v>
      </c>
      <c r="M74" s="205">
        <f t="shared" ref="M74:M137" si="12">IF(J74=0,"",SUM((J74/CntYearAck)*100))</f>
        <v>1.0286527851930949</v>
      </c>
      <c r="N74" s="206">
        <f t="shared" ref="N74:N137" si="13">IF(K74=0,"",SUM((K74/CntPrevYearAck)*100))</f>
        <v>0.531779768658865</v>
      </c>
    </row>
    <row r="75" spans="1:14" hidden="1" outlineLevel="1">
      <c r="A75" s="197"/>
      <c r="B75" s="207" t="s">
        <v>844</v>
      </c>
      <c r="C75" s="203">
        <f t="shared" si="7"/>
        <v>15.252525252525254</v>
      </c>
      <c r="E75" s="199">
        <v>387</v>
      </c>
      <c r="F75" s="200">
        <v>212</v>
      </c>
      <c r="G75" s="208">
        <f t="shared" si="8"/>
        <v>82.547169811320757</v>
      </c>
      <c r="H75" s="205">
        <f t="shared" si="9"/>
        <v>1.3583713583713584</v>
      </c>
      <c r="I75" s="205">
        <f t="shared" si="10"/>
        <v>0.80263506606595236</v>
      </c>
      <c r="J75" s="199">
        <v>1141</v>
      </c>
      <c r="K75" s="200">
        <v>990</v>
      </c>
      <c r="L75" s="208">
        <f t="shared" si="11"/>
        <v>15.252525252525254</v>
      </c>
      <c r="M75" s="205">
        <f t="shared" si="12"/>
        <v>1.0153052144509698</v>
      </c>
      <c r="N75" s="206">
        <f t="shared" si="13"/>
        <v>0.8383152404017139</v>
      </c>
    </row>
    <row r="76" spans="1:14" hidden="1" outlineLevel="1">
      <c r="A76" s="197"/>
      <c r="B76" s="207" t="s">
        <v>847</v>
      </c>
      <c r="C76" s="203">
        <f t="shared" si="7"/>
        <v>103.04659498207884</v>
      </c>
      <c r="E76" s="199">
        <v>252</v>
      </c>
      <c r="F76" s="200">
        <v>105</v>
      </c>
      <c r="G76" s="208">
        <f t="shared" si="8"/>
        <v>140</v>
      </c>
      <c r="H76" s="205">
        <f t="shared" si="9"/>
        <v>0.88452088452088462</v>
      </c>
      <c r="I76" s="205">
        <f t="shared" si="10"/>
        <v>0.39753151857040098</v>
      </c>
      <c r="J76" s="199">
        <v>1133</v>
      </c>
      <c r="K76" s="200">
        <v>558</v>
      </c>
      <c r="L76" s="208">
        <f t="shared" si="11"/>
        <v>103.04659498207884</v>
      </c>
      <c r="M76" s="205">
        <f t="shared" si="12"/>
        <v>1.0081865100551699</v>
      </c>
      <c r="N76" s="206">
        <f t="shared" si="13"/>
        <v>0.47250495368096601</v>
      </c>
    </row>
    <row r="77" spans="1:14" hidden="1" outlineLevel="1">
      <c r="A77" s="197"/>
      <c r="B77" s="207" t="s">
        <v>846</v>
      </c>
      <c r="C77" s="203">
        <f t="shared" si="7"/>
        <v>5.9581320450885666</v>
      </c>
      <c r="E77" s="199">
        <v>174</v>
      </c>
      <c r="F77" s="200">
        <v>162</v>
      </c>
      <c r="G77" s="208">
        <f t="shared" si="8"/>
        <v>7.4074074074074066</v>
      </c>
      <c r="H77" s="205">
        <f t="shared" si="9"/>
        <v>0.61074061074061081</v>
      </c>
      <c r="I77" s="205">
        <f t="shared" si="10"/>
        <v>0.61333434293719002</v>
      </c>
      <c r="J77" s="199">
        <v>658</v>
      </c>
      <c r="K77" s="200">
        <v>621</v>
      </c>
      <c r="L77" s="208">
        <f t="shared" si="11"/>
        <v>5.9581320450885666</v>
      </c>
      <c r="M77" s="205">
        <f t="shared" si="12"/>
        <v>0.58551343655454702</v>
      </c>
      <c r="N77" s="206">
        <f t="shared" si="13"/>
        <v>0.52585228716107502</v>
      </c>
    </row>
    <row r="78" spans="1:14" hidden="1" outlineLevel="1">
      <c r="A78" s="197"/>
      <c r="B78" s="207" t="s">
        <v>843</v>
      </c>
      <c r="C78" s="203">
        <f t="shared" si="7"/>
        <v>-19.448275862068964</v>
      </c>
      <c r="E78" s="199">
        <v>139</v>
      </c>
      <c r="F78" s="200">
        <v>253</v>
      </c>
      <c r="G78" s="208">
        <f t="shared" si="8"/>
        <v>-45.059288537549406</v>
      </c>
      <c r="H78" s="205">
        <f t="shared" si="9"/>
        <v>0.48789048789048794</v>
      </c>
      <c r="I78" s="205">
        <f t="shared" si="10"/>
        <v>0.95786165903153742</v>
      </c>
      <c r="J78" s="199">
        <v>584</v>
      </c>
      <c r="K78" s="200">
        <v>725</v>
      </c>
      <c r="L78" s="208">
        <f t="shared" si="11"/>
        <v>-19.448275862068964</v>
      </c>
      <c r="M78" s="205">
        <f t="shared" si="12"/>
        <v>0.5196654208933974</v>
      </c>
      <c r="N78" s="206">
        <f t="shared" si="13"/>
        <v>0.61391772655681065</v>
      </c>
    </row>
    <row r="79" spans="1:14" hidden="1" outlineLevel="1">
      <c r="A79" s="197"/>
      <c r="B79" s="207" t="s">
        <v>848</v>
      </c>
      <c r="C79" s="203">
        <f t="shared" si="7"/>
        <v>-10.412573673870334</v>
      </c>
      <c r="E79" s="199">
        <v>103</v>
      </c>
      <c r="F79" s="200">
        <v>87</v>
      </c>
      <c r="G79" s="208">
        <f t="shared" si="8"/>
        <v>18.390804597701148</v>
      </c>
      <c r="H79" s="205">
        <f t="shared" si="9"/>
        <v>0.3615303615303615</v>
      </c>
      <c r="I79" s="205">
        <f t="shared" si="10"/>
        <v>0.32938325824404646</v>
      </c>
      <c r="J79" s="199">
        <v>456</v>
      </c>
      <c r="K79" s="200">
        <v>509</v>
      </c>
      <c r="L79" s="208">
        <f t="shared" si="11"/>
        <v>-10.412573673870334</v>
      </c>
      <c r="M79" s="205">
        <f t="shared" si="12"/>
        <v>0.40576615056059795</v>
      </c>
      <c r="N79" s="206">
        <f t="shared" si="13"/>
        <v>0.43101258319643676</v>
      </c>
    </row>
    <row r="80" spans="1:14" hidden="1" outlineLevel="1">
      <c r="A80" s="197"/>
      <c r="B80" s="207" t="s">
        <v>849</v>
      </c>
      <c r="C80" s="203">
        <f t="shared" si="7"/>
        <v>35.975609756097562</v>
      </c>
      <c r="E80" s="199">
        <v>97</v>
      </c>
      <c r="F80" s="200">
        <v>88</v>
      </c>
      <c r="G80" s="208">
        <f t="shared" si="8"/>
        <v>10.227272727272728</v>
      </c>
      <c r="H80" s="205">
        <f t="shared" si="9"/>
        <v>0.34047034047034047</v>
      </c>
      <c r="I80" s="205">
        <f t="shared" si="10"/>
        <v>0.33316927270662172</v>
      </c>
      <c r="J80" s="199">
        <v>446</v>
      </c>
      <c r="K80" s="200">
        <v>328</v>
      </c>
      <c r="L80" s="208">
        <f t="shared" si="11"/>
        <v>35.975609756097562</v>
      </c>
      <c r="M80" s="205">
        <f t="shared" si="12"/>
        <v>0.39686777006584806</v>
      </c>
      <c r="N80" s="206">
        <f t="shared" si="13"/>
        <v>0.27774484732501226</v>
      </c>
    </row>
    <row r="81" spans="1:14" hidden="1" outlineLevel="1">
      <c r="A81" s="197"/>
      <c r="B81" s="207" t="s">
        <v>851</v>
      </c>
      <c r="C81" s="203">
        <f t="shared" si="7"/>
        <v>42.910447761194028</v>
      </c>
      <c r="E81" s="199">
        <v>68</v>
      </c>
      <c r="F81" s="200">
        <v>58</v>
      </c>
      <c r="G81" s="208">
        <f t="shared" si="8"/>
        <v>17.241379310344829</v>
      </c>
      <c r="H81" s="205">
        <f t="shared" si="9"/>
        <v>0.23868023868023869</v>
      </c>
      <c r="I81" s="205">
        <f t="shared" si="10"/>
        <v>0.21958883882936434</v>
      </c>
      <c r="J81" s="199">
        <v>383</v>
      </c>
      <c r="K81" s="200">
        <v>268</v>
      </c>
      <c r="L81" s="208">
        <f t="shared" si="11"/>
        <v>42.910447761194028</v>
      </c>
      <c r="M81" s="205">
        <f t="shared" si="12"/>
        <v>0.34080797294892329</v>
      </c>
      <c r="N81" s="206">
        <f t="shared" si="13"/>
        <v>0.22693786305824173</v>
      </c>
    </row>
    <row r="82" spans="1:14" hidden="1" outlineLevel="1">
      <c r="A82" s="197"/>
      <c r="B82" s="207" t="s">
        <v>850</v>
      </c>
      <c r="C82" s="203">
        <f t="shared" si="7"/>
        <v>-15.335463258785943</v>
      </c>
      <c r="E82" s="199">
        <v>41</v>
      </c>
      <c r="F82" s="200">
        <v>48</v>
      </c>
      <c r="G82" s="208">
        <f t="shared" si="8"/>
        <v>-14.583333333333334</v>
      </c>
      <c r="H82" s="205">
        <f t="shared" si="9"/>
        <v>0.14391014391014392</v>
      </c>
      <c r="I82" s="205">
        <f t="shared" si="10"/>
        <v>0.18172869420361185</v>
      </c>
      <c r="J82" s="199">
        <v>265</v>
      </c>
      <c r="K82" s="200">
        <v>313</v>
      </c>
      <c r="L82" s="208">
        <f t="shared" si="11"/>
        <v>-15.335463258785943</v>
      </c>
      <c r="M82" s="205">
        <f t="shared" si="12"/>
        <v>0.23580708311087381</v>
      </c>
      <c r="N82" s="206">
        <f t="shared" si="13"/>
        <v>0.26504310125831965</v>
      </c>
    </row>
    <row r="83" spans="1:14" hidden="1" outlineLevel="1">
      <c r="A83" s="197"/>
      <c r="B83" s="207" t="s">
        <v>852</v>
      </c>
      <c r="C83" s="203">
        <f t="shared" si="7"/>
        <v>73.381294964028783</v>
      </c>
      <c r="E83" s="199">
        <v>38</v>
      </c>
      <c r="F83" s="200">
        <v>26</v>
      </c>
      <c r="G83" s="208">
        <f t="shared" si="8"/>
        <v>46.153846153846153</v>
      </c>
      <c r="H83" s="205">
        <f t="shared" si="9"/>
        <v>0.13338013338013338</v>
      </c>
      <c r="I83" s="205">
        <f t="shared" si="10"/>
        <v>9.8436376026956415E-2</v>
      </c>
      <c r="J83" s="199">
        <v>241</v>
      </c>
      <c r="K83" s="200">
        <v>139</v>
      </c>
      <c r="L83" s="208">
        <f t="shared" si="11"/>
        <v>73.381294964028783</v>
      </c>
      <c r="M83" s="205">
        <f t="shared" si="12"/>
        <v>0.21445096992347393</v>
      </c>
      <c r="N83" s="206">
        <f t="shared" si="13"/>
        <v>0.11770284688468508</v>
      </c>
    </row>
    <row r="84" spans="1:14" hidden="1" outlineLevel="1">
      <c r="A84" s="197"/>
      <c r="B84" s="207" t="s">
        <v>856</v>
      </c>
      <c r="C84" s="203">
        <f t="shared" si="7"/>
        <v>72.222222222222214</v>
      </c>
      <c r="E84" s="199">
        <v>38</v>
      </c>
      <c r="F84" s="200">
        <v>7</v>
      </c>
      <c r="G84" s="208">
        <f t="shared" si="8"/>
        <v>442.85714285714289</v>
      </c>
      <c r="H84" s="205">
        <f t="shared" si="9"/>
        <v>0.13338013338013338</v>
      </c>
      <c r="I84" s="205">
        <f t="shared" si="10"/>
        <v>2.6502101238026727E-2</v>
      </c>
      <c r="J84" s="199">
        <v>124</v>
      </c>
      <c r="K84" s="200">
        <v>72</v>
      </c>
      <c r="L84" s="208">
        <f t="shared" si="11"/>
        <v>72.222222222222214</v>
      </c>
      <c r="M84" s="205">
        <f t="shared" si="12"/>
        <v>0.11033991813489946</v>
      </c>
      <c r="N84" s="206">
        <f t="shared" si="13"/>
        <v>6.0968381120124641E-2</v>
      </c>
    </row>
    <row r="85" spans="1:14" hidden="1" outlineLevel="1">
      <c r="A85" s="197"/>
      <c r="B85" s="207" t="s">
        <v>853</v>
      </c>
      <c r="C85" s="203">
        <f t="shared" si="7"/>
        <v>-8.9430894308943092</v>
      </c>
      <c r="E85" s="199">
        <v>34</v>
      </c>
      <c r="F85" s="200">
        <v>22</v>
      </c>
      <c r="G85" s="208">
        <f t="shared" si="8"/>
        <v>54.54545454545454</v>
      </c>
      <c r="H85" s="205">
        <f t="shared" si="9"/>
        <v>0.11934011934011934</v>
      </c>
      <c r="I85" s="205">
        <f t="shared" si="10"/>
        <v>8.329231817665543E-2</v>
      </c>
      <c r="J85" s="199">
        <v>112</v>
      </c>
      <c r="K85" s="200">
        <v>123</v>
      </c>
      <c r="L85" s="208">
        <f t="shared" si="11"/>
        <v>-8.9430894308943092</v>
      </c>
      <c r="M85" s="205">
        <f t="shared" si="12"/>
        <v>9.9661861541199492E-2</v>
      </c>
      <c r="N85" s="206">
        <f t="shared" si="13"/>
        <v>0.1041543177468796</v>
      </c>
    </row>
    <row r="86" spans="1:14" hidden="1" outlineLevel="1">
      <c r="A86" s="197"/>
      <c r="B86" s="207" t="s">
        <v>857</v>
      </c>
      <c r="C86" s="203">
        <f t="shared" si="7"/>
        <v>-10.714285714285714</v>
      </c>
      <c r="E86" s="199">
        <v>3</v>
      </c>
      <c r="F86" s="200">
        <v>8</v>
      </c>
      <c r="G86" s="208">
        <f t="shared" si="8"/>
        <v>-62.5</v>
      </c>
      <c r="H86" s="205">
        <f t="shared" si="9"/>
        <v>1.053001053001053E-2</v>
      </c>
      <c r="I86" s="205">
        <f t="shared" si="10"/>
        <v>3.0288115700601973E-2</v>
      </c>
      <c r="J86" s="199">
        <v>25</v>
      </c>
      <c r="K86" s="200">
        <v>28</v>
      </c>
      <c r="L86" s="208">
        <f t="shared" si="11"/>
        <v>-10.714285714285714</v>
      </c>
      <c r="M86" s="205">
        <f t="shared" si="12"/>
        <v>2.2245951236874888E-2</v>
      </c>
      <c r="N86" s="206">
        <f t="shared" si="13"/>
        <v>2.3709925991159585E-2</v>
      </c>
    </row>
    <row r="87" spans="1:14" hidden="1" outlineLevel="1">
      <c r="A87" s="197"/>
      <c r="B87" s="207" t="s">
        <v>854</v>
      </c>
      <c r="C87" s="203">
        <f t="shared" si="7"/>
        <v>-75.609756097560975</v>
      </c>
      <c r="E87" s="199">
        <v>5</v>
      </c>
      <c r="F87" s="200">
        <v>18</v>
      </c>
      <c r="G87" s="208">
        <f t="shared" si="8"/>
        <v>-72.222222222222214</v>
      </c>
      <c r="H87" s="205">
        <f t="shared" si="9"/>
        <v>1.755001755001755E-2</v>
      </c>
      <c r="I87" s="205">
        <f t="shared" si="10"/>
        <v>6.8148260326354446E-2</v>
      </c>
      <c r="J87" s="199">
        <v>20</v>
      </c>
      <c r="K87" s="200">
        <v>82</v>
      </c>
      <c r="L87" s="208">
        <f t="shared" si="11"/>
        <v>-75.609756097560975</v>
      </c>
      <c r="M87" s="205">
        <f t="shared" si="12"/>
        <v>1.7796760989499911E-2</v>
      </c>
      <c r="N87" s="206">
        <f t="shared" si="13"/>
        <v>6.9436211831253064E-2</v>
      </c>
    </row>
    <row r="88" spans="1:14" hidden="1" outlineLevel="1">
      <c r="A88" s="197"/>
      <c r="B88" s="207" t="s">
        <v>855</v>
      </c>
      <c r="C88" s="203">
        <f t="shared" si="7"/>
        <v>-76.25</v>
      </c>
      <c r="E88" s="199">
        <v>3</v>
      </c>
      <c r="F88" s="200">
        <v>8</v>
      </c>
      <c r="G88" s="208">
        <f t="shared" si="8"/>
        <v>-62.5</v>
      </c>
      <c r="H88" s="205">
        <f t="shared" si="9"/>
        <v>1.053001053001053E-2</v>
      </c>
      <c r="I88" s="205">
        <f t="shared" si="10"/>
        <v>3.0288115700601973E-2</v>
      </c>
      <c r="J88" s="199">
        <v>19</v>
      </c>
      <c r="K88" s="200">
        <v>80</v>
      </c>
      <c r="L88" s="208">
        <f t="shared" si="11"/>
        <v>-76.25</v>
      </c>
      <c r="M88" s="205">
        <f t="shared" si="12"/>
        <v>1.6906922940024917E-2</v>
      </c>
      <c r="N88" s="206">
        <f t="shared" si="13"/>
        <v>6.7742645689027381E-2</v>
      </c>
    </row>
    <row r="89" spans="1:14" hidden="1" outlineLevel="1">
      <c r="A89" s="197"/>
      <c r="B89" s="207" t="s">
        <v>860</v>
      </c>
      <c r="C89" s="203">
        <f t="shared" si="7"/>
        <v>200</v>
      </c>
      <c r="E89" s="199">
        <v>4</v>
      </c>
      <c r="F89" s="200">
        <v>0</v>
      </c>
      <c r="G89" s="208" t="str">
        <f t="shared" si="8"/>
        <v/>
      </c>
      <c r="H89" s="205">
        <f t="shared" si="9"/>
        <v>1.4040014040014041E-2</v>
      </c>
      <c r="I89" s="205" t="str">
        <f t="shared" si="10"/>
        <v/>
      </c>
      <c r="J89" s="199">
        <v>12</v>
      </c>
      <c r="K89" s="200">
        <v>4</v>
      </c>
      <c r="L89" s="208">
        <f t="shared" si="11"/>
        <v>200</v>
      </c>
      <c r="M89" s="205">
        <f t="shared" si="12"/>
        <v>1.0678056593699947E-2</v>
      </c>
      <c r="N89" s="206">
        <f t="shared" si="13"/>
        <v>3.3871322844513689E-3</v>
      </c>
    </row>
    <row r="90" spans="1:14" hidden="1" outlineLevel="1">
      <c r="A90" s="197"/>
      <c r="B90" s="207" t="s">
        <v>858</v>
      </c>
      <c r="C90" s="203">
        <f t="shared" si="7"/>
        <v>-16.666666666666664</v>
      </c>
      <c r="E90" s="199">
        <v>0</v>
      </c>
      <c r="F90" s="200">
        <v>1</v>
      </c>
      <c r="G90" s="208">
        <f t="shared" si="8"/>
        <v>-100</v>
      </c>
      <c r="H90" s="205" t="str">
        <f t="shared" si="9"/>
        <v/>
      </c>
      <c r="I90" s="205">
        <f t="shared" si="10"/>
        <v>3.7860144625752466E-3</v>
      </c>
      <c r="J90" s="199">
        <v>10</v>
      </c>
      <c r="K90" s="200">
        <v>12</v>
      </c>
      <c r="L90" s="208">
        <f t="shared" si="11"/>
        <v>-16.666666666666664</v>
      </c>
      <c r="M90" s="205">
        <f t="shared" si="12"/>
        <v>8.8983804947499554E-3</v>
      </c>
      <c r="N90" s="206">
        <f t="shared" si="13"/>
        <v>1.0161396853354107E-2</v>
      </c>
    </row>
    <row r="91" spans="1:14" hidden="1" outlineLevel="1">
      <c r="A91" s="197"/>
      <c r="B91" s="207" t="s">
        <v>859</v>
      </c>
      <c r="C91" s="203">
        <f t="shared" si="7"/>
        <v>-50</v>
      </c>
      <c r="E91" s="199">
        <v>0</v>
      </c>
      <c r="F91" s="200">
        <v>0</v>
      </c>
      <c r="G91" s="208" t="str">
        <f t="shared" si="8"/>
        <v/>
      </c>
      <c r="H91" s="205" t="str">
        <f t="shared" si="9"/>
        <v/>
      </c>
      <c r="I91" s="205" t="str">
        <f t="shared" si="10"/>
        <v/>
      </c>
      <c r="J91" s="199">
        <v>3</v>
      </c>
      <c r="K91" s="200">
        <v>6</v>
      </c>
      <c r="L91" s="208">
        <f t="shared" si="11"/>
        <v>-50</v>
      </c>
      <c r="M91" s="205">
        <f t="shared" si="12"/>
        <v>2.6695141484249867E-3</v>
      </c>
      <c r="N91" s="206">
        <f t="shared" si="13"/>
        <v>5.0806984266770537E-3</v>
      </c>
    </row>
    <row r="92" spans="1:14" hidden="1" outlineLevel="1">
      <c r="A92" s="197"/>
      <c r="B92" s="207" t="s">
        <v>1250</v>
      </c>
      <c r="C92" s="203" t="str">
        <f t="shared" si="7"/>
        <v/>
      </c>
      <c r="E92" s="199">
        <v>1</v>
      </c>
      <c r="F92" s="200">
        <v>0</v>
      </c>
      <c r="G92" s="208" t="str">
        <f t="shared" si="8"/>
        <v/>
      </c>
      <c r="H92" s="205">
        <f t="shared" si="9"/>
        <v>3.5100035100035102E-3</v>
      </c>
      <c r="I92" s="205" t="str">
        <f t="shared" si="10"/>
        <v/>
      </c>
      <c r="J92" s="199">
        <v>1</v>
      </c>
      <c r="K92" s="200">
        <v>0</v>
      </c>
      <c r="L92" s="208" t="str">
        <f t="shared" si="11"/>
        <v/>
      </c>
      <c r="M92" s="205">
        <f t="shared" si="12"/>
        <v>8.898380494749955E-4</v>
      </c>
      <c r="N92" s="206" t="str">
        <f t="shared" si="13"/>
        <v/>
      </c>
    </row>
    <row r="93" spans="1:14" hidden="1" outlineLevel="1">
      <c r="A93" s="197"/>
      <c r="B93" s="207" t="s">
        <v>861</v>
      </c>
      <c r="C93" s="203">
        <f t="shared" si="7"/>
        <v>-75</v>
      </c>
      <c r="E93" s="199">
        <v>0</v>
      </c>
      <c r="F93" s="200">
        <v>0</v>
      </c>
      <c r="G93" s="208" t="str">
        <f t="shared" si="8"/>
        <v/>
      </c>
      <c r="H93" s="205" t="str">
        <f t="shared" si="9"/>
        <v/>
      </c>
      <c r="I93" s="205" t="str">
        <f t="shared" si="10"/>
        <v/>
      </c>
      <c r="J93" s="199">
        <v>1</v>
      </c>
      <c r="K93" s="200">
        <v>4</v>
      </c>
      <c r="L93" s="208">
        <f t="shared" si="11"/>
        <v>-75</v>
      </c>
      <c r="M93" s="205">
        <f t="shared" si="12"/>
        <v>8.898380494749955E-4</v>
      </c>
      <c r="N93" s="206">
        <f t="shared" si="13"/>
        <v>3.3871322844513689E-3</v>
      </c>
    </row>
    <row r="94" spans="1:14" hidden="1" outlineLevel="1">
      <c r="A94" s="197"/>
      <c r="B94" s="207" t="s">
        <v>862</v>
      </c>
      <c r="C94" s="203">
        <f t="shared" si="7"/>
        <v>0</v>
      </c>
      <c r="E94" s="199">
        <v>0</v>
      </c>
      <c r="F94" s="200">
        <v>0</v>
      </c>
      <c r="G94" s="208" t="str">
        <f t="shared" si="8"/>
        <v/>
      </c>
      <c r="H94" s="205" t="str">
        <f t="shared" si="9"/>
        <v/>
      </c>
      <c r="I94" s="205" t="str">
        <f t="shared" si="10"/>
        <v/>
      </c>
      <c r="J94" s="199">
        <v>1</v>
      </c>
      <c r="K94" s="200">
        <v>1</v>
      </c>
      <c r="L94" s="208">
        <f t="shared" si="11"/>
        <v>0</v>
      </c>
      <c r="M94" s="205">
        <f t="shared" si="12"/>
        <v>8.898380494749955E-4</v>
      </c>
      <c r="N94" s="206">
        <f t="shared" si="13"/>
        <v>8.4678307111284222E-4</v>
      </c>
    </row>
    <row r="95" spans="1:14" collapsed="1">
      <c r="A95" s="197" t="s">
        <v>1206</v>
      </c>
      <c r="B95" s="196" t="s">
        <v>270</v>
      </c>
      <c r="C95" s="203">
        <f t="shared" si="7"/>
        <v>-13.47253624152148</v>
      </c>
      <c r="E95" s="199">
        <v>1434</v>
      </c>
      <c r="F95" s="200">
        <v>1401</v>
      </c>
      <c r="G95" s="208">
        <f t="shared" si="8"/>
        <v>2.3554603854389722</v>
      </c>
      <c r="H95" s="205">
        <f t="shared" si="9"/>
        <v>5.0333450333450331</v>
      </c>
      <c r="I95" s="205">
        <f t="shared" si="10"/>
        <v>5.3042062620679209</v>
      </c>
      <c r="J95" s="199">
        <v>6506</v>
      </c>
      <c r="K95" s="200">
        <v>7519</v>
      </c>
      <c r="L95" s="208">
        <f t="shared" si="11"/>
        <v>-13.47253624152148</v>
      </c>
      <c r="M95" s="205">
        <f t="shared" si="12"/>
        <v>5.7892863498843212</v>
      </c>
      <c r="N95" s="206">
        <f t="shared" si="13"/>
        <v>6.3669619116974605</v>
      </c>
    </row>
    <row r="96" spans="1:14" hidden="1" outlineLevel="1">
      <c r="A96" s="197"/>
      <c r="B96" s="207" t="s">
        <v>806</v>
      </c>
      <c r="C96" s="203">
        <f t="shared" si="7"/>
        <v>320.35087719298247</v>
      </c>
      <c r="E96" s="199">
        <v>331</v>
      </c>
      <c r="F96" s="200">
        <v>155</v>
      </c>
      <c r="G96" s="208">
        <f t="shared" si="8"/>
        <v>113.54838709677419</v>
      </c>
      <c r="H96" s="205">
        <f t="shared" si="9"/>
        <v>1.1618111618111617</v>
      </c>
      <c r="I96" s="205">
        <f t="shared" si="10"/>
        <v>0.58683224169916326</v>
      </c>
      <c r="J96" s="199">
        <v>1198</v>
      </c>
      <c r="K96" s="200">
        <v>285</v>
      </c>
      <c r="L96" s="208">
        <f t="shared" si="11"/>
        <v>320.35087719298247</v>
      </c>
      <c r="M96" s="205">
        <f t="shared" si="12"/>
        <v>1.0660259832710448</v>
      </c>
      <c r="N96" s="206">
        <f t="shared" si="13"/>
        <v>0.24133317526716008</v>
      </c>
    </row>
    <row r="97" spans="1:14" hidden="1" outlineLevel="1">
      <c r="A97" s="197"/>
      <c r="B97" s="207" t="s">
        <v>805</v>
      </c>
      <c r="C97" s="203">
        <f t="shared" si="7"/>
        <v>40.231362467866319</v>
      </c>
      <c r="E97" s="199">
        <v>262</v>
      </c>
      <c r="F97" s="200">
        <v>101</v>
      </c>
      <c r="G97" s="208">
        <f t="shared" si="8"/>
        <v>159.40594059405942</v>
      </c>
      <c r="H97" s="205">
        <f t="shared" si="9"/>
        <v>0.91962091962091963</v>
      </c>
      <c r="I97" s="205">
        <f t="shared" si="10"/>
        <v>0.38238746072009999</v>
      </c>
      <c r="J97" s="199">
        <v>1091</v>
      </c>
      <c r="K97" s="200">
        <v>778</v>
      </c>
      <c r="L97" s="208">
        <f t="shared" si="11"/>
        <v>40.231362467866319</v>
      </c>
      <c r="M97" s="205">
        <f t="shared" si="12"/>
        <v>0.97081331197722021</v>
      </c>
      <c r="N97" s="206">
        <f t="shared" si="13"/>
        <v>0.65879722932579132</v>
      </c>
    </row>
    <row r="98" spans="1:14" hidden="1" outlineLevel="1">
      <c r="A98" s="197"/>
      <c r="B98" s="207" t="s">
        <v>802</v>
      </c>
      <c r="C98" s="203">
        <f t="shared" si="7"/>
        <v>-28.180212014134277</v>
      </c>
      <c r="E98" s="199">
        <v>125</v>
      </c>
      <c r="F98" s="200">
        <v>157</v>
      </c>
      <c r="G98" s="208">
        <f t="shared" si="8"/>
        <v>-20.382165605095544</v>
      </c>
      <c r="H98" s="205">
        <f t="shared" si="9"/>
        <v>0.43875043875043873</v>
      </c>
      <c r="I98" s="205">
        <f t="shared" si="10"/>
        <v>0.59440427062431378</v>
      </c>
      <c r="J98" s="199">
        <v>813</v>
      </c>
      <c r="K98" s="200">
        <v>1132</v>
      </c>
      <c r="L98" s="208">
        <f t="shared" si="11"/>
        <v>-28.180212014134277</v>
      </c>
      <c r="M98" s="205">
        <f t="shared" si="12"/>
        <v>0.72343833422317139</v>
      </c>
      <c r="N98" s="206">
        <f t="shared" si="13"/>
        <v>0.9585584364997376</v>
      </c>
    </row>
    <row r="99" spans="1:14" hidden="1" outlineLevel="1">
      <c r="A99" s="197"/>
      <c r="B99" s="207" t="s">
        <v>804</v>
      </c>
      <c r="C99" s="203">
        <f t="shared" si="7"/>
        <v>-17.59918616480163</v>
      </c>
      <c r="E99" s="199">
        <v>215</v>
      </c>
      <c r="F99" s="200">
        <v>191</v>
      </c>
      <c r="G99" s="208">
        <f t="shared" si="8"/>
        <v>12.56544502617801</v>
      </c>
      <c r="H99" s="205">
        <f t="shared" si="9"/>
        <v>0.75465075465075471</v>
      </c>
      <c r="I99" s="205">
        <f t="shared" si="10"/>
        <v>0.72312876235187218</v>
      </c>
      <c r="J99" s="199">
        <v>810</v>
      </c>
      <c r="K99" s="200">
        <v>983</v>
      </c>
      <c r="L99" s="208">
        <f t="shared" si="11"/>
        <v>-17.59918616480163</v>
      </c>
      <c r="M99" s="205">
        <f t="shared" si="12"/>
        <v>0.72076882007474641</v>
      </c>
      <c r="N99" s="206">
        <f t="shared" si="13"/>
        <v>0.83238775890392391</v>
      </c>
    </row>
    <row r="100" spans="1:14" hidden="1" outlineLevel="1">
      <c r="A100" s="197"/>
      <c r="B100" s="207" t="s">
        <v>801</v>
      </c>
      <c r="C100" s="203">
        <f t="shared" si="7"/>
        <v>-40.447761194029852</v>
      </c>
      <c r="E100" s="199">
        <v>98</v>
      </c>
      <c r="F100" s="200">
        <v>220</v>
      </c>
      <c r="G100" s="208">
        <f t="shared" si="8"/>
        <v>-55.454545454545453</v>
      </c>
      <c r="H100" s="205">
        <f t="shared" si="9"/>
        <v>0.34398034398034399</v>
      </c>
      <c r="I100" s="205">
        <f t="shared" si="10"/>
        <v>0.83292318176655444</v>
      </c>
      <c r="J100" s="199">
        <v>798</v>
      </c>
      <c r="K100" s="200">
        <v>1340</v>
      </c>
      <c r="L100" s="208">
        <f t="shared" si="11"/>
        <v>-40.447761194029852</v>
      </c>
      <c r="M100" s="205">
        <f t="shared" si="12"/>
        <v>0.71009076348104649</v>
      </c>
      <c r="N100" s="206">
        <f t="shared" si="13"/>
        <v>1.1346893152912088</v>
      </c>
    </row>
    <row r="101" spans="1:14" hidden="1" outlineLevel="1">
      <c r="A101" s="197"/>
      <c r="B101" s="207" t="s">
        <v>810</v>
      </c>
      <c r="C101" s="203">
        <f t="shared" si="7"/>
        <v>131.84079601990049</v>
      </c>
      <c r="E101" s="199">
        <v>94</v>
      </c>
      <c r="F101" s="200">
        <v>32</v>
      </c>
      <c r="G101" s="208">
        <f t="shared" si="8"/>
        <v>193.75</v>
      </c>
      <c r="H101" s="205">
        <f t="shared" si="9"/>
        <v>0.3299403299403299</v>
      </c>
      <c r="I101" s="205">
        <f t="shared" si="10"/>
        <v>0.12115246280240789</v>
      </c>
      <c r="J101" s="199">
        <v>466</v>
      </c>
      <c r="K101" s="200">
        <v>201</v>
      </c>
      <c r="L101" s="208">
        <f t="shared" si="11"/>
        <v>131.84079601990049</v>
      </c>
      <c r="M101" s="205">
        <f t="shared" si="12"/>
        <v>0.41466453105534795</v>
      </c>
      <c r="N101" s="206">
        <f t="shared" si="13"/>
        <v>0.17020339729368131</v>
      </c>
    </row>
    <row r="102" spans="1:14" hidden="1" outlineLevel="1">
      <c r="A102" s="197"/>
      <c r="B102" s="207" t="s">
        <v>807</v>
      </c>
      <c r="C102" s="203">
        <f t="shared" si="7"/>
        <v>-6.7605633802816891</v>
      </c>
      <c r="E102" s="199">
        <v>101</v>
      </c>
      <c r="F102" s="200">
        <v>106</v>
      </c>
      <c r="G102" s="208">
        <f t="shared" si="8"/>
        <v>-4.716981132075472</v>
      </c>
      <c r="H102" s="205">
        <f t="shared" si="9"/>
        <v>0.35451035451035451</v>
      </c>
      <c r="I102" s="205">
        <f t="shared" si="10"/>
        <v>0.40131753303297618</v>
      </c>
      <c r="J102" s="199">
        <v>331</v>
      </c>
      <c r="K102" s="200">
        <v>355</v>
      </c>
      <c r="L102" s="208">
        <f t="shared" si="11"/>
        <v>-6.7605633802816891</v>
      </c>
      <c r="M102" s="205">
        <f t="shared" si="12"/>
        <v>0.29453639437622353</v>
      </c>
      <c r="N102" s="206">
        <f t="shared" si="13"/>
        <v>0.30060799024505902</v>
      </c>
    </row>
    <row r="103" spans="1:14" hidden="1" outlineLevel="1">
      <c r="A103" s="197"/>
      <c r="B103" s="207" t="s">
        <v>808</v>
      </c>
      <c r="C103" s="203">
        <f t="shared" si="7"/>
        <v>-27.363184079601986</v>
      </c>
      <c r="E103" s="199">
        <v>35</v>
      </c>
      <c r="F103" s="200">
        <v>95</v>
      </c>
      <c r="G103" s="208">
        <f t="shared" si="8"/>
        <v>-63.157894736842103</v>
      </c>
      <c r="H103" s="205">
        <f t="shared" si="9"/>
        <v>0.12285012285012285</v>
      </c>
      <c r="I103" s="205">
        <f t="shared" si="10"/>
        <v>0.35967137394464843</v>
      </c>
      <c r="J103" s="199">
        <v>292</v>
      </c>
      <c r="K103" s="200">
        <v>402</v>
      </c>
      <c r="L103" s="208">
        <f t="shared" si="11"/>
        <v>-27.363184079601986</v>
      </c>
      <c r="M103" s="205">
        <f t="shared" si="12"/>
        <v>0.2598327104466987</v>
      </c>
      <c r="N103" s="206">
        <f t="shared" si="13"/>
        <v>0.34040679458736262</v>
      </c>
    </row>
    <row r="104" spans="1:14" hidden="1" outlineLevel="1">
      <c r="A104" s="197"/>
      <c r="B104" s="207" t="s">
        <v>809</v>
      </c>
      <c r="C104" s="203">
        <f t="shared" si="7"/>
        <v>-25.280898876404496</v>
      </c>
      <c r="E104" s="199">
        <v>79</v>
      </c>
      <c r="F104" s="200">
        <v>130</v>
      </c>
      <c r="G104" s="208">
        <f t="shared" si="8"/>
        <v>-39.230769230769234</v>
      </c>
      <c r="H104" s="205">
        <f t="shared" si="9"/>
        <v>0.27729027729027728</v>
      </c>
      <c r="I104" s="205">
        <f t="shared" si="10"/>
        <v>0.49218188013478209</v>
      </c>
      <c r="J104" s="199">
        <v>266</v>
      </c>
      <c r="K104" s="200">
        <v>356</v>
      </c>
      <c r="L104" s="208">
        <f t="shared" si="11"/>
        <v>-25.280898876404496</v>
      </c>
      <c r="M104" s="205">
        <f t="shared" si="12"/>
        <v>0.23669692116034882</v>
      </c>
      <c r="N104" s="206">
        <f t="shared" si="13"/>
        <v>0.30145477331617188</v>
      </c>
    </row>
    <row r="105" spans="1:14" hidden="1" outlineLevel="1">
      <c r="A105" s="197"/>
      <c r="B105" s="207" t="s">
        <v>811</v>
      </c>
      <c r="C105" s="203">
        <f t="shared" si="7"/>
        <v>-16.393442622950818</v>
      </c>
      <c r="E105" s="199">
        <v>30</v>
      </c>
      <c r="F105" s="200">
        <v>34</v>
      </c>
      <c r="G105" s="208">
        <f t="shared" si="8"/>
        <v>-11.76470588235294</v>
      </c>
      <c r="H105" s="205">
        <f t="shared" si="9"/>
        <v>0.10530010530010531</v>
      </c>
      <c r="I105" s="205">
        <f t="shared" si="10"/>
        <v>0.1287244917275584</v>
      </c>
      <c r="J105" s="199">
        <v>153</v>
      </c>
      <c r="K105" s="200">
        <v>183</v>
      </c>
      <c r="L105" s="208">
        <f t="shared" si="11"/>
        <v>-16.393442622950818</v>
      </c>
      <c r="M105" s="205">
        <f t="shared" si="12"/>
        <v>0.13614522156967432</v>
      </c>
      <c r="N105" s="206">
        <f t="shared" si="13"/>
        <v>0.15496130201365013</v>
      </c>
    </row>
    <row r="106" spans="1:14" hidden="1" outlineLevel="1">
      <c r="A106" s="197"/>
      <c r="B106" s="207" t="s">
        <v>812</v>
      </c>
      <c r="C106" s="203">
        <f t="shared" si="7"/>
        <v>82.222222222222214</v>
      </c>
      <c r="E106" s="199">
        <v>26</v>
      </c>
      <c r="F106" s="200">
        <v>17</v>
      </c>
      <c r="G106" s="208">
        <f t="shared" si="8"/>
        <v>52.941176470588239</v>
      </c>
      <c r="H106" s="205">
        <f t="shared" si="9"/>
        <v>9.1260091260091256E-2</v>
      </c>
      <c r="I106" s="205">
        <f t="shared" si="10"/>
        <v>6.4362245863779199E-2</v>
      </c>
      <c r="J106" s="199">
        <v>82</v>
      </c>
      <c r="K106" s="200">
        <v>45</v>
      </c>
      <c r="L106" s="208">
        <f t="shared" si="11"/>
        <v>82.222222222222214</v>
      </c>
      <c r="M106" s="205">
        <f t="shared" si="12"/>
        <v>7.2966720056949638E-2</v>
      </c>
      <c r="N106" s="206">
        <f t="shared" si="13"/>
        <v>3.8105238200077905E-2</v>
      </c>
    </row>
    <row r="107" spans="1:14" hidden="1" outlineLevel="1">
      <c r="A107" s="197"/>
      <c r="B107" s="207" t="s">
        <v>1062</v>
      </c>
      <c r="C107" s="203" t="str">
        <f t="shared" si="7"/>
        <v/>
      </c>
      <c r="E107" s="199">
        <v>3</v>
      </c>
      <c r="F107" s="200">
        <v>0</v>
      </c>
      <c r="G107" s="208" t="str">
        <f t="shared" si="8"/>
        <v/>
      </c>
      <c r="H107" s="205">
        <f t="shared" si="9"/>
        <v>1.053001053001053E-2</v>
      </c>
      <c r="I107" s="205" t="str">
        <f t="shared" si="10"/>
        <v/>
      </c>
      <c r="J107" s="199">
        <v>45</v>
      </c>
      <c r="K107" s="200">
        <v>0</v>
      </c>
      <c r="L107" s="208" t="str">
        <f t="shared" si="11"/>
        <v/>
      </c>
      <c r="M107" s="205">
        <f t="shared" si="12"/>
        <v>4.0042712226374795E-2</v>
      </c>
      <c r="N107" s="206" t="str">
        <f t="shared" si="13"/>
        <v/>
      </c>
    </row>
    <row r="108" spans="1:14" hidden="1" outlineLevel="1">
      <c r="A108" s="197"/>
      <c r="B108" s="207" t="s">
        <v>814</v>
      </c>
      <c r="C108" s="203">
        <f t="shared" si="7"/>
        <v>15.625</v>
      </c>
      <c r="E108" s="199">
        <v>5</v>
      </c>
      <c r="F108" s="200">
        <v>10</v>
      </c>
      <c r="G108" s="208">
        <f t="shared" si="8"/>
        <v>-50</v>
      </c>
      <c r="H108" s="205">
        <f t="shared" si="9"/>
        <v>1.755001755001755E-2</v>
      </c>
      <c r="I108" s="205">
        <f t="shared" si="10"/>
        <v>3.7860144625752469E-2</v>
      </c>
      <c r="J108" s="199">
        <v>37</v>
      </c>
      <c r="K108" s="200">
        <v>32</v>
      </c>
      <c r="L108" s="208">
        <f t="shared" si="11"/>
        <v>15.625</v>
      </c>
      <c r="M108" s="205">
        <f t="shared" si="12"/>
        <v>3.2924007830574836E-2</v>
      </c>
      <c r="N108" s="206">
        <f t="shared" si="13"/>
        <v>2.7097058275610951E-2</v>
      </c>
    </row>
    <row r="109" spans="1:14" hidden="1" outlineLevel="1">
      <c r="A109" s="197"/>
      <c r="B109" s="207" t="s">
        <v>813</v>
      </c>
      <c r="C109" s="203">
        <f t="shared" si="7"/>
        <v>-2.8571428571428572</v>
      </c>
      <c r="E109" s="199">
        <v>5</v>
      </c>
      <c r="F109" s="200">
        <v>14</v>
      </c>
      <c r="G109" s="208">
        <f t="shared" si="8"/>
        <v>-64.285714285714292</v>
      </c>
      <c r="H109" s="205">
        <f t="shared" si="9"/>
        <v>1.755001755001755E-2</v>
      </c>
      <c r="I109" s="205">
        <f t="shared" si="10"/>
        <v>5.3004202476053454E-2</v>
      </c>
      <c r="J109" s="199">
        <v>34</v>
      </c>
      <c r="K109" s="200">
        <v>35</v>
      </c>
      <c r="L109" s="208">
        <f t="shared" si="11"/>
        <v>-2.8571428571428572</v>
      </c>
      <c r="M109" s="205">
        <f t="shared" si="12"/>
        <v>3.0254493682149851E-2</v>
      </c>
      <c r="N109" s="206">
        <f t="shared" si="13"/>
        <v>2.9637407488949479E-2</v>
      </c>
    </row>
    <row r="110" spans="1:14" hidden="1" outlineLevel="1">
      <c r="A110" s="197"/>
      <c r="B110" s="207" t="s">
        <v>816</v>
      </c>
      <c r="C110" s="203">
        <f t="shared" si="7"/>
        <v>6.25</v>
      </c>
      <c r="E110" s="199">
        <v>3</v>
      </c>
      <c r="F110" s="200">
        <v>8</v>
      </c>
      <c r="G110" s="208">
        <f t="shared" si="8"/>
        <v>-62.5</v>
      </c>
      <c r="H110" s="205">
        <f t="shared" si="9"/>
        <v>1.053001053001053E-2</v>
      </c>
      <c r="I110" s="205">
        <f t="shared" si="10"/>
        <v>3.0288115700601973E-2</v>
      </c>
      <c r="J110" s="199">
        <v>34</v>
      </c>
      <c r="K110" s="200">
        <v>32</v>
      </c>
      <c r="L110" s="208">
        <f t="shared" si="11"/>
        <v>6.25</v>
      </c>
      <c r="M110" s="205">
        <f t="shared" si="12"/>
        <v>3.0254493682149851E-2</v>
      </c>
      <c r="N110" s="206">
        <f t="shared" si="13"/>
        <v>2.7097058275610951E-2</v>
      </c>
    </row>
    <row r="111" spans="1:14" hidden="1" outlineLevel="1">
      <c r="A111" s="197"/>
      <c r="B111" s="207" t="s">
        <v>1207</v>
      </c>
      <c r="C111" s="203" t="str">
        <f t="shared" si="7"/>
        <v/>
      </c>
      <c r="E111" s="199">
        <v>11</v>
      </c>
      <c r="F111" s="200">
        <v>0</v>
      </c>
      <c r="G111" s="208" t="str">
        <f t="shared" si="8"/>
        <v/>
      </c>
      <c r="H111" s="205">
        <f t="shared" si="9"/>
        <v>3.8610038610038609E-2</v>
      </c>
      <c r="I111" s="205" t="str">
        <f t="shared" si="10"/>
        <v/>
      </c>
      <c r="J111" s="199">
        <v>19</v>
      </c>
      <c r="K111" s="200">
        <v>0</v>
      </c>
      <c r="L111" s="208" t="str">
        <f t="shared" si="11"/>
        <v/>
      </c>
      <c r="M111" s="205">
        <f t="shared" si="12"/>
        <v>1.6906922940024917E-2</v>
      </c>
      <c r="N111" s="206" t="str">
        <f t="shared" si="13"/>
        <v/>
      </c>
    </row>
    <row r="112" spans="1:14" hidden="1" outlineLevel="1">
      <c r="A112" s="197"/>
      <c r="B112" s="207" t="s">
        <v>817</v>
      </c>
      <c r="C112" s="203">
        <f t="shared" si="7"/>
        <v>-41.379310344827587</v>
      </c>
      <c r="E112" s="199">
        <v>4</v>
      </c>
      <c r="F112" s="200">
        <v>11</v>
      </c>
      <c r="G112" s="208">
        <f t="shared" si="8"/>
        <v>-63.636363636363633</v>
      </c>
      <c r="H112" s="205">
        <f t="shared" si="9"/>
        <v>1.4040014040014041E-2</v>
      </c>
      <c r="I112" s="205">
        <f t="shared" si="10"/>
        <v>4.1646159088327715E-2</v>
      </c>
      <c r="J112" s="199">
        <v>17</v>
      </c>
      <c r="K112" s="200">
        <v>29</v>
      </c>
      <c r="L112" s="208">
        <f t="shared" si="11"/>
        <v>-41.379310344827587</v>
      </c>
      <c r="M112" s="205">
        <f t="shared" si="12"/>
        <v>1.5127246841074925E-2</v>
      </c>
      <c r="N112" s="206">
        <f t="shared" si="13"/>
        <v>2.4556709062272426E-2</v>
      </c>
    </row>
    <row r="113" spans="1:14" hidden="1" outlineLevel="1">
      <c r="A113" s="197"/>
      <c r="B113" s="207" t="s">
        <v>815</v>
      </c>
      <c r="C113" s="203">
        <f t="shared" si="7"/>
        <v>-72.222222222222214</v>
      </c>
      <c r="E113" s="199">
        <v>5</v>
      </c>
      <c r="F113" s="200">
        <v>6</v>
      </c>
      <c r="G113" s="208">
        <f t="shared" si="8"/>
        <v>-16.666666666666664</v>
      </c>
      <c r="H113" s="205">
        <f t="shared" si="9"/>
        <v>1.755001755001755E-2</v>
      </c>
      <c r="I113" s="205">
        <f t="shared" si="10"/>
        <v>2.2716086775451481E-2</v>
      </c>
      <c r="J113" s="199">
        <v>10</v>
      </c>
      <c r="K113" s="200">
        <v>36</v>
      </c>
      <c r="L113" s="208">
        <f t="shared" si="11"/>
        <v>-72.222222222222214</v>
      </c>
      <c r="M113" s="205">
        <f t="shared" si="12"/>
        <v>8.8983804947499554E-3</v>
      </c>
      <c r="N113" s="206">
        <f t="shared" si="13"/>
        <v>3.0484190560062321E-2</v>
      </c>
    </row>
    <row r="114" spans="1:14" hidden="1" outlineLevel="1">
      <c r="A114" s="197"/>
      <c r="B114" s="207" t="s">
        <v>1144</v>
      </c>
      <c r="C114" s="203">
        <f t="shared" si="7"/>
        <v>-33.333333333333329</v>
      </c>
      <c r="E114" s="199">
        <v>2</v>
      </c>
      <c r="F114" s="200">
        <v>2</v>
      </c>
      <c r="G114" s="208">
        <f t="shared" si="8"/>
        <v>0</v>
      </c>
      <c r="H114" s="205">
        <f t="shared" si="9"/>
        <v>7.0200070200070203E-3</v>
      </c>
      <c r="I114" s="205">
        <f t="shared" si="10"/>
        <v>7.5720289251504933E-3</v>
      </c>
      <c r="J114" s="199">
        <v>4</v>
      </c>
      <c r="K114" s="200">
        <v>6</v>
      </c>
      <c r="L114" s="208">
        <f t="shared" si="11"/>
        <v>-33.333333333333329</v>
      </c>
      <c r="M114" s="205">
        <f t="shared" si="12"/>
        <v>3.559352197899982E-3</v>
      </c>
      <c r="N114" s="206">
        <f t="shared" si="13"/>
        <v>5.0806984266770537E-3</v>
      </c>
    </row>
    <row r="115" spans="1:14" hidden="1" outlineLevel="1">
      <c r="A115" s="197"/>
      <c r="B115" s="207" t="s">
        <v>818</v>
      </c>
      <c r="C115" s="203">
        <f t="shared" si="7"/>
        <v>-60</v>
      </c>
      <c r="E115" s="199">
        <v>0</v>
      </c>
      <c r="F115" s="200">
        <v>4</v>
      </c>
      <c r="G115" s="208">
        <f t="shared" si="8"/>
        <v>-100</v>
      </c>
      <c r="H115" s="205" t="str">
        <f t="shared" si="9"/>
        <v/>
      </c>
      <c r="I115" s="205">
        <f t="shared" si="10"/>
        <v>1.5144057850300987E-2</v>
      </c>
      <c r="J115" s="199">
        <v>4</v>
      </c>
      <c r="K115" s="200">
        <v>10</v>
      </c>
      <c r="L115" s="208">
        <f t="shared" si="11"/>
        <v>-60</v>
      </c>
      <c r="M115" s="205">
        <f t="shared" si="12"/>
        <v>3.559352197899982E-3</v>
      </c>
      <c r="N115" s="206">
        <f t="shared" si="13"/>
        <v>8.4678307111284226E-3</v>
      </c>
    </row>
    <row r="116" spans="1:14" hidden="1" outlineLevel="1">
      <c r="A116" s="197"/>
      <c r="B116" s="207" t="s">
        <v>803</v>
      </c>
      <c r="C116" s="203">
        <f t="shared" si="7"/>
        <v>-99.84362783424551</v>
      </c>
      <c r="E116" s="199">
        <v>0</v>
      </c>
      <c r="F116" s="200">
        <v>108</v>
      </c>
      <c r="G116" s="208">
        <f t="shared" si="8"/>
        <v>-100</v>
      </c>
      <c r="H116" s="205" t="str">
        <f t="shared" si="9"/>
        <v/>
      </c>
      <c r="I116" s="205">
        <f t="shared" si="10"/>
        <v>0.4088895619581267</v>
      </c>
      <c r="J116" s="199">
        <v>2</v>
      </c>
      <c r="K116" s="200">
        <v>1279</v>
      </c>
      <c r="L116" s="208">
        <f t="shared" si="11"/>
        <v>-99.84362783424551</v>
      </c>
      <c r="M116" s="205">
        <f t="shared" si="12"/>
        <v>1.779676098949991E-3</v>
      </c>
      <c r="N116" s="206">
        <f t="shared" si="13"/>
        <v>1.0830355479533254</v>
      </c>
    </row>
    <row r="117" spans="1:14" collapsed="1">
      <c r="A117" s="197" t="s">
        <v>1145</v>
      </c>
      <c r="B117" s="196" t="s">
        <v>397</v>
      </c>
      <c r="C117" s="203">
        <f t="shared" si="7"/>
        <v>-5.3606882859033753</v>
      </c>
      <c r="E117" s="199">
        <v>1276</v>
      </c>
      <c r="F117" s="200">
        <v>1466</v>
      </c>
      <c r="G117" s="208">
        <f t="shared" si="8"/>
        <v>-12.960436562073671</v>
      </c>
      <c r="H117" s="205">
        <f t="shared" si="9"/>
        <v>4.4787644787644787</v>
      </c>
      <c r="I117" s="205">
        <f t="shared" si="10"/>
        <v>5.5502972021353116</v>
      </c>
      <c r="J117" s="199">
        <v>5720</v>
      </c>
      <c r="K117" s="200">
        <v>6044</v>
      </c>
      <c r="L117" s="208">
        <f t="shared" si="11"/>
        <v>-5.3606882859033753</v>
      </c>
      <c r="M117" s="205">
        <f t="shared" si="12"/>
        <v>5.0898736429969746</v>
      </c>
      <c r="N117" s="206">
        <f t="shared" si="13"/>
        <v>5.1179568818060188</v>
      </c>
    </row>
    <row r="118" spans="1:14" hidden="1" outlineLevel="1">
      <c r="A118" s="197"/>
      <c r="B118" s="207" t="s">
        <v>820</v>
      </c>
      <c r="C118" s="203">
        <f t="shared" si="7"/>
        <v>-4.4848484848484844</v>
      </c>
      <c r="E118" s="199">
        <v>137</v>
      </c>
      <c r="F118" s="200">
        <v>221</v>
      </c>
      <c r="G118" s="208">
        <f t="shared" si="8"/>
        <v>-38.009049773755656</v>
      </c>
      <c r="H118" s="205">
        <f t="shared" si="9"/>
        <v>0.48087048087048084</v>
      </c>
      <c r="I118" s="205">
        <f t="shared" si="10"/>
        <v>0.83670919622912954</v>
      </c>
      <c r="J118" s="199">
        <v>788</v>
      </c>
      <c r="K118" s="200">
        <v>825</v>
      </c>
      <c r="L118" s="208">
        <f t="shared" si="11"/>
        <v>-4.4848484848484844</v>
      </c>
      <c r="M118" s="205">
        <f t="shared" si="12"/>
        <v>0.70119238298629649</v>
      </c>
      <c r="N118" s="206">
        <f t="shared" si="13"/>
        <v>0.69859603366809486</v>
      </c>
    </row>
    <row r="119" spans="1:14" hidden="1" outlineLevel="1">
      <c r="A119" s="197"/>
      <c r="B119" s="207" t="s">
        <v>819</v>
      </c>
      <c r="C119" s="203">
        <f t="shared" si="7"/>
        <v>-24.656084656084655</v>
      </c>
      <c r="E119" s="199">
        <v>160</v>
      </c>
      <c r="F119" s="200">
        <v>205</v>
      </c>
      <c r="G119" s="208">
        <f t="shared" si="8"/>
        <v>-21.951219512195124</v>
      </c>
      <c r="H119" s="205">
        <f t="shared" si="9"/>
        <v>0.5616005616005616</v>
      </c>
      <c r="I119" s="205">
        <f t="shared" si="10"/>
        <v>0.77613296482792571</v>
      </c>
      <c r="J119" s="199">
        <v>712</v>
      </c>
      <c r="K119" s="200">
        <v>945</v>
      </c>
      <c r="L119" s="208">
        <f t="shared" si="11"/>
        <v>-24.656084656084655</v>
      </c>
      <c r="M119" s="205">
        <f t="shared" si="12"/>
        <v>0.63356469122619685</v>
      </c>
      <c r="N119" s="206">
        <f t="shared" si="13"/>
        <v>0.80021000220163585</v>
      </c>
    </row>
    <row r="120" spans="1:14" hidden="1" outlineLevel="1">
      <c r="A120" s="197"/>
      <c r="B120" s="207" t="s">
        <v>822</v>
      </c>
      <c r="C120" s="203">
        <f t="shared" si="7"/>
        <v>3.6184210526315792</v>
      </c>
      <c r="E120" s="199">
        <v>151</v>
      </c>
      <c r="F120" s="200">
        <v>173</v>
      </c>
      <c r="G120" s="208">
        <f t="shared" si="8"/>
        <v>-12.716763005780345</v>
      </c>
      <c r="H120" s="205">
        <f t="shared" si="9"/>
        <v>0.53001053001053</v>
      </c>
      <c r="I120" s="205">
        <f t="shared" si="10"/>
        <v>0.65498050202551772</v>
      </c>
      <c r="J120" s="199">
        <v>630</v>
      </c>
      <c r="K120" s="200">
        <v>608</v>
      </c>
      <c r="L120" s="208">
        <f t="shared" si="11"/>
        <v>3.6184210526315792</v>
      </c>
      <c r="M120" s="205">
        <f t="shared" si="12"/>
        <v>0.56059797116924714</v>
      </c>
      <c r="N120" s="206">
        <f t="shared" si="13"/>
        <v>0.51484410723660812</v>
      </c>
    </row>
    <row r="121" spans="1:14" hidden="1" outlineLevel="1">
      <c r="A121" s="197"/>
      <c r="B121" s="207" t="s">
        <v>824</v>
      </c>
      <c r="C121" s="203">
        <f t="shared" si="7"/>
        <v>18.872549019607842</v>
      </c>
      <c r="E121" s="199">
        <v>101</v>
      </c>
      <c r="F121" s="200">
        <v>50</v>
      </c>
      <c r="G121" s="208">
        <f t="shared" si="8"/>
        <v>102</v>
      </c>
      <c r="H121" s="205">
        <f t="shared" si="9"/>
        <v>0.35451035451035451</v>
      </c>
      <c r="I121" s="205">
        <f t="shared" si="10"/>
        <v>0.18930072312876237</v>
      </c>
      <c r="J121" s="199">
        <v>485</v>
      </c>
      <c r="K121" s="200">
        <v>408</v>
      </c>
      <c r="L121" s="208">
        <f t="shared" si="11"/>
        <v>18.872549019607842</v>
      </c>
      <c r="M121" s="205">
        <f t="shared" si="12"/>
        <v>0.43157145399537283</v>
      </c>
      <c r="N121" s="206">
        <f t="shared" si="13"/>
        <v>0.34548749301403969</v>
      </c>
    </row>
    <row r="122" spans="1:14" hidden="1" outlineLevel="1">
      <c r="A122" s="197"/>
      <c r="B122" s="207" t="s">
        <v>825</v>
      </c>
      <c r="C122" s="203">
        <f t="shared" si="7"/>
        <v>150.54347826086956</v>
      </c>
      <c r="E122" s="199">
        <v>74</v>
      </c>
      <c r="F122" s="200">
        <v>120</v>
      </c>
      <c r="G122" s="208">
        <f t="shared" si="8"/>
        <v>-38.333333333333336</v>
      </c>
      <c r="H122" s="205">
        <f t="shared" si="9"/>
        <v>0.25974025974025972</v>
      </c>
      <c r="I122" s="205">
        <f t="shared" si="10"/>
        <v>0.4543217355090296</v>
      </c>
      <c r="J122" s="199">
        <v>461</v>
      </c>
      <c r="K122" s="200">
        <v>184</v>
      </c>
      <c r="L122" s="208">
        <f t="shared" si="11"/>
        <v>150.54347826086956</v>
      </c>
      <c r="M122" s="205">
        <f t="shared" si="12"/>
        <v>0.41021534080797295</v>
      </c>
      <c r="N122" s="206">
        <f t="shared" si="13"/>
        <v>0.15580808508476299</v>
      </c>
    </row>
    <row r="123" spans="1:14" hidden="1" outlineLevel="1">
      <c r="A123" s="197"/>
      <c r="B123" s="207" t="s">
        <v>830</v>
      </c>
      <c r="C123" s="203">
        <f t="shared" si="7"/>
        <v>58.937198067632849</v>
      </c>
      <c r="E123" s="199">
        <v>90</v>
      </c>
      <c r="F123" s="200">
        <v>35</v>
      </c>
      <c r="G123" s="208">
        <f t="shared" si="8"/>
        <v>157.14285714285714</v>
      </c>
      <c r="H123" s="205">
        <f t="shared" si="9"/>
        <v>0.31590031590031586</v>
      </c>
      <c r="I123" s="205">
        <f t="shared" si="10"/>
        <v>0.13251050619013366</v>
      </c>
      <c r="J123" s="199">
        <v>329</v>
      </c>
      <c r="K123" s="200">
        <v>207</v>
      </c>
      <c r="L123" s="208">
        <f t="shared" si="11"/>
        <v>58.937198067632849</v>
      </c>
      <c r="M123" s="205">
        <f t="shared" si="12"/>
        <v>0.29275671827727351</v>
      </c>
      <c r="N123" s="206">
        <f t="shared" si="13"/>
        <v>0.17528409572035836</v>
      </c>
    </row>
    <row r="124" spans="1:14" hidden="1" outlineLevel="1">
      <c r="A124" s="197"/>
      <c r="B124" s="207" t="s">
        <v>823</v>
      </c>
      <c r="C124" s="203">
        <f t="shared" si="7"/>
        <v>-46.610169491525419</v>
      </c>
      <c r="E124" s="199">
        <v>65</v>
      </c>
      <c r="F124" s="200">
        <v>77</v>
      </c>
      <c r="G124" s="208">
        <f t="shared" si="8"/>
        <v>-15.584415584415584</v>
      </c>
      <c r="H124" s="205">
        <f t="shared" si="9"/>
        <v>0.22815022815022815</v>
      </c>
      <c r="I124" s="205">
        <f t="shared" si="10"/>
        <v>0.29152311361829403</v>
      </c>
      <c r="J124" s="199">
        <v>315</v>
      </c>
      <c r="K124" s="200">
        <v>590</v>
      </c>
      <c r="L124" s="208">
        <f t="shared" si="11"/>
        <v>-46.610169491525419</v>
      </c>
      <c r="M124" s="205">
        <f t="shared" si="12"/>
        <v>0.28029898558462357</v>
      </c>
      <c r="N124" s="206">
        <f t="shared" si="13"/>
        <v>0.499602011956577</v>
      </c>
    </row>
    <row r="125" spans="1:14" hidden="1" outlineLevel="1">
      <c r="A125" s="197"/>
      <c r="B125" s="207" t="s">
        <v>826</v>
      </c>
      <c r="C125" s="203">
        <f t="shared" si="7"/>
        <v>36.274509803921568</v>
      </c>
      <c r="E125" s="199">
        <v>57</v>
      </c>
      <c r="F125" s="200">
        <v>56</v>
      </c>
      <c r="G125" s="208">
        <f t="shared" si="8"/>
        <v>1.7857142857142856</v>
      </c>
      <c r="H125" s="205">
        <f t="shared" si="9"/>
        <v>0.20007020007020004</v>
      </c>
      <c r="I125" s="205">
        <f t="shared" si="10"/>
        <v>0.21201680990421382</v>
      </c>
      <c r="J125" s="199">
        <v>278</v>
      </c>
      <c r="K125" s="200">
        <v>204</v>
      </c>
      <c r="L125" s="208">
        <f t="shared" si="11"/>
        <v>36.274509803921568</v>
      </c>
      <c r="M125" s="205">
        <f t="shared" si="12"/>
        <v>0.24737497775404876</v>
      </c>
      <c r="N125" s="206">
        <f t="shared" si="13"/>
        <v>0.17274374650701985</v>
      </c>
    </row>
    <row r="126" spans="1:14" hidden="1" outlineLevel="1">
      <c r="A126" s="197"/>
      <c r="B126" s="207" t="s">
        <v>821</v>
      </c>
      <c r="C126" s="203">
        <f t="shared" si="7"/>
        <v>-55.769230769230774</v>
      </c>
      <c r="E126" s="199">
        <v>99</v>
      </c>
      <c r="F126" s="200">
        <v>179</v>
      </c>
      <c r="G126" s="208">
        <f t="shared" si="8"/>
        <v>-44.692737430167597</v>
      </c>
      <c r="H126" s="205">
        <f t="shared" si="9"/>
        <v>0.34749034749034746</v>
      </c>
      <c r="I126" s="205">
        <f t="shared" si="10"/>
        <v>0.67769658880096917</v>
      </c>
      <c r="J126" s="199">
        <v>253</v>
      </c>
      <c r="K126" s="200">
        <v>572</v>
      </c>
      <c r="L126" s="208">
        <f t="shared" si="11"/>
        <v>-55.769230769230774</v>
      </c>
      <c r="M126" s="205">
        <f t="shared" si="12"/>
        <v>0.22512902651717387</v>
      </c>
      <c r="N126" s="206">
        <f t="shared" si="13"/>
        <v>0.48435991667654577</v>
      </c>
    </row>
    <row r="127" spans="1:14" hidden="1" outlineLevel="1">
      <c r="A127" s="197"/>
      <c r="B127" s="207" t="s">
        <v>827</v>
      </c>
      <c r="C127" s="203">
        <f t="shared" si="7"/>
        <v>-5.343511450381679</v>
      </c>
      <c r="E127" s="199">
        <v>65</v>
      </c>
      <c r="F127" s="200">
        <v>45</v>
      </c>
      <c r="G127" s="208">
        <f t="shared" si="8"/>
        <v>44.444444444444443</v>
      </c>
      <c r="H127" s="205">
        <f t="shared" si="9"/>
        <v>0.22815022815022815</v>
      </c>
      <c r="I127" s="205">
        <f t="shared" si="10"/>
        <v>0.17037065081588612</v>
      </c>
      <c r="J127" s="199">
        <v>248</v>
      </c>
      <c r="K127" s="200">
        <v>262</v>
      </c>
      <c r="L127" s="208">
        <f t="shared" si="11"/>
        <v>-5.343511450381679</v>
      </c>
      <c r="M127" s="205">
        <f t="shared" si="12"/>
        <v>0.22067983626979892</v>
      </c>
      <c r="N127" s="206">
        <f t="shared" si="13"/>
        <v>0.22185716463156469</v>
      </c>
    </row>
    <row r="128" spans="1:14" hidden="1" outlineLevel="1">
      <c r="A128" s="197"/>
      <c r="B128" s="207" t="s">
        <v>831</v>
      </c>
      <c r="C128" s="203">
        <f t="shared" si="7"/>
        <v>47.586206896551722</v>
      </c>
      <c r="E128" s="199">
        <v>73</v>
      </c>
      <c r="F128" s="200">
        <v>42</v>
      </c>
      <c r="G128" s="208">
        <f t="shared" si="8"/>
        <v>73.80952380952381</v>
      </c>
      <c r="H128" s="205">
        <f t="shared" si="9"/>
        <v>0.25623025623025625</v>
      </c>
      <c r="I128" s="205">
        <f t="shared" si="10"/>
        <v>0.15901260742816037</v>
      </c>
      <c r="J128" s="199">
        <v>214</v>
      </c>
      <c r="K128" s="200">
        <v>145</v>
      </c>
      <c r="L128" s="208">
        <f t="shared" si="11"/>
        <v>47.586206896551722</v>
      </c>
      <c r="M128" s="205">
        <f t="shared" si="12"/>
        <v>0.19042534258764904</v>
      </c>
      <c r="N128" s="206">
        <f t="shared" si="13"/>
        <v>0.12278354531136212</v>
      </c>
    </row>
    <row r="129" spans="1:14" hidden="1" outlineLevel="1">
      <c r="A129" s="197"/>
      <c r="B129" s="207" t="s">
        <v>828</v>
      </c>
      <c r="C129" s="203">
        <f t="shared" si="7"/>
        <v>-5.0458715596330279</v>
      </c>
      <c r="E129" s="199">
        <v>29</v>
      </c>
      <c r="F129" s="200">
        <v>63</v>
      </c>
      <c r="G129" s="208">
        <f t="shared" si="8"/>
        <v>-53.968253968253968</v>
      </c>
      <c r="H129" s="205">
        <f t="shared" si="9"/>
        <v>0.1017901017901018</v>
      </c>
      <c r="I129" s="205">
        <f t="shared" si="10"/>
        <v>0.23851891114224058</v>
      </c>
      <c r="J129" s="199">
        <v>207</v>
      </c>
      <c r="K129" s="200">
        <v>218</v>
      </c>
      <c r="L129" s="208">
        <f t="shared" si="11"/>
        <v>-5.0458715596330279</v>
      </c>
      <c r="M129" s="205">
        <f t="shared" si="12"/>
        <v>0.18419647624132407</v>
      </c>
      <c r="N129" s="206">
        <f t="shared" si="13"/>
        <v>0.18459870950259963</v>
      </c>
    </row>
    <row r="130" spans="1:14" hidden="1" outlineLevel="1">
      <c r="A130" s="197"/>
      <c r="B130" s="207" t="s">
        <v>829</v>
      </c>
      <c r="C130" s="203">
        <f t="shared" si="7"/>
        <v>-19.565217391304348</v>
      </c>
      <c r="E130" s="199">
        <v>41</v>
      </c>
      <c r="F130" s="200">
        <v>77</v>
      </c>
      <c r="G130" s="208">
        <f t="shared" si="8"/>
        <v>-46.753246753246749</v>
      </c>
      <c r="H130" s="205">
        <f t="shared" si="9"/>
        <v>0.14391014391014392</v>
      </c>
      <c r="I130" s="205">
        <f t="shared" si="10"/>
        <v>0.29152311361829403</v>
      </c>
      <c r="J130" s="199">
        <v>185</v>
      </c>
      <c r="K130" s="200">
        <v>230</v>
      </c>
      <c r="L130" s="208">
        <f t="shared" si="11"/>
        <v>-19.565217391304348</v>
      </c>
      <c r="M130" s="205">
        <f t="shared" si="12"/>
        <v>0.16462003915287418</v>
      </c>
      <c r="N130" s="206">
        <f t="shared" si="13"/>
        <v>0.19476010635595373</v>
      </c>
    </row>
    <row r="131" spans="1:14" hidden="1" outlineLevel="1">
      <c r="A131" s="197"/>
      <c r="B131" s="207" t="s">
        <v>833</v>
      </c>
      <c r="C131" s="203">
        <f t="shared" si="7"/>
        <v>0.90909090909090906</v>
      </c>
      <c r="E131" s="199">
        <v>30</v>
      </c>
      <c r="F131" s="200">
        <v>16</v>
      </c>
      <c r="G131" s="208">
        <f t="shared" si="8"/>
        <v>87.5</v>
      </c>
      <c r="H131" s="205">
        <f t="shared" si="9"/>
        <v>0.10530010530010531</v>
      </c>
      <c r="I131" s="205">
        <f t="shared" si="10"/>
        <v>6.0576231401203946E-2</v>
      </c>
      <c r="J131" s="199">
        <v>111</v>
      </c>
      <c r="K131" s="200">
        <v>110</v>
      </c>
      <c r="L131" s="208">
        <f t="shared" si="11"/>
        <v>0.90909090909090906</v>
      </c>
      <c r="M131" s="205">
        <f t="shared" si="12"/>
        <v>9.8772023491724509E-2</v>
      </c>
      <c r="N131" s="206">
        <f t="shared" si="13"/>
        <v>9.3146137822412656E-2</v>
      </c>
    </row>
    <row r="132" spans="1:14" hidden="1" outlineLevel="1">
      <c r="A132" s="197"/>
      <c r="B132" s="207" t="s">
        <v>834</v>
      </c>
      <c r="C132" s="203">
        <f t="shared" si="7"/>
        <v>-1.1363636363636365</v>
      </c>
      <c r="E132" s="199">
        <v>14</v>
      </c>
      <c r="F132" s="200">
        <v>23</v>
      </c>
      <c r="G132" s="208">
        <f t="shared" si="8"/>
        <v>-39.130434782608695</v>
      </c>
      <c r="H132" s="205">
        <f t="shared" si="9"/>
        <v>4.9140049140049137E-2</v>
      </c>
      <c r="I132" s="205">
        <f t="shared" si="10"/>
        <v>8.7078332639230677E-2</v>
      </c>
      <c r="J132" s="199">
        <v>87</v>
      </c>
      <c r="K132" s="200">
        <v>88</v>
      </c>
      <c r="L132" s="208">
        <f t="shared" si="11"/>
        <v>-1.1363636363636365</v>
      </c>
      <c r="M132" s="205">
        <f t="shared" si="12"/>
        <v>7.7415910304324612E-2</v>
      </c>
      <c r="N132" s="206">
        <f t="shared" si="13"/>
        <v>7.4516910257930127E-2</v>
      </c>
    </row>
    <row r="133" spans="1:14" hidden="1" outlineLevel="1">
      <c r="A133" s="197"/>
      <c r="B133" s="207" t="s">
        <v>835</v>
      </c>
      <c r="C133" s="203">
        <f t="shared" si="7"/>
        <v>3.8961038961038961</v>
      </c>
      <c r="E133" s="199">
        <v>24</v>
      </c>
      <c r="F133" s="200">
        <v>18</v>
      </c>
      <c r="G133" s="208">
        <f t="shared" si="8"/>
        <v>33.333333333333329</v>
      </c>
      <c r="H133" s="205">
        <f t="shared" si="9"/>
        <v>8.4240084240084237E-2</v>
      </c>
      <c r="I133" s="205">
        <f t="shared" si="10"/>
        <v>6.8148260326354446E-2</v>
      </c>
      <c r="J133" s="199">
        <v>80</v>
      </c>
      <c r="K133" s="200">
        <v>77</v>
      </c>
      <c r="L133" s="208">
        <f t="shared" si="11"/>
        <v>3.8961038961038961</v>
      </c>
      <c r="M133" s="205">
        <f t="shared" si="12"/>
        <v>7.1187043957999643E-2</v>
      </c>
      <c r="N133" s="206">
        <f t="shared" si="13"/>
        <v>6.5202296475688856E-2</v>
      </c>
    </row>
    <row r="134" spans="1:14" hidden="1" outlineLevel="1">
      <c r="A134" s="197"/>
      <c r="B134" s="207" t="s">
        <v>837</v>
      </c>
      <c r="C134" s="203">
        <f t="shared" si="7"/>
        <v>8.1967213114754092</v>
      </c>
      <c r="E134" s="199">
        <v>12</v>
      </c>
      <c r="F134" s="200">
        <v>6</v>
      </c>
      <c r="G134" s="208">
        <f t="shared" si="8"/>
        <v>100</v>
      </c>
      <c r="H134" s="205">
        <f t="shared" si="9"/>
        <v>4.2120042120042119E-2</v>
      </c>
      <c r="I134" s="205">
        <f t="shared" si="10"/>
        <v>2.2716086775451481E-2</v>
      </c>
      <c r="J134" s="199">
        <v>66</v>
      </c>
      <c r="K134" s="200">
        <v>61</v>
      </c>
      <c r="L134" s="208">
        <f t="shared" si="11"/>
        <v>8.1967213114754092</v>
      </c>
      <c r="M134" s="205">
        <f t="shared" si="12"/>
        <v>5.8729311265349714E-2</v>
      </c>
      <c r="N134" s="206">
        <f t="shared" si="13"/>
        <v>5.1653767337883377E-2</v>
      </c>
    </row>
    <row r="135" spans="1:14" hidden="1" outlineLevel="1">
      <c r="A135" s="197"/>
      <c r="B135" s="207" t="s">
        <v>839</v>
      </c>
      <c r="C135" s="203">
        <f t="shared" si="7"/>
        <v>90.909090909090907</v>
      </c>
      <c r="E135" s="199">
        <v>9</v>
      </c>
      <c r="F135" s="200">
        <v>7</v>
      </c>
      <c r="G135" s="208">
        <f t="shared" si="8"/>
        <v>28.571428571428569</v>
      </c>
      <c r="H135" s="205">
        <f t="shared" si="9"/>
        <v>3.1590031590031591E-2</v>
      </c>
      <c r="I135" s="205">
        <f t="shared" si="10"/>
        <v>2.6502101238026727E-2</v>
      </c>
      <c r="J135" s="199">
        <v>63</v>
      </c>
      <c r="K135" s="200">
        <v>33</v>
      </c>
      <c r="L135" s="208">
        <f t="shared" si="11"/>
        <v>90.909090909090907</v>
      </c>
      <c r="M135" s="205">
        <f t="shared" si="12"/>
        <v>5.6059797116924714E-2</v>
      </c>
      <c r="N135" s="206">
        <f t="shared" si="13"/>
        <v>2.7943841346723796E-2</v>
      </c>
    </row>
    <row r="136" spans="1:14" hidden="1" outlineLevel="1">
      <c r="A136" s="197"/>
      <c r="B136" s="207" t="s">
        <v>842</v>
      </c>
      <c r="C136" s="203">
        <f t="shared" si="7"/>
        <v>1050</v>
      </c>
      <c r="E136" s="199">
        <v>12</v>
      </c>
      <c r="F136" s="200">
        <v>0</v>
      </c>
      <c r="G136" s="208" t="str">
        <f t="shared" si="8"/>
        <v/>
      </c>
      <c r="H136" s="205">
        <f t="shared" si="9"/>
        <v>4.2120042120042119E-2</v>
      </c>
      <c r="I136" s="205" t="str">
        <f t="shared" si="10"/>
        <v/>
      </c>
      <c r="J136" s="199">
        <v>46</v>
      </c>
      <c r="K136" s="200">
        <v>4</v>
      </c>
      <c r="L136" s="208">
        <f t="shared" si="11"/>
        <v>1050</v>
      </c>
      <c r="M136" s="205">
        <f t="shared" si="12"/>
        <v>4.0932550275849799E-2</v>
      </c>
      <c r="N136" s="206">
        <f t="shared" si="13"/>
        <v>3.3871322844513689E-3</v>
      </c>
    </row>
    <row r="137" spans="1:14" hidden="1" outlineLevel="1">
      <c r="A137" s="197"/>
      <c r="B137" s="207" t="s">
        <v>838</v>
      </c>
      <c r="C137" s="203">
        <f t="shared" si="7"/>
        <v>20.588235294117645</v>
      </c>
      <c r="E137" s="199">
        <v>12</v>
      </c>
      <c r="F137" s="200">
        <v>14</v>
      </c>
      <c r="G137" s="208">
        <f t="shared" si="8"/>
        <v>-14.285714285714285</v>
      </c>
      <c r="H137" s="205">
        <f t="shared" si="9"/>
        <v>4.2120042120042119E-2</v>
      </c>
      <c r="I137" s="205">
        <f t="shared" si="10"/>
        <v>5.3004202476053454E-2</v>
      </c>
      <c r="J137" s="199">
        <v>41</v>
      </c>
      <c r="K137" s="200">
        <v>34</v>
      </c>
      <c r="L137" s="208">
        <f t="shared" si="11"/>
        <v>20.588235294117645</v>
      </c>
      <c r="M137" s="205">
        <f t="shared" si="12"/>
        <v>3.6483360028474819E-2</v>
      </c>
      <c r="N137" s="206">
        <f t="shared" si="13"/>
        <v>2.8790624417836638E-2</v>
      </c>
    </row>
    <row r="138" spans="1:14" hidden="1" outlineLevel="1">
      <c r="A138" s="197"/>
      <c r="B138" s="207" t="s">
        <v>841</v>
      </c>
      <c r="C138" s="203">
        <f t="shared" ref="C138:C201" si="14">IF(K138=0,"",SUM(((J138-K138)/K138)*100))</f>
        <v>81.818181818181827</v>
      </c>
      <c r="E138" s="199">
        <v>6</v>
      </c>
      <c r="F138" s="200">
        <v>4</v>
      </c>
      <c r="G138" s="208">
        <f t="shared" ref="G138:G201" si="15">IF(F138=0,"",SUM(((E138-F138)/F138)*100))</f>
        <v>50</v>
      </c>
      <c r="H138" s="205">
        <f t="shared" ref="H138:H201" si="16">IF(E138=0,"",SUM((E138/CntPeriod)*100))</f>
        <v>2.1060021060021059E-2</v>
      </c>
      <c r="I138" s="205">
        <f t="shared" ref="I138:I201" si="17">IF(F138=0,"",SUM((F138/CntPeriodPrevYear)*100))</f>
        <v>1.5144057850300987E-2</v>
      </c>
      <c r="J138" s="199">
        <v>40</v>
      </c>
      <c r="K138" s="200">
        <v>22</v>
      </c>
      <c r="L138" s="208">
        <f t="shared" ref="L138:L201" si="18">IF(K138=0,"",SUM(((J138-K138)/K138)*100))</f>
        <v>81.818181818181827</v>
      </c>
      <c r="M138" s="205">
        <f t="shared" ref="M138:M201" si="19">IF(J138=0,"",SUM((J138/CntYearAck)*100))</f>
        <v>3.5593521978999822E-2</v>
      </c>
      <c r="N138" s="206">
        <f t="shared" ref="N138:N201" si="20">IF(K138=0,"",SUM((K138/CntPrevYearAck)*100))</f>
        <v>1.8629227564482532E-2</v>
      </c>
    </row>
    <row r="139" spans="1:14" hidden="1" outlineLevel="1">
      <c r="A139" s="197"/>
      <c r="B139" s="207" t="s">
        <v>832</v>
      </c>
      <c r="C139" s="203">
        <f t="shared" si="14"/>
        <v>-75.630252100840337</v>
      </c>
      <c r="E139" s="199">
        <v>9</v>
      </c>
      <c r="F139" s="200">
        <v>21</v>
      </c>
      <c r="G139" s="208">
        <f t="shared" si="15"/>
        <v>-57.142857142857139</v>
      </c>
      <c r="H139" s="205">
        <f t="shared" si="16"/>
        <v>3.1590031590031591E-2</v>
      </c>
      <c r="I139" s="205">
        <f t="shared" si="17"/>
        <v>7.9506303714080184E-2</v>
      </c>
      <c r="J139" s="199">
        <v>29</v>
      </c>
      <c r="K139" s="200">
        <v>119</v>
      </c>
      <c r="L139" s="208">
        <f t="shared" si="18"/>
        <v>-75.630252100840337</v>
      </c>
      <c r="M139" s="205">
        <f t="shared" si="19"/>
        <v>2.5805303434774871E-2</v>
      </c>
      <c r="N139" s="206">
        <f t="shared" si="20"/>
        <v>0.10076718546242823</v>
      </c>
    </row>
    <row r="140" spans="1:14" hidden="1" outlineLevel="1">
      <c r="A140" s="197"/>
      <c r="B140" s="207" t="s">
        <v>836</v>
      </c>
      <c r="C140" s="203">
        <f t="shared" si="14"/>
        <v>-72.727272727272734</v>
      </c>
      <c r="E140" s="199">
        <v>2</v>
      </c>
      <c r="F140" s="200">
        <v>10</v>
      </c>
      <c r="G140" s="208">
        <f t="shared" si="15"/>
        <v>-80</v>
      </c>
      <c r="H140" s="205">
        <f t="shared" si="16"/>
        <v>7.0200070200070203E-3</v>
      </c>
      <c r="I140" s="205">
        <f t="shared" si="17"/>
        <v>3.7860144625752469E-2</v>
      </c>
      <c r="J140" s="199">
        <v>21</v>
      </c>
      <c r="K140" s="200">
        <v>77</v>
      </c>
      <c r="L140" s="208">
        <f t="shared" si="18"/>
        <v>-72.727272727272734</v>
      </c>
      <c r="M140" s="205">
        <f t="shared" si="19"/>
        <v>1.8686599038974905E-2</v>
      </c>
      <c r="N140" s="206">
        <f t="shared" si="20"/>
        <v>6.5202296475688856E-2</v>
      </c>
    </row>
    <row r="141" spans="1:14" hidden="1" outlineLevel="1">
      <c r="A141" s="197"/>
      <c r="B141" s="207" t="s">
        <v>840</v>
      </c>
      <c r="C141" s="203">
        <f t="shared" si="14"/>
        <v>-23.809523809523807</v>
      </c>
      <c r="E141" s="199">
        <v>2</v>
      </c>
      <c r="F141" s="200">
        <v>4</v>
      </c>
      <c r="G141" s="208">
        <f t="shared" si="15"/>
        <v>-50</v>
      </c>
      <c r="H141" s="205">
        <f t="shared" si="16"/>
        <v>7.0200070200070203E-3</v>
      </c>
      <c r="I141" s="205">
        <f t="shared" si="17"/>
        <v>1.5144057850300987E-2</v>
      </c>
      <c r="J141" s="199">
        <v>16</v>
      </c>
      <c r="K141" s="200">
        <v>21</v>
      </c>
      <c r="L141" s="208">
        <f t="shared" si="18"/>
        <v>-23.809523809523807</v>
      </c>
      <c r="M141" s="205">
        <f t="shared" si="19"/>
        <v>1.4237408791599928E-2</v>
      </c>
      <c r="N141" s="206">
        <f t="shared" si="20"/>
        <v>1.7782444493369687E-2</v>
      </c>
    </row>
    <row r="142" spans="1:14" hidden="1" outlineLevel="1">
      <c r="A142" s="197"/>
      <c r="B142" s="207" t="s">
        <v>1016</v>
      </c>
      <c r="C142" s="203" t="str">
        <f t="shared" si="14"/>
        <v/>
      </c>
      <c r="E142" s="199">
        <v>2</v>
      </c>
      <c r="F142" s="200">
        <v>0</v>
      </c>
      <c r="G142" s="208" t="str">
        <f t="shared" si="15"/>
        <v/>
      </c>
      <c r="H142" s="205">
        <f t="shared" si="16"/>
        <v>7.0200070200070203E-3</v>
      </c>
      <c r="I142" s="205" t="str">
        <f t="shared" si="17"/>
        <v/>
      </c>
      <c r="J142" s="199">
        <v>15</v>
      </c>
      <c r="K142" s="200">
        <v>0</v>
      </c>
      <c r="L142" s="208" t="str">
        <f t="shared" si="18"/>
        <v/>
      </c>
      <c r="M142" s="205">
        <f t="shared" si="19"/>
        <v>1.3347570742124932E-2</v>
      </c>
      <c r="N142" s="206" t="str">
        <f t="shared" si="20"/>
        <v/>
      </c>
    </row>
    <row r="143" spans="1:14" collapsed="1">
      <c r="A143" s="197" t="s">
        <v>1251</v>
      </c>
      <c r="B143" s="196" t="s">
        <v>297</v>
      </c>
      <c r="C143" s="203">
        <f t="shared" si="14"/>
        <v>13.599821348816436</v>
      </c>
      <c r="E143" s="199">
        <v>1437</v>
      </c>
      <c r="F143" s="200">
        <v>1040</v>
      </c>
      <c r="G143" s="208">
        <f t="shared" si="15"/>
        <v>38.17307692307692</v>
      </c>
      <c r="H143" s="205">
        <f t="shared" si="16"/>
        <v>5.0438750438750439</v>
      </c>
      <c r="I143" s="205">
        <f t="shared" si="17"/>
        <v>3.9374550410782567</v>
      </c>
      <c r="J143" s="199">
        <v>5087</v>
      </c>
      <c r="K143" s="200">
        <v>4478</v>
      </c>
      <c r="L143" s="208">
        <f t="shared" si="18"/>
        <v>13.599821348816436</v>
      </c>
      <c r="M143" s="205">
        <f t="shared" si="19"/>
        <v>4.5266061576793026</v>
      </c>
      <c r="N143" s="206">
        <f t="shared" si="20"/>
        <v>3.7918945924433083</v>
      </c>
    </row>
    <row r="144" spans="1:14" hidden="1" outlineLevel="1">
      <c r="A144" s="197"/>
      <c r="B144" s="207" t="s">
        <v>863</v>
      </c>
      <c r="C144" s="203">
        <f t="shared" si="14"/>
        <v>40.756302521008401</v>
      </c>
      <c r="E144" s="199">
        <v>518</v>
      </c>
      <c r="F144" s="200">
        <v>391</v>
      </c>
      <c r="G144" s="208">
        <f t="shared" si="15"/>
        <v>32.48081841432225</v>
      </c>
      <c r="H144" s="205">
        <f t="shared" si="16"/>
        <v>1.8181818181818181</v>
      </c>
      <c r="I144" s="205">
        <f t="shared" si="17"/>
        <v>1.4803316548669216</v>
      </c>
      <c r="J144" s="199">
        <v>1675</v>
      </c>
      <c r="K144" s="200">
        <v>1190</v>
      </c>
      <c r="L144" s="208">
        <f t="shared" si="18"/>
        <v>40.756302521008401</v>
      </c>
      <c r="M144" s="205">
        <f t="shared" si="19"/>
        <v>1.4904787328706175</v>
      </c>
      <c r="N144" s="206">
        <f t="shared" si="20"/>
        <v>1.0076718546242824</v>
      </c>
    </row>
    <row r="145" spans="1:14" hidden="1" outlineLevel="1">
      <c r="A145" s="197"/>
      <c r="B145" s="207" t="s">
        <v>864</v>
      </c>
      <c r="C145" s="203">
        <f t="shared" si="14"/>
        <v>0.62305295950155759</v>
      </c>
      <c r="E145" s="199">
        <v>298</v>
      </c>
      <c r="F145" s="200">
        <v>140</v>
      </c>
      <c r="G145" s="208">
        <f t="shared" si="15"/>
        <v>112.85714285714286</v>
      </c>
      <c r="H145" s="205">
        <f t="shared" si="16"/>
        <v>1.0459810459810461</v>
      </c>
      <c r="I145" s="205">
        <f t="shared" si="17"/>
        <v>0.53004202476053464</v>
      </c>
      <c r="J145" s="199">
        <v>969</v>
      </c>
      <c r="K145" s="200">
        <v>963</v>
      </c>
      <c r="L145" s="208">
        <f t="shared" si="18"/>
        <v>0.62305295950155759</v>
      </c>
      <c r="M145" s="205">
        <f t="shared" si="19"/>
        <v>0.8622530699412706</v>
      </c>
      <c r="N145" s="206">
        <f t="shared" si="20"/>
        <v>0.81545209748166725</v>
      </c>
    </row>
    <row r="146" spans="1:14" hidden="1" outlineLevel="1">
      <c r="A146" s="197"/>
      <c r="B146" s="207" t="s">
        <v>865</v>
      </c>
      <c r="C146" s="203">
        <f t="shared" si="14"/>
        <v>-20.107238605898122</v>
      </c>
      <c r="E146" s="199">
        <v>150</v>
      </c>
      <c r="F146" s="200">
        <v>198</v>
      </c>
      <c r="G146" s="208">
        <f t="shared" si="15"/>
        <v>-24.242424242424242</v>
      </c>
      <c r="H146" s="205">
        <f t="shared" si="16"/>
        <v>0.52650052650052648</v>
      </c>
      <c r="I146" s="205">
        <f t="shared" si="17"/>
        <v>0.74963086358989894</v>
      </c>
      <c r="J146" s="199">
        <v>596</v>
      </c>
      <c r="K146" s="200">
        <v>746</v>
      </c>
      <c r="L146" s="208">
        <f t="shared" si="18"/>
        <v>-20.107238605898122</v>
      </c>
      <c r="M146" s="205">
        <f t="shared" si="19"/>
        <v>0.53034347748709743</v>
      </c>
      <c r="N146" s="206">
        <f t="shared" si="20"/>
        <v>0.63170017105018028</v>
      </c>
    </row>
    <row r="147" spans="1:14" hidden="1" outlineLevel="1">
      <c r="A147" s="197"/>
      <c r="B147" s="207" t="s">
        <v>867</v>
      </c>
      <c r="C147" s="203">
        <f t="shared" si="14"/>
        <v>24.604966139954854</v>
      </c>
      <c r="E147" s="199">
        <v>159</v>
      </c>
      <c r="F147" s="200">
        <v>86</v>
      </c>
      <c r="G147" s="208">
        <f t="shared" si="15"/>
        <v>84.883720930232556</v>
      </c>
      <c r="H147" s="205">
        <f t="shared" si="16"/>
        <v>0.55809055809055808</v>
      </c>
      <c r="I147" s="205">
        <f t="shared" si="17"/>
        <v>0.32559724378147126</v>
      </c>
      <c r="J147" s="199">
        <v>552</v>
      </c>
      <c r="K147" s="200">
        <v>443</v>
      </c>
      <c r="L147" s="208">
        <f t="shared" si="18"/>
        <v>24.604966139954854</v>
      </c>
      <c r="M147" s="205">
        <f t="shared" si="19"/>
        <v>0.49119060331019759</v>
      </c>
      <c r="N147" s="206">
        <f t="shared" si="20"/>
        <v>0.37512490050298913</v>
      </c>
    </row>
    <row r="148" spans="1:14" hidden="1" outlineLevel="1">
      <c r="A148" s="197"/>
      <c r="B148" s="207" t="s">
        <v>866</v>
      </c>
      <c r="C148" s="203">
        <f t="shared" si="14"/>
        <v>-16.893203883495143</v>
      </c>
      <c r="E148" s="199">
        <v>151</v>
      </c>
      <c r="F148" s="200">
        <v>94</v>
      </c>
      <c r="G148" s="208">
        <f t="shared" si="15"/>
        <v>60.638297872340431</v>
      </c>
      <c r="H148" s="205">
        <f t="shared" si="16"/>
        <v>0.53001053001053</v>
      </c>
      <c r="I148" s="205">
        <f t="shared" si="17"/>
        <v>0.35588535948207323</v>
      </c>
      <c r="J148" s="199">
        <v>428</v>
      </c>
      <c r="K148" s="200">
        <v>515</v>
      </c>
      <c r="L148" s="208">
        <f t="shared" si="18"/>
        <v>-16.893203883495143</v>
      </c>
      <c r="M148" s="205">
        <f t="shared" si="19"/>
        <v>0.38085068517529808</v>
      </c>
      <c r="N148" s="206">
        <f t="shared" si="20"/>
        <v>0.43609328162311378</v>
      </c>
    </row>
    <row r="149" spans="1:14" hidden="1" outlineLevel="1">
      <c r="A149" s="197"/>
      <c r="B149" s="207" t="s">
        <v>870</v>
      </c>
      <c r="C149" s="203">
        <f t="shared" si="14"/>
        <v>83.246073298429323</v>
      </c>
      <c r="E149" s="199">
        <v>63</v>
      </c>
      <c r="F149" s="200">
        <v>71</v>
      </c>
      <c r="G149" s="208">
        <f t="shared" si="15"/>
        <v>-11.267605633802818</v>
      </c>
      <c r="H149" s="205">
        <f t="shared" si="16"/>
        <v>0.22113022113022116</v>
      </c>
      <c r="I149" s="205">
        <f t="shared" si="17"/>
        <v>0.26880702684284252</v>
      </c>
      <c r="J149" s="199">
        <v>350</v>
      </c>
      <c r="K149" s="200">
        <v>191</v>
      </c>
      <c r="L149" s="208">
        <f t="shared" si="18"/>
        <v>83.246073298429323</v>
      </c>
      <c r="M149" s="205">
        <f t="shared" si="19"/>
        <v>0.31144331731624847</v>
      </c>
      <c r="N149" s="206">
        <f t="shared" si="20"/>
        <v>0.16173556658255289</v>
      </c>
    </row>
    <row r="150" spans="1:14" hidden="1" outlineLevel="1">
      <c r="A150" s="197"/>
      <c r="B150" s="207" t="s">
        <v>868</v>
      </c>
      <c r="C150" s="203">
        <f t="shared" si="14"/>
        <v>38.793103448275865</v>
      </c>
      <c r="E150" s="199">
        <v>69</v>
      </c>
      <c r="F150" s="200">
        <v>17</v>
      </c>
      <c r="G150" s="208">
        <f t="shared" si="15"/>
        <v>305.88235294117646</v>
      </c>
      <c r="H150" s="205">
        <f t="shared" si="16"/>
        <v>0.24219024219024218</v>
      </c>
      <c r="I150" s="205">
        <f t="shared" si="17"/>
        <v>6.4362245863779199E-2</v>
      </c>
      <c r="J150" s="199">
        <v>322</v>
      </c>
      <c r="K150" s="200">
        <v>232</v>
      </c>
      <c r="L150" s="208">
        <f t="shared" si="18"/>
        <v>38.793103448275865</v>
      </c>
      <c r="M150" s="205">
        <f t="shared" si="19"/>
        <v>0.2865278519309486</v>
      </c>
      <c r="N150" s="206">
        <f t="shared" si="20"/>
        <v>0.19645367249817941</v>
      </c>
    </row>
    <row r="151" spans="1:14" hidden="1" outlineLevel="1">
      <c r="A151" s="197"/>
      <c r="B151" s="207" t="s">
        <v>869</v>
      </c>
      <c r="C151" s="203">
        <f t="shared" si="14"/>
        <v>-1.5151515151515151</v>
      </c>
      <c r="E151" s="199">
        <v>29</v>
      </c>
      <c r="F151" s="200">
        <v>43</v>
      </c>
      <c r="G151" s="208">
        <f t="shared" si="15"/>
        <v>-32.558139534883722</v>
      </c>
      <c r="H151" s="205">
        <f t="shared" si="16"/>
        <v>0.1017901017901018</v>
      </c>
      <c r="I151" s="205">
        <f t="shared" si="17"/>
        <v>0.16279862189073563</v>
      </c>
      <c r="J151" s="199">
        <v>195</v>
      </c>
      <c r="K151" s="200">
        <v>198</v>
      </c>
      <c r="L151" s="208">
        <f t="shared" si="18"/>
        <v>-1.5151515151515151</v>
      </c>
      <c r="M151" s="205">
        <f t="shared" si="19"/>
        <v>0.17351841964762413</v>
      </c>
      <c r="N151" s="206">
        <f t="shared" si="20"/>
        <v>0.16766304808034277</v>
      </c>
    </row>
    <row r="152" spans="1:14" collapsed="1">
      <c r="A152" s="197" t="s">
        <v>1252</v>
      </c>
      <c r="B152" s="196" t="s">
        <v>293</v>
      </c>
      <c r="C152" s="203">
        <f t="shared" si="14"/>
        <v>-5.6131260794473237</v>
      </c>
      <c r="E152" s="199">
        <v>737</v>
      </c>
      <c r="F152" s="200">
        <v>992</v>
      </c>
      <c r="G152" s="208">
        <f t="shared" si="15"/>
        <v>-25.705645161290324</v>
      </c>
      <c r="H152" s="205">
        <f t="shared" si="16"/>
        <v>2.5868725868725866</v>
      </c>
      <c r="I152" s="205">
        <f t="shared" si="17"/>
        <v>3.7557263468746451</v>
      </c>
      <c r="J152" s="199">
        <v>3279</v>
      </c>
      <c r="K152" s="200">
        <v>3474</v>
      </c>
      <c r="L152" s="208">
        <f t="shared" si="18"/>
        <v>-5.6131260794473237</v>
      </c>
      <c r="M152" s="205">
        <f t="shared" si="19"/>
        <v>2.9177789642285101</v>
      </c>
      <c r="N152" s="206">
        <f t="shared" si="20"/>
        <v>2.9417243890460143</v>
      </c>
    </row>
    <row r="153" spans="1:14" hidden="1" outlineLevel="1">
      <c r="A153" s="197"/>
      <c r="B153" s="207">
        <v>3008</v>
      </c>
      <c r="C153" s="203">
        <f t="shared" si="14"/>
        <v>-22.191528545119706</v>
      </c>
      <c r="E153" s="199">
        <v>154</v>
      </c>
      <c r="F153" s="200">
        <v>305</v>
      </c>
      <c r="G153" s="208">
        <f t="shared" si="15"/>
        <v>-49.508196721311478</v>
      </c>
      <c r="H153" s="205">
        <f t="shared" si="16"/>
        <v>0.54054054054054057</v>
      </c>
      <c r="I153" s="205">
        <f t="shared" si="17"/>
        <v>1.1547344110854503</v>
      </c>
      <c r="J153" s="199">
        <v>845</v>
      </c>
      <c r="K153" s="200">
        <v>1086</v>
      </c>
      <c r="L153" s="208">
        <f t="shared" si="18"/>
        <v>-22.191528545119706</v>
      </c>
      <c r="M153" s="205">
        <f t="shared" si="19"/>
        <v>0.7519131518063713</v>
      </c>
      <c r="N153" s="206">
        <f t="shared" si="20"/>
        <v>0.9196064152285468</v>
      </c>
    </row>
    <row r="154" spans="1:14" hidden="1" outlineLevel="1">
      <c r="A154" s="197"/>
      <c r="B154" s="207">
        <v>208</v>
      </c>
      <c r="C154" s="203">
        <f t="shared" si="14"/>
        <v>-24.814422057264053</v>
      </c>
      <c r="E154" s="199">
        <v>133</v>
      </c>
      <c r="F154" s="200">
        <v>224</v>
      </c>
      <c r="G154" s="208">
        <f t="shared" si="15"/>
        <v>-40.625</v>
      </c>
      <c r="H154" s="205">
        <f t="shared" si="16"/>
        <v>0.46683046683046686</v>
      </c>
      <c r="I154" s="205">
        <f t="shared" si="17"/>
        <v>0.84806723961685526</v>
      </c>
      <c r="J154" s="199">
        <v>709</v>
      </c>
      <c r="K154" s="200">
        <v>943</v>
      </c>
      <c r="L154" s="208">
        <f t="shared" si="18"/>
        <v>-24.814422057264053</v>
      </c>
      <c r="M154" s="205">
        <f t="shared" si="19"/>
        <v>0.63089517707777187</v>
      </c>
      <c r="N154" s="206">
        <f t="shared" si="20"/>
        <v>0.79851643605941025</v>
      </c>
    </row>
    <row r="155" spans="1:14" hidden="1" outlineLevel="1">
      <c r="A155" s="197"/>
      <c r="B155" s="207">
        <v>308</v>
      </c>
      <c r="C155" s="203">
        <f t="shared" si="14"/>
        <v>134.1549295774648</v>
      </c>
      <c r="E155" s="199">
        <v>270</v>
      </c>
      <c r="F155" s="200">
        <v>173</v>
      </c>
      <c r="G155" s="208">
        <f t="shared" si="15"/>
        <v>56.069364161849713</v>
      </c>
      <c r="H155" s="205">
        <f t="shared" si="16"/>
        <v>0.9477009477009477</v>
      </c>
      <c r="I155" s="205">
        <f t="shared" si="17"/>
        <v>0.65498050202551772</v>
      </c>
      <c r="J155" s="199">
        <v>665</v>
      </c>
      <c r="K155" s="200">
        <v>284</v>
      </c>
      <c r="L155" s="208">
        <f t="shared" si="18"/>
        <v>134.1549295774648</v>
      </c>
      <c r="M155" s="205">
        <f t="shared" si="19"/>
        <v>0.59174230290087204</v>
      </c>
      <c r="N155" s="206">
        <f t="shared" si="20"/>
        <v>0.2404863921960472</v>
      </c>
    </row>
    <row r="156" spans="1:14" hidden="1" outlineLevel="1">
      <c r="A156" s="197"/>
      <c r="B156" s="207">
        <v>2008</v>
      </c>
      <c r="C156" s="203">
        <f t="shared" si="14"/>
        <v>-35.786802030456855</v>
      </c>
      <c r="E156" s="199">
        <v>43</v>
      </c>
      <c r="F156" s="200">
        <v>184</v>
      </c>
      <c r="G156" s="208">
        <f t="shared" si="15"/>
        <v>-76.630434782608688</v>
      </c>
      <c r="H156" s="205">
        <f t="shared" si="16"/>
        <v>0.15093015093015094</v>
      </c>
      <c r="I156" s="205">
        <f t="shared" si="17"/>
        <v>0.69662666111384541</v>
      </c>
      <c r="J156" s="199">
        <v>506</v>
      </c>
      <c r="K156" s="200">
        <v>788</v>
      </c>
      <c r="L156" s="208">
        <f t="shared" si="18"/>
        <v>-35.786802030456855</v>
      </c>
      <c r="M156" s="205">
        <f t="shared" si="19"/>
        <v>0.45025805303434774</v>
      </c>
      <c r="N156" s="206">
        <f t="shared" si="20"/>
        <v>0.66726506003691977</v>
      </c>
    </row>
    <row r="157" spans="1:14" hidden="1" outlineLevel="1">
      <c r="A157" s="197"/>
      <c r="B157" s="207">
        <v>5008</v>
      </c>
      <c r="C157" s="203">
        <f t="shared" si="14"/>
        <v>115.68627450980394</v>
      </c>
      <c r="E157" s="199">
        <v>72</v>
      </c>
      <c r="F157" s="200">
        <v>73</v>
      </c>
      <c r="G157" s="208">
        <f t="shared" si="15"/>
        <v>-1.3698630136986301</v>
      </c>
      <c r="H157" s="205">
        <f t="shared" si="16"/>
        <v>0.25272025272025272</v>
      </c>
      <c r="I157" s="205">
        <f t="shared" si="17"/>
        <v>0.27637905576799304</v>
      </c>
      <c r="J157" s="199">
        <v>330</v>
      </c>
      <c r="K157" s="200">
        <v>153</v>
      </c>
      <c r="L157" s="208">
        <f t="shared" si="18"/>
        <v>115.68627450980394</v>
      </c>
      <c r="M157" s="205">
        <f t="shared" si="19"/>
        <v>0.29364655632674852</v>
      </c>
      <c r="N157" s="206">
        <f t="shared" si="20"/>
        <v>0.12955780988026488</v>
      </c>
    </row>
    <row r="158" spans="1:14" hidden="1" outlineLevel="1">
      <c r="A158" s="197"/>
      <c r="B158" s="207">
        <v>408</v>
      </c>
      <c r="C158" s="203" t="str">
        <f t="shared" si="14"/>
        <v/>
      </c>
      <c r="E158" s="199">
        <v>44</v>
      </c>
      <c r="F158" s="200">
        <v>0</v>
      </c>
      <c r="G158" s="208" t="str">
        <f t="shared" si="15"/>
        <v/>
      </c>
      <c r="H158" s="205">
        <f t="shared" si="16"/>
        <v>0.15444015444015444</v>
      </c>
      <c r="I158" s="205" t="str">
        <f t="shared" si="17"/>
        <v/>
      </c>
      <c r="J158" s="199">
        <v>142</v>
      </c>
      <c r="K158" s="200">
        <v>0</v>
      </c>
      <c r="L158" s="208" t="str">
        <f t="shared" si="18"/>
        <v/>
      </c>
      <c r="M158" s="205">
        <f t="shared" si="19"/>
        <v>0.12635700302544936</v>
      </c>
      <c r="N158" s="206" t="str">
        <f t="shared" si="20"/>
        <v/>
      </c>
    </row>
    <row r="159" spans="1:14" hidden="1" outlineLevel="1">
      <c r="A159" s="197"/>
      <c r="B159" s="207" t="s">
        <v>887</v>
      </c>
      <c r="C159" s="203">
        <f t="shared" si="14"/>
        <v>-39.285714285714285</v>
      </c>
      <c r="E159" s="199">
        <v>14</v>
      </c>
      <c r="F159" s="200">
        <v>8</v>
      </c>
      <c r="G159" s="208">
        <f t="shared" si="15"/>
        <v>75</v>
      </c>
      <c r="H159" s="205">
        <f t="shared" si="16"/>
        <v>4.9140049140049137E-2</v>
      </c>
      <c r="I159" s="205">
        <f t="shared" si="17"/>
        <v>3.0288115700601973E-2</v>
      </c>
      <c r="J159" s="199">
        <v>34</v>
      </c>
      <c r="K159" s="200">
        <v>56</v>
      </c>
      <c r="L159" s="208">
        <f t="shared" si="18"/>
        <v>-39.285714285714285</v>
      </c>
      <c r="M159" s="205">
        <f t="shared" si="19"/>
        <v>3.0254493682149851E-2</v>
      </c>
      <c r="N159" s="206">
        <f t="shared" si="20"/>
        <v>4.7419851982319169E-2</v>
      </c>
    </row>
    <row r="160" spans="1:14" hidden="1" outlineLevel="1">
      <c r="A160" s="197"/>
      <c r="B160" s="207" t="s">
        <v>888</v>
      </c>
      <c r="C160" s="203">
        <f t="shared" si="14"/>
        <v>-57.446808510638306</v>
      </c>
      <c r="E160" s="199">
        <v>2</v>
      </c>
      <c r="F160" s="200">
        <v>6</v>
      </c>
      <c r="G160" s="208">
        <f t="shared" si="15"/>
        <v>-66.666666666666657</v>
      </c>
      <c r="H160" s="205">
        <f t="shared" si="16"/>
        <v>7.0200070200070203E-3</v>
      </c>
      <c r="I160" s="205">
        <f t="shared" si="17"/>
        <v>2.2716086775451481E-2</v>
      </c>
      <c r="J160" s="199">
        <v>20</v>
      </c>
      <c r="K160" s="200">
        <v>47</v>
      </c>
      <c r="L160" s="208">
        <f t="shared" si="18"/>
        <v>-57.446808510638306</v>
      </c>
      <c r="M160" s="205">
        <f t="shared" si="19"/>
        <v>1.7796760989499911E-2</v>
      </c>
      <c r="N160" s="206">
        <f t="shared" si="20"/>
        <v>3.9798804342303588E-2</v>
      </c>
    </row>
    <row r="161" spans="1:14" hidden="1" outlineLevel="1">
      <c r="A161" s="197"/>
      <c r="B161" s="207" t="s">
        <v>889</v>
      </c>
      <c r="C161" s="203">
        <f t="shared" si="14"/>
        <v>0</v>
      </c>
      <c r="E161" s="199">
        <v>4</v>
      </c>
      <c r="F161" s="200">
        <v>6</v>
      </c>
      <c r="G161" s="208">
        <f t="shared" si="15"/>
        <v>-33.333333333333329</v>
      </c>
      <c r="H161" s="205">
        <f t="shared" si="16"/>
        <v>1.4040014040014041E-2</v>
      </c>
      <c r="I161" s="205">
        <f t="shared" si="17"/>
        <v>2.2716086775451481E-2</v>
      </c>
      <c r="J161" s="199">
        <v>14</v>
      </c>
      <c r="K161" s="200">
        <v>14</v>
      </c>
      <c r="L161" s="208">
        <f t="shared" si="18"/>
        <v>0</v>
      </c>
      <c r="M161" s="205">
        <f t="shared" si="19"/>
        <v>1.2457732692649937E-2</v>
      </c>
      <c r="N161" s="206">
        <f t="shared" si="20"/>
        <v>1.1854962995579792E-2</v>
      </c>
    </row>
    <row r="162" spans="1:14" hidden="1" outlineLevel="1">
      <c r="A162" s="197"/>
      <c r="B162" s="207">
        <v>508</v>
      </c>
      <c r="C162" s="203">
        <f t="shared" si="14"/>
        <v>-83.333333333333343</v>
      </c>
      <c r="E162" s="199">
        <v>1</v>
      </c>
      <c r="F162" s="200">
        <v>13</v>
      </c>
      <c r="G162" s="208">
        <f t="shared" si="15"/>
        <v>-92.307692307692307</v>
      </c>
      <c r="H162" s="205">
        <f t="shared" si="16"/>
        <v>3.5100035100035102E-3</v>
      </c>
      <c r="I162" s="205">
        <f t="shared" si="17"/>
        <v>4.9218188013478208E-2</v>
      </c>
      <c r="J162" s="199">
        <v>14</v>
      </c>
      <c r="K162" s="200">
        <v>84</v>
      </c>
      <c r="L162" s="208">
        <f t="shared" si="18"/>
        <v>-83.333333333333343</v>
      </c>
      <c r="M162" s="205">
        <f t="shared" si="19"/>
        <v>1.2457732692649937E-2</v>
      </c>
      <c r="N162" s="206">
        <f t="shared" si="20"/>
        <v>7.1129777973478747E-2</v>
      </c>
    </row>
    <row r="163" spans="1:14" hidden="1" outlineLevel="1">
      <c r="A163" s="197"/>
      <c r="B163" s="207">
        <v>108</v>
      </c>
      <c r="C163" s="203">
        <f t="shared" si="14"/>
        <v>-100</v>
      </c>
      <c r="E163" s="199">
        <v>0</v>
      </c>
      <c r="F163" s="200">
        <v>0</v>
      </c>
      <c r="G163" s="208" t="str">
        <f t="shared" si="15"/>
        <v/>
      </c>
      <c r="H163" s="205" t="str">
        <f t="shared" si="16"/>
        <v/>
      </c>
      <c r="I163" s="205" t="str">
        <f t="shared" si="17"/>
        <v/>
      </c>
      <c r="J163" s="199">
        <v>0</v>
      </c>
      <c r="K163" s="200">
        <v>19</v>
      </c>
      <c r="L163" s="208">
        <f t="shared" si="18"/>
        <v>-100</v>
      </c>
      <c r="M163" s="205" t="str">
        <f t="shared" si="19"/>
        <v/>
      </c>
      <c r="N163" s="206">
        <f t="shared" si="20"/>
        <v>1.6088878351144004E-2</v>
      </c>
    </row>
    <row r="164" spans="1:14" collapsed="1">
      <c r="A164" s="197" t="s">
        <v>1253</v>
      </c>
      <c r="B164" s="196" t="s">
        <v>616</v>
      </c>
      <c r="C164" s="203">
        <f t="shared" si="14"/>
        <v>31.785563528915155</v>
      </c>
      <c r="E164" s="199">
        <v>1056</v>
      </c>
      <c r="F164" s="200">
        <v>754</v>
      </c>
      <c r="G164" s="208">
        <f t="shared" si="15"/>
        <v>40.053050397877982</v>
      </c>
      <c r="H164" s="205">
        <f t="shared" si="16"/>
        <v>3.7065637065637063</v>
      </c>
      <c r="I164" s="205">
        <f t="shared" si="17"/>
        <v>2.8546549047817362</v>
      </c>
      <c r="J164" s="199">
        <v>3122</v>
      </c>
      <c r="K164" s="200">
        <v>2369</v>
      </c>
      <c r="L164" s="208">
        <f t="shared" si="18"/>
        <v>31.785563528915155</v>
      </c>
      <c r="M164" s="205">
        <f t="shared" si="19"/>
        <v>2.7780743904609362</v>
      </c>
      <c r="N164" s="206">
        <f t="shared" si="20"/>
        <v>2.0060290954663236</v>
      </c>
    </row>
    <row r="165" spans="1:14" hidden="1" outlineLevel="1">
      <c r="A165" s="197"/>
      <c r="B165" s="207" t="s">
        <v>893</v>
      </c>
      <c r="C165" s="203">
        <f t="shared" si="14"/>
        <v>608.58895705521479</v>
      </c>
      <c r="E165" s="199">
        <v>277</v>
      </c>
      <c r="F165" s="200">
        <v>61</v>
      </c>
      <c r="G165" s="208">
        <f t="shared" si="15"/>
        <v>354.09836065573768</v>
      </c>
      <c r="H165" s="205">
        <f t="shared" si="16"/>
        <v>0.97227097227097237</v>
      </c>
      <c r="I165" s="205">
        <f t="shared" si="17"/>
        <v>0.23094688221709006</v>
      </c>
      <c r="J165" s="199">
        <v>1155</v>
      </c>
      <c r="K165" s="200">
        <v>163</v>
      </c>
      <c r="L165" s="208">
        <f t="shared" si="18"/>
        <v>608.58895705521479</v>
      </c>
      <c r="M165" s="205">
        <f t="shared" si="19"/>
        <v>1.0277629471436198</v>
      </c>
      <c r="N165" s="206">
        <f t="shared" si="20"/>
        <v>0.1380256405913933</v>
      </c>
    </row>
    <row r="166" spans="1:14" hidden="1" outlineLevel="1">
      <c r="A166" s="197"/>
      <c r="B166" s="207" t="s">
        <v>892</v>
      </c>
      <c r="C166" s="203">
        <f t="shared" si="14"/>
        <v>61.339092872570191</v>
      </c>
      <c r="E166" s="199">
        <v>406</v>
      </c>
      <c r="F166" s="200">
        <v>278</v>
      </c>
      <c r="G166" s="208">
        <f t="shared" si="15"/>
        <v>46.043165467625904</v>
      </c>
      <c r="H166" s="205">
        <f t="shared" si="16"/>
        <v>1.4250614250614251</v>
      </c>
      <c r="I166" s="205">
        <f t="shared" si="17"/>
        <v>1.0525120205959186</v>
      </c>
      <c r="J166" s="199">
        <v>747</v>
      </c>
      <c r="K166" s="200">
        <v>463</v>
      </c>
      <c r="L166" s="208">
        <f t="shared" si="18"/>
        <v>61.339092872570191</v>
      </c>
      <c r="M166" s="205">
        <f t="shared" si="19"/>
        <v>0.66470902295782175</v>
      </c>
      <c r="N166" s="206">
        <f t="shared" si="20"/>
        <v>0.39206056192524597</v>
      </c>
    </row>
    <row r="167" spans="1:14" hidden="1" outlineLevel="1">
      <c r="A167" s="197"/>
      <c r="B167" s="207" t="s">
        <v>1040</v>
      </c>
      <c r="C167" s="203" t="str">
        <f t="shared" si="14"/>
        <v/>
      </c>
      <c r="E167" s="199">
        <v>276</v>
      </c>
      <c r="F167" s="200">
        <v>0</v>
      </c>
      <c r="G167" s="208" t="str">
        <f t="shared" si="15"/>
        <v/>
      </c>
      <c r="H167" s="205">
        <f t="shared" si="16"/>
        <v>0.96876096876096873</v>
      </c>
      <c r="I167" s="205" t="str">
        <f t="shared" si="17"/>
        <v/>
      </c>
      <c r="J167" s="199">
        <v>663</v>
      </c>
      <c r="K167" s="200">
        <v>0</v>
      </c>
      <c r="L167" s="208" t="str">
        <f t="shared" si="18"/>
        <v/>
      </c>
      <c r="M167" s="205">
        <f t="shared" si="19"/>
        <v>0.58996262680192202</v>
      </c>
      <c r="N167" s="206" t="str">
        <f t="shared" si="20"/>
        <v/>
      </c>
    </row>
    <row r="168" spans="1:14" hidden="1" outlineLevel="1">
      <c r="A168" s="197"/>
      <c r="B168" s="207" t="s">
        <v>891</v>
      </c>
      <c r="C168" s="203">
        <f t="shared" si="14"/>
        <v>-47.8643216080402</v>
      </c>
      <c r="E168" s="199">
        <v>97</v>
      </c>
      <c r="F168" s="200">
        <v>233</v>
      </c>
      <c r="G168" s="208">
        <f t="shared" si="15"/>
        <v>-58.369098712446352</v>
      </c>
      <c r="H168" s="205">
        <f t="shared" si="16"/>
        <v>0.34047034047034047</v>
      </c>
      <c r="I168" s="205">
        <f t="shared" si="17"/>
        <v>0.88214136978003266</v>
      </c>
      <c r="J168" s="199">
        <v>415</v>
      </c>
      <c r="K168" s="200">
        <v>796</v>
      </c>
      <c r="L168" s="208">
        <f t="shared" si="18"/>
        <v>-47.8643216080402</v>
      </c>
      <c r="M168" s="205">
        <f t="shared" si="19"/>
        <v>0.36928279053212315</v>
      </c>
      <c r="N168" s="206">
        <f t="shared" si="20"/>
        <v>0.6740393246058225</v>
      </c>
    </row>
    <row r="169" spans="1:14" hidden="1" outlineLevel="1">
      <c r="A169" s="197"/>
      <c r="B169" s="207" t="s">
        <v>890</v>
      </c>
      <c r="C169" s="203">
        <f t="shared" si="14"/>
        <v>-85.005279831045414</v>
      </c>
      <c r="E169" s="199">
        <v>0</v>
      </c>
      <c r="F169" s="200">
        <v>182</v>
      </c>
      <c r="G169" s="208">
        <f t="shared" si="15"/>
        <v>-100</v>
      </c>
      <c r="H169" s="205" t="str">
        <f t="shared" si="16"/>
        <v/>
      </c>
      <c r="I169" s="205">
        <f t="shared" si="17"/>
        <v>0.68905463218869489</v>
      </c>
      <c r="J169" s="199">
        <v>142</v>
      </c>
      <c r="K169" s="200">
        <v>947</v>
      </c>
      <c r="L169" s="208">
        <f t="shared" si="18"/>
        <v>-85.005279831045414</v>
      </c>
      <c r="M169" s="205">
        <f t="shared" si="19"/>
        <v>0.12635700302544936</v>
      </c>
      <c r="N169" s="206">
        <f t="shared" si="20"/>
        <v>0.80190356834386167</v>
      </c>
    </row>
    <row r="170" spans="1:14" collapsed="1">
      <c r="A170" s="197" t="s">
        <v>1254</v>
      </c>
      <c r="B170" s="196" t="s">
        <v>275</v>
      </c>
      <c r="C170" s="203">
        <f t="shared" si="14"/>
        <v>-33.444965394061178</v>
      </c>
      <c r="E170" s="199">
        <v>786</v>
      </c>
      <c r="F170" s="200">
        <v>1290</v>
      </c>
      <c r="G170" s="208">
        <f t="shared" si="15"/>
        <v>-39.069767441860463</v>
      </c>
      <c r="H170" s="205">
        <f t="shared" si="16"/>
        <v>2.758862758862759</v>
      </c>
      <c r="I170" s="205">
        <f t="shared" si="17"/>
        <v>4.8839586567220685</v>
      </c>
      <c r="J170" s="199">
        <v>2981</v>
      </c>
      <c r="K170" s="200">
        <v>4479</v>
      </c>
      <c r="L170" s="208">
        <f t="shared" si="18"/>
        <v>-33.444965394061178</v>
      </c>
      <c r="M170" s="205">
        <f t="shared" si="19"/>
        <v>2.652607225484962</v>
      </c>
      <c r="N170" s="206">
        <f t="shared" si="20"/>
        <v>3.7927413755144204</v>
      </c>
    </row>
    <row r="171" spans="1:14" hidden="1" outlineLevel="1">
      <c r="A171" s="197"/>
      <c r="B171" s="207" t="s">
        <v>874</v>
      </c>
      <c r="C171" s="203">
        <f t="shared" si="14"/>
        <v>-34.686147186147188</v>
      </c>
      <c r="E171" s="199">
        <v>465</v>
      </c>
      <c r="F171" s="200">
        <v>756</v>
      </c>
      <c r="G171" s="208">
        <f t="shared" si="15"/>
        <v>-38.492063492063494</v>
      </c>
      <c r="H171" s="205">
        <f t="shared" si="16"/>
        <v>1.6321516321516323</v>
      </c>
      <c r="I171" s="205">
        <f t="shared" si="17"/>
        <v>2.8622269337068866</v>
      </c>
      <c r="J171" s="199">
        <v>1207</v>
      </c>
      <c r="K171" s="200">
        <v>1848</v>
      </c>
      <c r="L171" s="208">
        <f t="shared" si="18"/>
        <v>-34.686147186147188</v>
      </c>
      <c r="M171" s="205">
        <f t="shared" si="19"/>
        <v>1.0740345257163197</v>
      </c>
      <c r="N171" s="206">
        <f t="shared" si="20"/>
        <v>1.5648551154165327</v>
      </c>
    </row>
    <row r="172" spans="1:14" hidden="1" outlineLevel="1">
      <c r="A172" s="197"/>
      <c r="B172" s="207" t="s">
        <v>875</v>
      </c>
      <c r="C172" s="203">
        <f t="shared" si="14"/>
        <v>11.940298507462686</v>
      </c>
      <c r="E172" s="199">
        <v>117</v>
      </c>
      <c r="F172" s="200">
        <v>102</v>
      </c>
      <c r="G172" s="208">
        <f t="shared" si="15"/>
        <v>14.705882352941178</v>
      </c>
      <c r="H172" s="205">
        <f t="shared" si="16"/>
        <v>0.41067041067041066</v>
      </c>
      <c r="I172" s="205">
        <f t="shared" si="17"/>
        <v>0.3861734751826752</v>
      </c>
      <c r="J172" s="199">
        <v>975</v>
      </c>
      <c r="K172" s="200">
        <v>871</v>
      </c>
      <c r="L172" s="208">
        <f t="shared" si="18"/>
        <v>11.940298507462686</v>
      </c>
      <c r="M172" s="205">
        <f t="shared" si="19"/>
        <v>0.86759209823812056</v>
      </c>
      <c r="N172" s="206">
        <f t="shared" si="20"/>
        <v>0.73754805493928566</v>
      </c>
    </row>
    <row r="173" spans="1:14" hidden="1" outlineLevel="1">
      <c r="A173" s="197"/>
      <c r="B173" s="207" t="s">
        <v>878</v>
      </c>
      <c r="C173" s="203">
        <f t="shared" si="14"/>
        <v>-34.567901234567898</v>
      </c>
      <c r="E173" s="199">
        <v>55</v>
      </c>
      <c r="F173" s="200">
        <v>80</v>
      </c>
      <c r="G173" s="208">
        <f t="shared" si="15"/>
        <v>-31.25</v>
      </c>
      <c r="H173" s="205">
        <f t="shared" si="16"/>
        <v>0.19305019305019305</v>
      </c>
      <c r="I173" s="205">
        <f t="shared" si="17"/>
        <v>0.30288115700601975</v>
      </c>
      <c r="J173" s="199">
        <v>159</v>
      </c>
      <c r="K173" s="200">
        <v>243</v>
      </c>
      <c r="L173" s="208">
        <f t="shared" si="18"/>
        <v>-34.567901234567898</v>
      </c>
      <c r="M173" s="205">
        <f t="shared" si="19"/>
        <v>0.1414842498665243</v>
      </c>
      <c r="N173" s="206">
        <f t="shared" si="20"/>
        <v>0.20576828628042068</v>
      </c>
    </row>
    <row r="174" spans="1:14" hidden="1" outlineLevel="1">
      <c r="A174" s="197"/>
      <c r="B174" s="207" t="s">
        <v>879</v>
      </c>
      <c r="C174" s="203">
        <f t="shared" si="14"/>
        <v>-40.277777777777779</v>
      </c>
      <c r="E174" s="199">
        <v>53</v>
      </c>
      <c r="F174" s="200">
        <v>23</v>
      </c>
      <c r="G174" s="208">
        <f t="shared" si="15"/>
        <v>130.43478260869566</v>
      </c>
      <c r="H174" s="205">
        <f t="shared" si="16"/>
        <v>0.18603018603018603</v>
      </c>
      <c r="I174" s="205">
        <f t="shared" si="17"/>
        <v>8.7078332639230677E-2</v>
      </c>
      <c r="J174" s="199">
        <v>129</v>
      </c>
      <c r="K174" s="200">
        <v>216</v>
      </c>
      <c r="L174" s="208">
        <f t="shared" si="18"/>
        <v>-40.277777777777779</v>
      </c>
      <c r="M174" s="205">
        <f t="shared" si="19"/>
        <v>0.11478910838227442</v>
      </c>
      <c r="N174" s="206">
        <f t="shared" si="20"/>
        <v>0.18290514336037395</v>
      </c>
    </row>
    <row r="175" spans="1:14" hidden="1" outlineLevel="1">
      <c r="A175" s="197"/>
      <c r="B175" s="207" t="s">
        <v>885</v>
      </c>
      <c r="C175" s="203">
        <f t="shared" si="14"/>
        <v>618.75</v>
      </c>
      <c r="E175" s="199">
        <v>17</v>
      </c>
      <c r="F175" s="200">
        <v>1</v>
      </c>
      <c r="G175" s="208">
        <f t="shared" si="15"/>
        <v>1600</v>
      </c>
      <c r="H175" s="205">
        <f t="shared" si="16"/>
        <v>5.9670059670059672E-2</v>
      </c>
      <c r="I175" s="205">
        <f t="shared" si="17"/>
        <v>3.7860144625752466E-3</v>
      </c>
      <c r="J175" s="199">
        <v>115</v>
      </c>
      <c r="K175" s="200">
        <v>16</v>
      </c>
      <c r="L175" s="208">
        <f t="shared" si="18"/>
        <v>618.75</v>
      </c>
      <c r="M175" s="205">
        <f t="shared" si="19"/>
        <v>0.1023313756896245</v>
      </c>
      <c r="N175" s="206">
        <f t="shared" si="20"/>
        <v>1.3548529137805475E-2</v>
      </c>
    </row>
    <row r="176" spans="1:14" hidden="1" outlineLevel="1">
      <c r="A176" s="197"/>
      <c r="B176" s="207" t="s">
        <v>876</v>
      </c>
      <c r="C176" s="203">
        <f t="shared" si="14"/>
        <v>-83.963691376701959</v>
      </c>
      <c r="E176" s="199">
        <v>13</v>
      </c>
      <c r="F176" s="200">
        <v>112</v>
      </c>
      <c r="G176" s="208">
        <f t="shared" si="15"/>
        <v>-88.392857142857139</v>
      </c>
      <c r="H176" s="205">
        <f t="shared" si="16"/>
        <v>4.5630045630045628E-2</v>
      </c>
      <c r="I176" s="205">
        <f t="shared" si="17"/>
        <v>0.42403361980842763</v>
      </c>
      <c r="J176" s="199">
        <v>106</v>
      </c>
      <c r="K176" s="200">
        <v>661</v>
      </c>
      <c r="L176" s="208">
        <f t="shared" si="18"/>
        <v>-83.963691376701959</v>
      </c>
      <c r="M176" s="205">
        <f t="shared" si="19"/>
        <v>9.4322833244349535E-2</v>
      </c>
      <c r="N176" s="206">
        <f t="shared" si="20"/>
        <v>0.55972361000558879</v>
      </c>
    </row>
    <row r="177" spans="1:14" hidden="1" outlineLevel="1">
      <c r="A177" s="197"/>
      <c r="B177" s="207" t="s">
        <v>881</v>
      </c>
      <c r="C177" s="203">
        <f t="shared" si="14"/>
        <v>48.529411764705884</v>
      </c>
      <c r="E177" s="199">
        <v>35</v>
      </c>
      <c r="F177" s="200">
        <v>11</v>
      </c>
      <c r="G177" s="208">
        <f t="shared" si="15"/>
        <v>218.18181818181816</v>
      </c>
      <c r="H177" s="205">
        <f t="shared" si="16"/>
        <v>0.12285012285012285</v>
      </c>
      <c r="I177" s="205">
        <f t="shared" si="17"/>
        <v>4.1646159088327715E-2</v>
      </c>
      <c r="J177" s="199">
        <v>101</v>
      </c>
      <c r="K177" s="200">
        <v>68</v>
      </c>
      <c r="L177" s="208">
        <f t="shared" si="18"/>
        <v>48.529411764705884</v>
      </c>
      <c r="M177" s="205">
        <f t="shared" si="19"/>
        <v>8.9873642996974548E-2</v>
      </c>
      <c r="N177" s="206">
        <f t="shared" si="20"/>
        <v>5.7581248835673275E-2</v>
      </c>
    </row>
    <row r="178" spans="1:14" hidden="1" outlineLevel="1">
      <c r="A178" s="197"/>
      <c r="B178" s="207" t="s">
        <v>884</v>
      </c>
      <c r="C178" s="203">
        <f t="shared" si="14"/>
        <v>155.55555555555557</v>
      </c>
      <c r="E178" s="199">
        <v>19</v>
      </c>
      <c r="F178" s="200">
        <v>11</v>
      </c>
      <c r="G178" s="208">
        <f t="shared" si="15"/>
        <v>72.727272727272734</v>
      </c>
      <c r="H178" s="205">
        <f t="shared" si="16"/>
        <v>6.6690066690066691E-2</v>
      </c>
      <c r="I178" s="205">
        <f t="shared" si="17"/>
        <v>4.1646159088327715E-2</v>
      </c>
      <c r="J178" s="199">
        <v>69</v>
      </c>
      <c r="K178" s="200">
        <v>27</v>
      </c>
      <c r="L178" s="208">
        <f t="shared" si="18"/>
        <v>155.55555555555557</v>
      </c>
      <c r="M178" s="205">
        <f t="shared" si="19"/>
        <v>6.1398825413774699E-2</v>
      </c>
      <c r="N178" s="206">
        <f t="shared" si="20"/>
        <v>2.2863142920046743E-2</v>
      </c>
    </row>
    <row r="179" spans="1:14" hidden="1" outlineLevel="1">
      <c r="A179" s="197"/>
      <c r="B179" s="207" t="s">
        <v>886</v>
      </c>
      <c r="C179" s="203">
        <f t="shared" si="14"/>
        <v>2900</v>
      </c>
      <c r="E179" s="199">
        <v>12</v>
      </c>
      <c r="F179" s="200">
        <v>1</v>
      </c>
      <c r="G179" s="208">
        <f t="shared" si="15"/>
        <v>1100</v>
      </c>
      <c r="H179" s="205">
        <f t="shared" si="16"/>
        <v>4.2120042120042119E-2</v>
      </c>
      <c r="I179" s="205">
        <f t="shared" si="17"/>
        <v>3.7860144625752466E-3</v>
      </c>
      <c r="J179" s="199">
        <v>60</v>
      </c>
      <c r="K179" s="200">
        <v>2</v>
      </c>
      <c r="L179" s="208">
        <f t="shared" si="18"/>
        <v>2900</v>
      </c>
      <c r="M179" s="205">
        <f t="shared" si="19"/>
        <v>5.3390282968499729E-2</v>
      </c>
      <c r="N179" s="206">
        <f t="shared" si="20"/>
        <v>1.6935661422256844E-3</v>
      </c>
    </row>
    <row r="180" spans="1:14" hidden="1" outlineLevel="1">
      <c r="A180" s="197"/>
      <c r="B180" s="207" t="s">
        <v>882</v>
      </c>
      <c r="C180" s="203">
        <f t="shared" si="14"/>
        <v>-46.774193548387096</v>
      </c>
      <c r="E180" s="199">
        <v>0</v>
      </c>
      <c r="F180" s="200">
        <v>21</v>
      </c>
      <c r="G180" s="208">
        <f t="shared" si="15"/>
        <v>-100</v>
      </c>
      <c r="H180" s="205" t="str">
        <f t="shared" si="16"/>
        <v/>
      </c>
      <c r="I180" s="205">
        <f t="shared" si="17"/>
        <v>7.9506303714080184E-2</v>
      </c>
      <c r="J180" s="199">
        <v>33</v>
      </c>
      <c r="K180" s="200">
        <v>62</v>
      </c>
      <c r="L180" s="208">
        <f t="shared" si="18"/>
        <v>-46.774193548387096</v>
      </c>
      <c r="M180" s="205">
        <f t="shared" si="19"/>
        <v>2.9364655632674857E-2</v>
      </c>
      <c r="N180" s="206">
        <f t="shared" si="20"/>
        <v>5.2500550408996219E-2</v>
      </c>
    </row>
    <row r="181" spans="1:14" hidden="1" outlineLevel="1">
      <c r="A181" s="197"/>
      <c r="B181" s="207" t="s">
        <v>883</v>
      </c>
      <c r="C181" s="203">
        <f t="shared" si="14"/>
        <v>-25</v>
      </c>
      <c r="E181" s="199">
        <v>0</v>
      </c>
      <c r="F181" s="200">
        <v>4</v>
      </c>
      <c r="G181" s="208">
        <f t="shared" si="15"/>
        <v>-100</v>
      </c>
      <c r="H181" s="205" t="str">
        <f t="shared" si="16"/>
        <v/>
      </c>
      <c r="I181" s="205">
        <f t="shared" si="17"/>
        <v>1.5144057850300987E-2</v>
      </c>
      <c r="J181" s="199">
        <v>21</v>
      </c>
      <c r="K181" s="200">
        <v>28</v>
      </c>
      <c r="L181" s="208">
        <f t="shared" si="18"/>
        <v>-25</v>
      </c>
      <c r="M181" s="205">
        <f t="shared" si="19"/>
        <v>1.8686599038974905E-2</v>
      </c>
      <c r="N181" s="206">
        <f t="shared" si="20"/>
        <v>2.3709925991159585E-2</v>
      </c>
    </row>
    <row r="182" spans="1:14" hidden="1" outlineLevel="1">
      <c r="A182" s="197"/>
      <c r="B182" s="207" t="s">
        <v>880</v>
      </c>
      <c r="C182" s="203">
        <f t="shared" si="14"/>
        <v>-95.384615384615387</v>
      </c>
      <c r="E182" s="199">
        <v>0</v>
      </c>
      <c r="F182" s="200">
        <v>86</v>
      </c>
      <c r="G182" s="208">
        <f t="shared" si="15"/>
        <v>-100</v>
      </c>
      <c r="H182" s="205" t="str">
        <f t="shared" si="16"/>
        <v/>
      </c>
      <c r="I182" s="205">
        <f t="shared" si="17"/>
        <v>0.32559724378147126</v>
      </c>
      <c r="J182" s="199">
        <v>6</v>
      </c>
      <c r="K182" s="200">
        <v>130</v>
      </c>
      <c r="L182" s="208">
        <f t="shared" si="18"/>
        <v>-95.384615384615387</v>
      </c>
      <c r="M182" s="205">
        <f t="shared" si="19"/>
        <v>5.3390282968499734E-3</v>
      </c>
      <c r="N182" s="206">
        <f t="shared" si="20"/>
        <v>0.1100817992446695</v>
      </c>
    </row>
    <row r="183" spans="1:14" hidden="1" outlineLevel="1">
      <c r="A183" s="197"/>
      <c r="B183" s="207" t="s">
        <v>877</v>
      </c>
      <c r="C183" s="203">
        <f t="shared" si="14"/>
        <v>-100</v>
      </c>
      <c r="E183" s="199">
        <v>0</v>
      </c>
      <c r="F183" s="200">
        <v>82</v>
      </c>
      <c r="G183" s="208">
        <f t="shared" si="15"/>
        <v>-100</v>
      </c>
      <c r="H183" s="205" t="str">
        <f t="shared" si="16"/>
        <v/>
      </c>
      <c r="I183" s="205">
        <f t="shared" si="17"/>
        <v>0.31045318593117027</v>
      </c>
      <c r="J183" s="199">
        <v>0</v>
      </c>
      <c r="K183" s="200">
        <v>305</v>
      </c>
      <c r="L183" s="208">
        <f t="shared" si="18"/>
        <v>-100</v>
      </c>
      <c r="M183" s="205" t="str">
        <f t="shared" si="19"/>
        <v/>
      </c>
      <c r="N183" s="206">
        <f t="shared" si="20"/>
        <v>0.25826883668941691</v>
      </c>
    </row>
    <row r="184" spans="1:14" hidden="1" outlineLevel="1">
      <c r="A184" s="197"/>
      <c r="B184" s="207" t="s">
        <v>1179</v>
      </c>
      <c r="C184" s="203">
        <f t="shared" si="14"/>
        <v>-100</v>
      </c>
      <c r="E184" s="199">
        <v>0</v>
      </c>
      <c r="F184" s="200">
        <v>0</v>
      </c>
      <c r="G184" s="208" t="str">
        <f t="shared" si="15"/>
        <v/>
      </c>
      <c r="H184" s="205" t="str">
        <f t="shared" si="16"/>
        <v/>
      </c>
      <c r="I184" s="205" t="str">
        <f t="shared" si="17"/>
        <v/>
      </c>
      <c r="J184" s="199">
        <v>0</v>
      </c>
      <c r="K184" s="200">
        <v>1</v>
      </c>
      <c r="L184" s="208">
        <f t="shared" si="18"/>
        <v>-100</v>
      </c>
      <c r="M184" s="205" t="str">
        <f t="shared" si="19"/>
        <v/>
      </c>
      <c r="N184" s="206">
        <f t="shared" si="20"/>
        <v>8.4678307111284222E-4</v>
      </c>
    </row>
    <row r="185" spans="1:14" hidden="1" outlineLevel="1">
      <c r="A185" s="197"/>
      <c r="B185" s="207" t="s">
        <v>1147</v>
      </c>
      <c r="C185" s="203">
        <f t="shared" si="14"/>
        <v>-100</v>
      </c>
      <c r="E185" s="199">
        <v>0</v>
      </c>
      <c r="F185" s="200">
        <v>0</v>
      </c>
      <c r="G185" s="208" t="str">
        <f t="shared" si="15"/>
        <v/>
      </c>
      <c r="H185" s="205" t="str">
        <f t="shared" si="16"/>
        <v/>
      </c>
      <c r="I185" s="205" t="str">
        <f t="shared" si="17"/>
        <v/>
      </c>
      <c r="J185" s="199">
        <v>0</v>
      </c>
      <c r="K185" s="200">
        <v>1</v>
      </c>
      <c r="L185" s="208">
        <f t="shared" si="18"/>
        <v>-100</v>
      </c>
      <c r="M185" s="205" t="str">
        <f t="shared" si="19"/>
        <v/>
      </c>
      <c r="N185" s="206">
        <f t="shared" si="20"/>
        <v>8.4678307111284222E-4</v>
      </c>
    </row>
    <row r="186" spans="1:14" collapsed="1">
      <c r="A186" s="197" t="s">
        <v>1255</v>
      </c>
      <c r="B186" s="196" t="s">
        <v>295</v>
      </c>
      <c r="C186" s="203">
        <f t="shared" si="14"/>
        <v>-12.884927066450565</v>
      </c>
      <c r="E186" s="199">
        <v>473</v>
      </c>
      <c r="F186" s="200">
        <v>388</v>
      </c>
      <c r="G186" s="208">
        <f t="shared" si="15"/>
        <v>21.907216494845361</v>
      </c>
      <c r="H186" s="205">
        <f t="shared" si="16"/>
        <v>1.6602316602316602</v>
      </c>
      <c r="I186" s="205">
        <f t="shared" si="17"/>
        <v>1.4689736114791958</v>
      </c>
      <c r="J186" s="199">
        <v>2150</v>
      </c>
      <c r="K186" s="200">
        <v>2468</v>
      </c>
      <c r="L186" s="208">
        <f t="shared" si="18"/>
        <v>-12.884927066450565</v>
      </c>
      <c r="M186" s="205">
        <f t="shared" si="19"/>
        <v>1.9131518063712403</v>
      </c>
      <c r="N186" s="206">
        <f t="shared" si="20"/>
        <v>2.0898606195064948</v>
      </c>
    </row>
    <row r="187" spans="1:14" hidden="1" outlineLevel="1">
      <c r="A187" s="197"/>
      <c r="B187" s="207" t="s">
        <v>898</v>
      </c>
      <c r="C187" s="203">
        <f t="shared" si="14"/>
        <v>295.21531100478467</v>
      </c>
      <c r="E187" s="199">
        <v>119</v>
      </c>
      <c r="F187" s="200">
        <v>33</v>
      </c>
      <c r="G187" s="208">
        <f t="shared" si="15"/>
        <v>260.60606060606062</v>
      </c>
      <c r="H187" s="205">
        <f t="shared" si="16"/>
        <v>0.41769041769041765</v>
      </c>
      <c r="I187" s="205">
        <f t="shared" si="17"/>
        <v>0.12493847726498315</v>
      </c>
      <c r="J187" s="199">
        <v>826</v>
      </c>
      <c r="K187" s="200">
        <v>209</v>
      </c>
      <c r="L187" s="208">
        <f t="shared" si="18"/>
        <v>295.21531100478467</v>
      </c>
      <c r="M187" s="205">
        <f t="shared" si="19"/>
        <v>0.73500622886634626</v>
      </c>
      <c r="N187" s="206">
        <f t="shared" si="20"/>
        <v>0.17697766186258404</v>
      </c>
    </row>
    <row r="188" spans="1:14" hidden="1" outlineLevel="1">
      <c r="A188" s="197"/>
      <c r="B188" s="207" t="s">
        <v>895</v>
      </c>
      <c r="C188" s="203">
        <f t="shared" si="14"/>
        <v>-26.047904191616766</v>
      </c>
      <c r="E188" s="199">
        <v>128</v>
      </c>
      <c r="F188" s="200">
        <v>68</v>
      </c>
      <c r="G188" s="208">
        <f t="shared" si="15"/>
        <v>88.235294117647058</v>
      </c>
      <c r="H188" s="205">
        <f t="shared" si="16"/>
        <v>0.4492804492804493</v>
      </c>
      <c r="I188" s="205">
        <f t="shared" si="17"/>
        <v>0.2574489834551168</v>
      </c>
      <c r="J188" s="199">
        <v>494</v>
      </c>
      <c r="K188" s="200">
        <v>668</v>
      </c>
      <c r="L188" s="208">
        <f t="shared" si="18"/>
        <v>-26.047904191616766</v>
      </c>
      <c r="M188" s="205">
        <f t="shared" si="19"/>
        <v>0.43957999644064782</v>
      </c>
      <c r="N188" s="206">
        <f t="shared" si="20"/>
        <v>0.56565109150337867</v>
      </c>
    </row>
    <row r="189" spans="1:14" hidden="1" outlineLevel="1">
      <c r="A189" s="197"/>
      <c r="B189" s="207" t="s">
        <v>894</v>
      </c>
      <c r="C189" s="203">
        <f t="shared" si="14"/>
        <v>-51.008645533141205</v>
      </c>
      <c r="E189" s="199">
        <v>98</v>
      </c>
      <c r="F189" s="200">
        <v>97</v>
      </c>
      <c r="G189" s="208">
        <f t="shared" si="15"/>
        <v>1.0309278350515463</v>
      </c>
      <c r="H189" s="205">
        <f t="shared" si="16"/>
        <v>0.34398034398034399</v>
      </c>
      <c r="I189" s="205">
        <f t="shared" si="17"/>
        <v>0.36724340286979895</v>
      </c>
      <c r="J189" s="199">
        <v>340</v>
      </c>
      <c r="K189" s="200">
        <v>694</v>
      </c>
      <c r="L189" s="208">
        <f t="shared" si="18"/>
        <v>-51.008645533141205</v>
      </c>
      <c r="M189" s="205">
        <f t="shared" si="19"/>
        <v>0.30254493682149847</v>
      </c>
      <c r="N189" s="206">
        <f t="shared" si="20"/>
        <v>0.58766745135231258</v>
      </c>
    </row>
    <row r="190" spans="1:14" hidden="1" outlineLevel="1">
      <c r="A190" s="197"/>
      <c r="B190" s="207" t="s">
        <v>896</v>
      </c>
      <c r="C190" s="203">
        <f t="shared" si="14"/>
        <v>-61.822660098522164</v>
      </c>
      <c r="E190" s="199">
        <v>10</v>
      </c>
      <c r="F190" s="200">
        <v>35</v>
      </c>
      <c r="G190" s="208">
        <f t="shared" si="15"/>
        <v>-71.428571428571431</v>
      </c>
      <c r="H190" s="205">
        <f t="shared" si="16"/>
        <v>3.51000351000351E-2</v>
      </c>
      <c r="I190" s="205">
        <f t="shared" si="17"/>
        <v>0.13251050619013366</v>
      </c>
      <c r="J190" s="199">
        <v>155</v>
      </c>
      <c r="K190" s="200">
        <v>406</v>
      </c>
      <c r="L190" s="208">
        <f t="shared" si="18"/>
        <v>-61.822660098522164</v>
      </c>
      <c r="M190" s="205">
        <f t="shared" si="19"/>
        <v>0.13792489766862431</v>
      </c>
      <c r="N190" s="206">
        <f t="shared" si="20"/>
        <v>0.34379392687181398</v>
      </c>
    </row>
    <row r="191" spans="1:14" hidden="1" outlineLevel="1">
      <c r="A191" s="197"/>
      <c r="B191" s="207" t="s">
        <v>897</v>
      </c>
      <c r="C191" s="203">
        <f t="shared" si="14"/>
        <v>-69.25373134328359</v>
      </c>
      <c r="E191" s="199">
        <v>13</v>
      </c>
      <c r="F191" s="200">
        <v>80</v>
      </c>
      <c r="G191" s="208">
        <f t="shared" si="15"/>
        <v>-83.75</v>
      </c>
      <c r="H191" s="205">
        <f t="shared" si="16"/>
        <v>4.5630045630045628E-2</v>
      </c>
      <c r="I191" s="205">
        <f t="shared" si="17"/>
        <v>0.30288115700601975</v>
      </c>
      <c r="J191" s="199">
        <v>103</v>
      </c>
      <c r="K191" s="200">
        <v>335</v>
      </c>
      <c r="L191" s="208">
        <f t="shared" si="18"/>
        <v>-69.25373134328359</v>
      </c>
      <c r="M191" s="205">
        <f t="shared" si="19"/>
        <v>9.1653319095924543E-2</v>
      </c>
      <c r="N191" s="206">
        <f t="shared" si="20"/>
        <v>0.28367232882280219</v>
      </c>
    </row>
    <row r="192" spans="1:14" hidden="1" outlineLevel="1">
      <c r="A192" s="197"/>
      <c r="B192" s="207" t="s">
        <v>1079</v>
      </c>
      <c r="C192" s="203" t="str">
        <f t="shared" si="14"/>
        <v/>
      </c>
      <c r="E192" s="199">
        <v>16</v>
      </c>
      <c r="F192" s="200">
        <v>0</v>
      </c>
      <c r="G192" s="208" t="str">
        <f t="shared" si="15"/>
        <v/>
      </c>
      <c r="H192" s="205">
        <f t="shared" si="16"/>
        <v>5.6160056160056163E-2</v>
      </c>
      <c r="I192" s="205" t="str">
        <f t="shared" si="17"/>
        <v/>
      </c>
      <c r="J192" s="199">
        <v>72</v>
      </c>
      <c r="K192" s="200">
        <v>0</v>
      </c>
      <c r="L192" s="208" t="str">
        <f t="shared" si="18"/>
        <v/>
      </c>
      <c r="M192" s="205">
        <f t="shared" si="19"/>
        <v>6.4068339562199678E-2</v>
      </c>
      <c r="N192" s="206" t="str">
        <f t="shared" si="20"/>
        <v/>
      </c>
    </row>
    <row r="193" spans="1:14" hidden="1" outlineLevel="1">
      <c r="A193" s="197"/>
      <c r="B193" s="207" t="s">
        <v>1256</v>
      </c>
      <c r="C193" s="203" t="str">
        <f t="shared" si="14"/>
        <v/>
      </c>
      <c r="E193" s="199">
        <v>63</v>
      </c>
      <c r="F193" s="200">
        <v>0</v>
      </c>
      <c r="G193" s="208" t="str">
        <f t="shared" si="15"/>
        <v/>
      </c>
      <c r="H193" s="205">
        <f t="shared" si="16"/>
        <v>0.22113022113022116</v>
      </c>
      <c r="I193" s="205" t="str">
        <f t="shared" si="17"/>
        <v/>
      </c>
      <c r="J193" s="199">
        <v>63</v>
      </c>
      <c r="K193" s="200">
        <v>0</v>
      </c>
      <c r="L193" s="208" t="str">
        <f t="shared" si="18"/>
        <v/>
      </c>
      <c r="M193" s="205">
        <f t="shared" si="19"/>
        <v>5.6059797116924714E-2</v>
      </c>
      <c r="N193" s="206" t="str">
        <f t="shared" si="20"/>
        <v/>
      </c>
    </row>
    <row r="194" spans="1:14" hidden="1" outlineLevel="1">
      <c r="A194" s="197"/>
      <c r="B194" s="207" t="s">
        <v>901</v>
      </c>
      <c r="C194" s="203">
        <f t="shared" si="14"/>
        <v>57.142857142857139</v>
      </c>
      <c r="E194" s="199">
        <v>18</v>
      </c>
      <c r="F194" s="200">
        <v>13</v>
      </c>
      <c r="G194" s="208">
        <f t="shared" si="15"/>
        <v>38.461538461538467</v>
      </c>
      <c r="H194" s="205">
        <f t="shared" si="16"/>
        <v>6.3180063180063181E-2</v>
      </c>
      <c r="I194" s="205">
        <f t="shared" si="17"/>
        <v>4.9218188013478208E-2</v>
      </c>
      <c r="J194" s="199">
        <v>44</v>
      </c>
      <c r="K194" s="200">
        <v>28</v>
      </c>
      <c r="L194" s="208">
        <f t="shared" si="18"/>
        <v>57.142857142857139</v>
      </c>
      <c r="M194" s="205">
        <f t="shared" si="19"/>
        <v>3.9152874176899805E-2</v>
      </c>
      <c r="N194" s="206">
        <f t="shared" si="20"/>
        <v>2.3709925991159585E-2</v>
      </c>
    </row>
    <row r="195" spans="1:14" hidden="1" outlineLevel="1">
      <c r="A195" s="197"/>
      <c r="B195" s="207" t="s">
        <v>899</v>
      </c>
      <c r="C195" s="203">
        <f t="shared" si="14"/>
        <v>-40</v>
      </c>
      <c r="E195" s="199">
        <v>8</v>
      </c>
      <c r="F195" s="200">
        <v>37</v>
      </c>
      <c r="G195" s="208">
        <f t="shared" si="15"/>
        <v>-78.378378378378372</v>
      </c>
      <c r="H195" s="205">
        <f t="shared" si="16"/>
        <v>2.8080028080028081E-2</v>
      </c>
      <c r="I195" s="205">
        <f t="shared" si="17"/>
        <v>0.14008253511528415</v>
      </c>
      <c r="J195" s="199">
        <v>39</v>
      </c>
      <c r="K195" s="200">
        <v>65</v>
      </c>
      <c r="L195" s="208">
        <f t="shared" si="18"/>
        <v>-40</v>
      </c>
      <c r="M195" s="205">
        <f t="shared" si="19"/>
        <v>3.4703683929524824E-2</v>
      </c>
      <c r="N195" s="206">
        <f t="shared" si="20"/>
        <v>5.504089962233475E-2</v>
      </c>
    </row>
    <row r="196" spans="1:14" hidden="1" outlineLevel="1">
      <c r="A196" s="197"/>
      <c r="B196" s="207" t="s">
        <v>900</v>
      </c>
      <c r="C196" s="203">
        <f t="shared" si="14"/>
        <v>-75</v>
      </c>
      <c r="E196" s="199">
        <v>0</v>
      </c>
      <c r="F196" s="200">
        <v>25</v>
      </c>
      <c r="G196" s="208">
        <f t="shared" si="15"/>
        <v>-100</v>
      </c>
      <c r="H196" s="205" t="str">
        <f t="shared" si="16"/>
        <v/>
      </c>
      <c r="I196" s="205">
        <f t="shared" si="17"/>
        <v>9.4650361564381183E-2</v>
      </c>
      <c r="J196" s="199">
        <v>14</v>
      </c>
      <c r="K196" s="200">
        <v>56</v>
      </c>
      <c r="L196" s="208">
        <f t="shared" si="18"/>
        <v>-75</v>
      </c>
      <c r="M196" s="205">
        <f t="shared" si="19"/>
        <v>1.2457732692649937E-2</v>
      </c>
      <c r="N196" s="206">
        <f t="shared" si="20"/>
        <v>4.7419851982319169E-2</v>
      </c>
    </row>
    <row r="197" spans="1:14" hidden="1" outlineLevel="1">
      <c r="A197" s="197"/>
      <c r="B197" s="207" t="s">
        <v>1146</v>
      </c>
      <c r="C197" s="203">
        <f t="shared" si="14"/>
        <v>-100</v>
      </c>
      <c r="E197" s="199">
        <v>0</v>
      </c>
      <c r="F197" s="200">
        <v>0</v>
      </c>
      <c r="G197" s="208" t="str">
        <f t="shared" si="15"/>
        <v/>
      </c>
      <c r="H197" s="205" t="str">
        <f t="shared" si="16"/>
        <v/>
      </c>
      <c r="I197" s="205" t="str">
        <f t="shared" si="17"/>
        <v/>
      </c>
      <c r="J197" s="199">
        <v>0</v>
      </c>
      <c r="K197" s="200">
        <v>7</v>
      </c>
      <c r="L197" s="208">
        <f t="shared" si="18"/>
        <v>-100</v>
      </c>
      <c r="M197" s="205" t="str">
        <f t="shared" si="19"/>
        <v/>
      </c>
      <c r="N197" s="206">
        <f t="shared" si="20"/>
        <v>5.9274814977898962E-3</v>
      </c>
    </row>
    <row r="198" spans="1:14" collapsed="1">
      <c r="A198" s="197" t="s">
        <v>1257</v>
      </c>
      <c r="B198" s="196" t="s">
        <v>277</v>
      </c>
      <c r="C198" s="203">
        <f t="shared" si="14"/>
        <v>-15.032154340836012</v>
      </c>
      <c r="E198" s="199">
        <v>459</v>
      </c>
      <c r="F198" s="200">
        <v>552</v>
      </c>
      <c r="G198" s="208">
        <f t="shared" si="15"/>
        <v>-16.847826086956523</v>
      </c>
      <c r="H198" s="205">
        <f t="shared" si="16"/>
        <v>1.6110916110916111</v>
      </c>
      <c r="I198" s="205">
        <f t="shared" si="17"/>
        <v>2.0898799833415365</v>
      </c>
      <c r="J198" s="199">
        <v>2114</v>
      </c>
      <c r="K198" s="200">
        <v>2488</v>
      </c>
      <c r="L198" s="208">
        <f t="shared" si="18"/>
        <v>-15.032154340836012</v>
      </c>
      <c r="M198" s="205">
        <f t="shared" si="19"/>
        <v>1.8811176365901405</v>
      </c>
      <c r="N198" s="206">
        <f t="shared" si="20"/>
        <v>2.1067962809287519</v>
      </c>
    </row>
    <row r="199" spans="1:14" hidden="1" outlineLevel="1">
      <c r="A199" s="197"/>
      <c r="B199" s="207" t="s">
        <v>902</v>
      </c>
      <c r="C199" s="203">
        <f t="shared" si="14"/>
        <v>4.7040971168437027</v>
      </c>
      <c r="E199" s="199">
        <v>187</v>
      </c>
      <c r="F199" s="200">
        <v>197</v>
      </c>
      <c r="G199" s="208">
        <f t="shared" si="15"/>
        <v>-5.0761421319796955</v>
      </c>
      <c r="H199" s="205">
        <f t="shared" si="16"/>
        <v>0.65637065637065639</v>
      </c>
      <c r="I199" s="205">
        <f t="shared" si="17"/>
        <v>0.74584484912732374</v>
      </c>
      <c r="J199" s="199">
        <v>690</v>
      </c>
      <c r="K199" s="200">
        <v>659</v>
      </c>
      <c r="L199" s="208">
        <f t="shared" si="18"/>
        <v>4.7040971168437027</v>
      </c>
      <c r="M199" s="205">
        <f t="shared" si="19"/>
        <v>0.61398825413774694</v>
      </c>
      <c r="N199" s="206">
        <f t="shared" si="20"/>
        <v>0.55803004386336308</v>
      </c>
    </row>
    <row r="200" spans="1:14" hidden="1" outlineLevel="1">
      <c r="A200" s="197"/>
      <c r="B200" s="207" t="s">
        <v>906</v>
      </c>
      <c r="C200" s="203">
        <f t="shared" si="14"/>
        <v>38.532110091743121</v>
      </c>
      <c r="E200" s="199">
        <v>42</v>
      </c>
      <c r="F200" s="200">
        <v>36</v>
      </c>
      <c r="G200" s="208">
        <f t="shared" si="15"/>
        <v>16.666666666666664</v>
      </c>
      <c r="H200" s="205">
        <f t="shared" si="16"/>
        <v>0.14742014742014742</v>
      </c>
      <c r="I200" s="205">
        <f t="shared" si="17"/>
        <v>0.13629652065270889</v>
      </c>
      <c r="J200" s="199">
        <v>302</v>
      </c>
      <c r="K200" s="200">
        <v>218</v>
      </c>
      <c r="L200" s="208">
        <f t="shared" si="18"/>
        <v>38.532110091743121</v>
      </c>
      <c r="M200" s="205">
        <f t="shared" si="19"/>
        <v>0.26873109094144865</v>
      </c>
      <c r="N200" s="206">
        <f t="shared" si="20"/>
        <v>0.18459870950259963</v>
      </c>
    </row>
    <row r="201" spans="1:14" hidden="1" outlineLevel="1">
      <c r="A201" s="197"/>
      <c r="B201" s="207" t="s">
        <v>903</v>
      </c>
      <c r="C201" s="203">
        <f t="shared" si="14"/>
        <v>-51.023890784982939</v>
      </c>
      <c r="E201" s="199">
        <v>102</v>
      </c>
      <c r="F201" s="200">
        <v>75</v>
      </c>
      <c r="G201" s="208">
        <f t="shared" si="15"/>
        <v>36</v>
      </c>
      <c r="H201" s="205">
        <f t="shared" si="16"/>
        <v>0.35802035802035803</v>
      </c>
      <c r="I201" s="205">
        <f t="shared" si="17"/>
        <v>0.28395108469314351</v>
      </c>
      <c r="J201" s="199">
        <v>287</v>
      </c>
      <c r="K201" s="200">
        <v>586</v>
      </c>
      <c r="L201" s="208">
        <f t="shared" si="18"/>
        <v>-51.023890784982939</v>
      </c>
      <c r="M201" s="205">
        <f t="shared" si="19"/>
        <v>0.2553835201993237</v>
      </c>
      <c r="N201" s="206">
        <f t="shared" si="20"/>
        <v>0.49621487967212563</v>
      </c>
    </row>
    <row r="202" spans="1:14" hidden="1" outlineLevel="1">
      <c r="A202" s="197"/>
      <c r="B202" s="207" t="s">
        <v>905</v>
      </c>
      <c r="C202" s="203">
        <f t="shared" ref="C202:C265" si="21">IF(K202=0,"",SUM(((J202-K202)/K202)*100))</f>
        <v>2.5</v>
      </c>
      <c r="E202" s="199">
        <v>28</v>
      </c>
      <c r="F202" s="200">
        <v>25</v>
      </c>
      <c r="G202" s="208">
        <f t="shared" ref="G202:G265" si="22">IF(F202=0,"",SUM(((E202-F202)/F202)*100))</f>
        <v>12</v>
      </c>
      <c r="H202" s="205">
        <f t="shared" ref="H202:H265" si="23">IF(E202=0,"",SUM((E202/CntPeriod)*100))</f>
        <v>9.8280098280098274E-2</v>
      </c>
      <c r="I202" s="205">
        <f t="shared" ref="I202:I265" si="24">IF(F202=0,"",SUM((F202/CntPeriodPrevYear)*100))</f>
        <v>9.4650361564381183E-2</v>
      </c>
      <c r="J202" s="199">
        <v>287</v>
      </c>
      <c r="K202" s="200">
        <v>280</v>
      </c>
      <c r="L202" s="208">
        <f t="shared" ref="L202:L265" si="25">IF(K202=0,"",SUM(((J202-K202)/K202)*100))</f>
        <v>2.5</v>
      </c>
      <c r="M202" s="205">
        <f t="shared" ref="M202:M265" si="26">IF(J202=0,"",SUM((J202/CntYearAck)*100))</f>
        <v>0.2553835201993237</v>
      </c>
      <c r="N202" s="206">
        <f t="shared" ref="N202:N265" si="27">IF(K202=0,"",SUM((K202/CntPrevYearAck)*100))</f>
        <v>0.23709925991159583</v>
      </c>
    </row>
    <row r="203" spans="1:14" hidden="1" outlineLevel="1">
      <c r="A203" s="197"/>
      <c r="B203" s="207" t="s">
        <v>904</v>
      </c>
      <c r="C203" s="203">
        <f t="shared" si="21"/>
        <v>-19.708029197080293</v>
      </c>
      <c r="E203" s="199">
        <v>39</v>
      </c>
      <c r="F203" s="200">
        <v>119</v>
      </c>
      <c r="G203" s="208">
        <f t="shared" si="22"/>
        <v>-67.226890756302524</v>
      </c>
      <c r="H203" s="205">
        <f t="shared" si="23"/>
        <v>0.1368901368901369</v>
      </c>
      <c r="I203" s="205">
        <f t="shared" si="24"/>
        <v>0.4505357210464544</v>
      </c>
      <c r="J203" s="199">
        <v>220</v>
      </c>
      <c r="K203" s="200">
        <v>274</v>
      </c>
      <c r="L203" s="208">
        <f t="shared" si="25"/>
        <v>-19.708029197080293</v>
      </c>
      <c r="M203" s="205">
        <f t="shared" si="26"/>
        <v>0.19576437088449902</v>
      </c>
      <c r="N203" s="206">
        <f t="shared" si="27"/>
        <v>0.23201856148491878</v>
      </c>
    </row>
    <row r="204" spans="1:14" hidden="1" outlineLevel="1">
      <c r="A204" s="197"/>
      <c r="B204" s="207" t="s">
        <v>908</v>
      </c>
      <c r="C204" s="203">
        <f t="shared" si="21"/>
        <v>-11.971830985915492</v>
      </c>
      <c r="E204" s="199">
        <v>20</v>
      </c>
      <c r="F204" s="200">
        <v>58</v>
      </c>
      <c r="G204" s="208">
        <f t="shared" si="22"/>
        <v>-65.517241379310349</v>
      </c>
      <c r="H204" s="205">
        <f t="shared" si="23"/>
        <v>7.02000702000702E-2</v>
      </c>
      <c r="I204" s="205">
        <f t="shared" si="24"/>
        <v>0.21958883882936434</v>
      </c>
      <c r="J204" s="199">
        <v>125</v>
      </c>
      <c r="K204" s="200">
        <v>142</v>
      </c>
      <c r="L204" s="208">
        <f t="shared" si="25"/>
        <v>-11.971830985915492</v>
      </c>
      <c r="M204" s="205">
        <f t="shared" si="26"/>
        <v>0.11122975618437445</v>
      </c>
      <c r="N204" s="206">
        <f t="shared" si="27"/>
        <v>0.1202431960980236</v>
      </c>
    </row>
    <row r="205" spans="1:14" hidden="1" outlineLevel="1">
      <c r="A205" s="197"/>
      <c r="B205" s="207" t="s">
        <v>907</v>
      </c>
      <c r="C205" s="203">
        <f t="shared" si="21"/>
        <v>-30.898876404494381</v>
      </c>
      <c r="E205" s="199">
        <v>15</v>
      </c>
      <c r="F205" s="200">
        <v>12</v>
      </c>
      <c r="G205" s="208">
        <f t="shared" si="22"/>
        <v>25</v>
      </c>
      <c r="H205" s="205">
        <f t="shared" si="23"/>
        <v>5.2650052650052653E-2</v>
      </c>
      <c r="I205" s="205">
        <f t="shared" si="24"/>
        <v>4.5432173550902961E-2</v>
      </c>
      <c r="J205" s="199">
        <v>123</v>
      </c>
      <c r="K205" s="200">
        <v>178</v>
      </c>
      <c r="L205" s="208">
        <f t="shared" si="25"/>
        <v>-30.898876404494381</v>
      </c>
      <c r="M205" s="205">
        <f t="shared" si="26"/>
        <v>0.10945008008542445</v>
      </c>
      <c r="N205" s="206">
        <f t="shared" si="27"/>
        <v>0.15072738665808594</v>
      </c>
    </row>
    <row r="206" spans="1:14" hidden="1" outlineLevel="1">
      <c r="A206" s="197"/>
      <c r="B206" s="207" t="s">
        <v>909</v>
      </c>
      <c r="C206" s="203">
        <f t="shared" si="21"/>
        <v>-62.676056338028175</v>
      </c>
      <c r="E206" s="199">
        <v>26</v>
      </c>
      <c r="F206" s="200">
        <v>30</v>
      </c>
      <c r="G206" s="208">
        <f t="shared" si="22"/>
        <v>-13.333333333333334</v>
      </c>
      <c r="H206" s="205">
        <f t="shared" si="23"/>
        <v>9.1260091260091256E-2</v>
      </c>
      <c r="I206" s="205">
        <f t="shared" si="24"/>
        <v>0.1135804338772574</v>
      </c>
      <c r="J206" s="199">
        <v>53</v>
      </c>
      <c r="K206" s="200">
        <v>142</v>
      </c>
      <c r="L206" s="208">
        <f t="shared" si="25"/>
        <v>-62.676056338028175</v>
      </c>
      <c r="M206" s="205">
        <f t="shared" si="26"/>
        <v>4.7161416622174768E-2</v>
      </c>
      <c r="N206" s="206">
        <f t="shared" si="27"/>
        <v>0.1202431960980236</v>
      </c>
    </row>
    <row r="207" spans="1:14" hidden="1" outlineLevel="1">
      <c r="A207" s="197"/>
      <c r="B207" s="207" t="s">
        <v>910</v>
      </c>
      <c r="C207" s="203">
        <f t="shared" si="21"/>
        <v>200</v>
      </c>
      <c r="E207" s="199">
        <v>0</v>
      </c>
      <c r="F207" s="200">
        <v>0</v>
      </c>
      <c r="G207" s="208" t="str">
        <f t="shared" si="22"/>
        <v/>
      </c>
      <c r="H207" s="205" t="str">
        <f t="shared" si="23"/>
        <v/>
      </c>
      <c r="I207" s="205" t="str">
        <f t="shared" si="24"/>
        <v/>
      </c>
      <c r="J207" s="199">
        <v>27</v>
      </c>
      <c r="K207" s="200">
        <v>9</v>
      </c>
      <c r="L207" s="208">
        <f t="shared" si="25"/>
        <v>200</v>
      </c>
      <c r="M207" s="205">
        <f t="shared" si="26"/>
        <v>2.4025627335824879E-2</v>
      </c>
      <c r="N207" s="206">
        <f t="shared" si="27"/>
        <v>7.6210476400155802E-3</v>
      </c>
    </row>
    <row r="208" spans="1:14" collapsed="1">
      <c r="A208" s="197" t="s">
        <v>1258</v>
      </c>
      <c r="B208" s="196" t="s">
        <v>291</v>
      </c>
      <c r="C208" s="203">
        <f t="shared" si="21"/>
        <v>-23.132821962050869</v>
      </c>
      <c r="E208" s="199">
        <v>322</v>
      </c>
      <c r="F208" s="200">
        <v>429</v>
      </c>
      <c r="G208" s="208">
        <f t="shared" si="22"/>
        <v>-24.941724941724942</v>
      </c>
      <c r="H208" s="205">
        <f t="shared" si="23"/>
        <v>1.1302211302211302</v>
      </c>
      <c r="I208" s="205">
        <f t="shared" si="24"/>
        <v>1.6242002044447807</v>
      </c>
      <c r="J208" s="199">
        <v>1904</v>
      </c>
      <c r="K208" s="200">
        <v>2477</v>
      </c>
      <c r="L208" s="208">
        <f t="shared" si="25"/>
        <v>-23.132821962050869</v>
      </c>
      <c r="M208" s="205">
        <f t="shared" si="26"/>
        <v>1.6942516462003916</v>
      </c>
      <c r="N208" s="206">
        <f t="shared" si="27"/>
        <v>2.0974816671465102</v>
      </c>
    </row>
    <row r="209" spans="1:14" hidden="1" outlineLevel="1">
      <c r="A209" s="197"/>
      <c r="B209" s="207" t="s">
        <v>912</v>
      </c>
      <c r="C209" s="203">
        <f t="shared" si="21"/>
        <v>-4.2479908151549939</v>
      </c>
      <c r="E209" s="199">
        <v>127</v>
      </c>
      <c r="F209" s="200">
        <v>159</v>
      </c>
      <c r="G209" s="208">
        <f t="shared" si="22"/>
        <v>-20.125786163522015</v>
      </c>
      <c r="H209" s="205">
        <f t="shared" si="23"/>
        <v>0.44577044577044578</v>
      </c>
      <c r="I209" s="205">
        <f t="shared" si="24"/>
        <v>0.6019762995494643</v>
      </c>
      <c r="J209" s="199">
        <v>834</v>
      </c>
      <c r="K209" s="200">
        <v>871</v>
      </c>
      <c r="L209" s="208">
        <f t="shared" si="25"/>
        <v>-4.2479908151549939</v>
      </c>
      <c r="M209" s="205">
        <f t="shared" si="26"/>
        <v>0.74212493326214624</v>
      </c>
      <c r="N209" s="206">
        <f t="shared" si="27"/>
        <v>0.73754805493928566</v>
      </c>
    </row>
    <row r="210" spans="1:14" hidden="1" outlineLevel="1">
      <c r="A210" s="197"/>
      <c r="B210" s="207" t="s">
        <v>911</v>
      </c>
      <c r="C210" s="203">
        <f t="shared" si="21"/>
        <v>-51.724137931034484</v>
      </c>
      <c r="E210" s="199">
        <v>134</v>
      </c>
      <c r="F210" s="200">
        <v>231</v>
      </c>
      <c r="G210" s="208">
        <f t="shared" si="22"/>
        <v>-41.99134199134199</v>
      </c>
      <c r="H210" s="205">
        <f t="shared" si="23"/>
        <v>0.47034047034047027</v>
      </c>
      <c r="I210" s="205">
        <f t="shared" si="24"/>
        <v>0.87456934085488203</v>
      </c>
      <c r="J210" s="199">
        <v>700</v>
      </c>
      <c r="K210" s="200">
        <v>1450</v>
      </c>
      <c r="L210" s="208">
        <f t="shared" si="25"/>
        <v>-51.724137931034484</v>
      </c>
      <c r="M210" s="205">
        <f t="shared" si="26"/>
        <v>0.62288663463249694</v>
      </c>
      <c r="N210" s="206">
        <f t="shared" si="27"/>
        <v>1.2278354531136213</v>
      </c>
    </row>
    <row r="211" spans="1:14" hidden="1" outlineLevel="1">
      <c r="A211" s="197"/>
      <c r="B211" s="207" t="s">
        <v>915</v>
      </c>
      <c r="C211" s="203">
        <f t="shared" si="21"/>
        <v>385.71428571428572</v>
      </c>
      <c r="E211" s="199">
        <v>18</v>
      </c>
      <c r="F211" s="200">
        <v>2</v>
      </c>
      <c r="G211" s="208">
        <f t="shared" si="22"/>
        <v>800</v>
      </c>
      <c r="H211" s="205">
        <f t="shared" si="23"/>
        <v>6.3180063180063181E-2</v>
      </c>
      <c r="I211" s="205">
        <f t="shared" si="24"/>
        <v>7.5720289251504933E-3</v>
      </c>
      <c r="J211" s="199">
        <v>136</v>
      </c>
      <c r="K211" s="200">
        <v>28</v>
      </c>
      <c r="L211" s="208">
        <f t="shared" si="25"/>
        <v>385.71428571428572</v>
      </c>
      <c r="M211" s="205">
        <f t="shared" si="26"/>
        <v>0.1210179747285994</v>
      </c>
      <c r="N211" s="206">
        <f t="shared" si="27"/>
        <v>2.3709925991159585E-2</v>
      </c>
    </row>
    <row r="212" spans="1:14" hidden="1" outlineLevel="1">
      <c r="A212" s="197"/>
      <c r="B212" s="207" t="s">
        <v>1041</v>
      </c>
      <c r="C212" s="203" t="str">
        <f t="shared" si="21"/>
        <v/>
      </c>
      <c r="E212" s="199">
        <v>26</v>
      </c>
      <c r="F212" s="200">
        <v>0</v>
      </c>
      <c r="G212" s="208" t="str">
        <f t="shared" si="22"/>
        <v/>
      </c>
      <c r="H212" s="205">
        <f t="shared" si="23"/>
        <v>9.1260091260091256E-2</v>
      </c>
      <c r="I212" s="205" t="str">
        <f t="shared" si="24"/>
        <v/>
      </c>
      <c r="J212" s="199">
        <v>109</v>
      </c>
      <c r="K212" s="200">
        <v>0</v>
      </c>
      <c r="L212" s="208" t="str">
        <f t="shared" si="25"/>
        <v/>
      </c>
      <c r="M212" s="205">
        <f t="shared" si="26"/>
        <v>9.6992347392774514E-2</v>
      </c>
      <c r="N212" s="206" t="str">
        <f t="shared" si="27"/>
        <v/>
      </c>
    </row>
    <row r="213" spans="1:14" hidden="1" outlineLevel="1">
      <c r="A213" s="197"/>
      <c r="B213" s="207" t="s">
        <v>914</v>
      </c>
      <c r="C213" s="203">
        <f t="shared" si="21"/>
        <v>25</v>
      </c>
      <c r="E213" s="199">
        <v>4</v>
      </c>
      <c r="F213" s="200">
        <v>16</v>
      </c>
      <c r="G213" s="208">
        <f t="shared" si="22"/>
        <v>-75</v>
      </c>
      <c r="H213" s="205">
        <f t="shared" si="23"/>
        <v>1.4040014040014041E-2</v>
      </c>
      <c r="I213" s="205">
        <f t="shared" si="24"/>
        <v>6.0576231401203946E-2</v>
      </c>
      <c r="J213" s="199">
        <v>45</v>
      </c>
      <c r="K213" s="200">
        <v>36</v>
      </c>
      <c r="L213" s="208">
        <f t="shared" si="25"/>
        <v>25</v>
      </c>
      <c r="M213" s="205">
        <f t="shared" si="26"/>
        <v>4.0042712226374795E-2</v>
      </c>
      <c r="N213" s="206">
        <f t="shared" si="27"/>
        <v>3.0484190560062321E-2</v>
      </c>
    </row>
    <row r="214" spans="1:14" hidden="1" outlineLevel="1">
      <c r="A214" s="197"/>
      <c r="B214" s="207" t="s">
        <v>916</v>
      </c>
      <c r="C214" s="203">
        <f t="shared" si="21"/>
        <v>966.66666666666663</v>
      </c>
      <c r="E214" s="199">
        <v>4</v>
      </c>
      <c r="F214" s="200">
        <v>3</v>
      </c>
      <c r="G214" s="208">
        <f t="shared" si="22"/>
        <v>33.333333333333329</v>
      </c>
      <c r="H214" s="205">
        <f t="shared" si="23"/>
        <v>1.4040014040014041E-2</v>
      </c>
      <c r="I214" s="205">
        <f t="shared" si="24"/>
        <v>1.135804338772574E-2</v>
      </c>
      <c r="J214" s="199">
        <v>32</v>
      </c>
      <c r="K214" s="200">
        <v>3</v>
      </c>
      <c r="L214" s="208">
        <f t="shared" si="25"/>
        <v>966.66666666666663</v>
      </c>
      <c r="M214" s="205">
        <f t="shared" si="26"/>
        <v>2.8474817583199856E-2</v>
      </c>
      <c r="N214" s="206">
        <f t="shared" si="27"/>
        <v>2.5403492133385269E-3</v>
      </c>
    </row>
    <row r="215" spans="1:14" hidden="1" outlineLevel="1">
      <c r="A215" s="197"/>
      <c r="B215" s="207" t="s">
        <v>1148</v>
      </c>
      <c r="C215" s="203" t="str">
        <f t="shared" si="21"/>
        <v/>
      </c>
      <c r="E215" s="199">
        <v>3</v>
      </c>
      <c r="F215" s="200">
        <v>0</v>
      </c>
      <c r="G215" s="208" t="str">
        <f t="shared" si="22"/>
        <v/>
      </c>
      <c r="H215" s="205">
        <f t="shared" si="23"/>
        <v>1.053001053001053E-2</v>
      </c>
      <c r="I215" s="205" t="str">
        <f t="shared" si="24"/>
        <v/>
      </c>
      <c r="J215" s="199">
        <v>26</v>
      </c>
      <c r="K215" s="200">
        <v>0</v>
      </c>
      <c r="L215" s="208" t="str">
        <f t="shared" si="25"/>
        <v/>
      </c>
      <c r="M215" s="205">
        <f t="shared" si="26"/>
        <v>2.3135789286349885E-2</v>
      </c>
      <c r="N215" s="206" t="str">
        <f t="shared" si="27"/>
        <v/>
      </c>
    </row>
    <row r="216" spans="1:14" hidden="1" outlineLevel="1">
      <c r="A216" s="197"/>
      <c r="B216" s="207" t="s">
        <v>913</v>
      </c>
      <c r="C216" s="203">
        <f t="shared" si="21"/>
        <v>-75.280898876404493</v>
      </c>
      <c r="E216" s="199">
        <v>6</v>
      </c>
      <c r="F216" s="200">
        <v>18</v>
      </c>
      <c r="G216" s="208">
        <f t="shared" si="22"/>
        <v>-66.666666666666657</v>
      </c>
      <c r="H216" s="205">
        <f t="shared" si="23"/>
        <v>2.1060021060021059E-2</v>
      </c>
      <c r="I216" s="205">
        <f t="shared" si="24"/>
        <v>6.8148260326354446E-2</v>
      </c>
      <c r="J216" s="199">
        <v>22</v>
      </c>
      <c r="K216" s="200">
        <v>89</v>
      </c>
      <c r="L216" s="208">
        <f t="shared" si="25"/>
        <v>-75.280898876404493</v>
      </c>
      <c r="M216" s="205">
        <f t="shared" si="26"/>
        <v>1.9576437088449902E-2</v>
      </c>
      <c r="N216" s="206">
        <f t="shared" si="27"/>
        <v>7.5363693329042969E-2</v>
      </c>
    </row>
    <row r="217" spans="1:14" collapsed="1">
      <c r="A217" s="197" t="s">
        <v>1259</v>
      </c>
      <c r="B217" s="196" t="s">
        <v>286</v>
      </c>
      <c r="C217" s="203">
        <f t="shared" si="21"/>
        <v>174.38271604938271</v>
      </c>
      <c r="E217" s="199">
        <v>129</v>
      </c>
      <c r="F217" s="200">
        <v>199</v>
      </c>
      <c r="G217" s="208">
        <f t="shared" si="22"/>
        <v>-35.175879396984925</v>
      </c>
      <c r="H217" s="205">
        <f t="shared" si="23"/>
        <v>0.45279045279045277</v>
      </c>
      <c r="I217" s="205">
        <f t="shared" si="24"/>
        <v>0.75341687805247415</v>
      </c>
      <c r="J217" s="199">
        <v>1778</v>
      </c>
      <c r="K217" s="200">
        <v>648</v>
      </c>
      <c r="L217" s="208">
        <f t="shared" si="25"/>
        <v>174.38271604938271</v>
      </c>
      <c r="M217" s="205">
        <f t="shared" si="26"/>
        <v>1.5821320519665423</v>
      </c>
      <c r="N217" s="206">
        <f t="shared" si="27"/>
        <v>0.54871543008112178</v>
      </c>
    </row>
    <row r="218" spans="1:14" hidden="1" outlineLevel="1">
      <c r="A218" s="197"/>
      <c r="B218" s="207" t="s">
        <v>1017</v>
      </c>
      <c r="C218" s="203" t="str">
        <f t="shared" si="21"/>
        <v/>
      </c>
      <c r="E218" s="199">
        <v>47</v>
      </c>
      <c r="F218" s="200">
        <v>0</v>
      </c>
      <c r="G218" s="208" t="str">
        <f t="shared" si="22"/>
        <v/>
      </c>
      <c r="H218" s="205">
        <f t="shared" si="23"/>
        <v>0.16497016497016495</v>
      </c>
      <c r="I218" s="205" t="str">
        <f t="shared" si="24"/>
        <v/>
      </c>
      <c r="J218" s="199">
        <v>737</v>
      </c>
      <c r="K218" s="200">
        <v>0</v>
      </c>
      <c r="L218" s="208" t="str">
        <f t="shared" si="25"/>
        <v/>
      </c>
      <c r="M218" s="205">
        <f t="shared" si="26"/>
        <v>0.65581064246307175</v>
      </c>
      <c r="N218" s="206" t="str">
        <f t="shared" si="27"/>
        <v/>
      </c>
    </row>
    <row r="219" spans="1:14" hidden="1" outlineLevel="1">
      <c r="A219" s="197"/>
      <c r="B219" s="207" t="s">
        <v>966</v>
      </c>
      <c r="C219" s="203">
        <f t="shared" si="21"/>
        <v>112.32876712328768</v>
      </c>
      <c r="E219" s="199">
        <v>10</v>
      </c>
      <c r="F219" s="200">
        <v>63</v>
      </c>
      <c r="G219" s="208">
        <f t="shared" si="22"/>
        <v>-84.126984126984127</v>
      </c>
      <c r="H219" s="205">
        <f t="shared" si="23"/>
        <v>3.51000351000351E-2</v>
      </c>
      <c r="I219" s="205">
        <f t="shared" si="24"/>
        <v>0.23851891114224058</v>
      </c>
      <c r="J219" s="199">
        <v>310</v>
      </c>
      <c r="K219" s="200">
        <v>146</v>
      </c>
      <c r="L219" s="208">
        <f t="shared" si="25"/>
        <v>112.32876712328768</v>
      </c>
      <c r="M219" s="205">
        <f t="shared" si="26"/>
        <v>0.27584979533724863</v>
      </c>
      <c r="N219" s="206">
        <f t="shared" si="27"/>
        <v>0.12363032838247498</v>
      </c>
    </row>
    <row r="220" spans="1:14" hidden="1" outlineLevel="1">
      <c r="A220" s="197"/>
      <c r="B220" s="207" t="s">
        <v>965</v>
      </c>
      <c r="C220" s="203">
        <f t="shared" si="21"/>
        <v>7.5</v>
      </c>
      <c r="E220" s="199">
        <v>33</v>
      </c>
      <c r="F220" s="200">
        <v>57</v>
      </c>
      <c r="G220" s="208">
        <f t="shared" si="22"/>
        <v>-42.105263157894733</v>
      </c>
      <c r="H220" s="205">
        <f t="shared" si="23"/>
        <v>0.11583011583011582</v>
      </c>
      <c r="I220" s="205">
        <f t="shared" si="24"/>
        <v>0.21580282436678908</v>
      </c>
      <c r="J220" s="199">
        <v>258</v>
      </c>
      <c r="K220" s="200">
        <v>240</v>
      </c>
      <c r="L220" s="208">
        <f t="shared" si="25"/>
        <v>7.5</v>
      </c>
      <c r="M220" s="205">
        <f t="shared" si="26"/>
        <v>0.22957821676454884</v>
      </c>
      <c r="N220" s="206">
        <f t="shared" si="27"/>
        <v>0.20322793706708214</v>
      </c>
    </row>
    <row r="221" spans="1:14" hidden="1" outlineLevel="1">
      <c r="A221" s="197"/>
      <c r="B221" s="207" t="s">
        <v>968</v>
      </c>
      <c r="C221" s="203">
        <f t="shared" si="21"/>
        <v>204.8780487804878</v>
      </c>
      <c r="E221" s="199">
        <v>18</v>
      </c>
      <c r="F221" s="200">
        <v>26</v>
      </c>
      <c r="G221" s="208">
        <f t="shared" si="22"/>
        <v>-30.76923076923077</v>
      </c>
      <c r="H221" s="205">
        <f t="shared" si="23"/>
        <v>6.3180063180063181E-2</v>
      </c>
      <c r="I221" s="205">
        <f t="shared" si="24"/>
        <v>9.8436376026956415E-2</v>
      </c>
      <c r="J221" s="199">
        <v>250</v>
      </c>
      <c r="K221" s="200">
        <v>82</v>
      </c>
      <c r="L221" s="208">
        <f t="shared" si="25"/>
        <v>204.8780487804878</v>
      </c>
      <c r="M221" s="205">
        <f t="shared" si="26"/>
        <v>0.22245951236874889</v>
      </c>
      <c r="N221" s="206">
        <f t="shared" si="27"/>
        <v>6.9436211831253064E-2</v>
      </c>
    </row>
    <row r="222" spans="1:14" hidden="1" outlineLevel="1">
      <c r="A222" s="197"/>
      <c r="B222" s="207" t="s">
        <v>969</v>
      </c>
      <c r="C222" s="203">
        <f t="shared" si="21"/>
        <v>22.368421052631579</v>
      </c>
      <c r="E222" s="199">
        <v>10</v>
      </c>
      <c r="F222" s="200">
        <v>18</v>
      </c>
      <c r="G222" s="208">
        <f t="shared" si="22"/>
        <v>-44.444444444444443</v>
      </c>
      <c r="H222" s="205">
        <f t="shared" si="23"/>
        <v>3.51000351000351E-2</v>
      </c>
      <c r="I222" s="205">
        <f t="shared" si="24"/>
        <v>6.8148260326354446E-2</v>
      </c>
      <c r="J222" s="199">
        <v>93</v>
      </c>
      <c r="K222" s="200">
        <v>76</v>
      </c>
      <c r="L222" s="208">
        <f t="shared" si="25"/>
        <v>22.368421052631579</v>
      </c>
      <c r="M222" s="205">
        <f t="shared" si="26"/>
        <v>8.2754938601174596E-2</v>
      </c>
      <c r="N222" s="206">
        <f t="shared" si="27"/>
        <v>6.4355513404576015E-2</v>
      </c>
    </row>
    <row r="223" spans="1:14" hidden="1" outlineLevel="1">
      <c r="A223" s="197"/>
      <c r="B223" s="207" t="s">
        <v>967</v>
      </c>
      <c r="C223" s="203">
        <f t="shared" si="21"/>
        <v>15.789473684210526</v>
      </c>
      <c r="E223" s="199">
        <v>5</v>
      </c>
      <c r="F223" s="200">
        <v>27</v>
      </c>
      <c r="G223" s="208">
        <f t="shared" si="22"/>
        <v>-81.481481481481481</v>
      </c>
      <c r="H223" s="205">
        <f t="shared" si="23"/>
        <v>1.755001755001755E-2</v>
      </c>
      <c r="I223" s="205">
        <f t="shared" si="24"/>
        <v>0.10222239048953168</v>
      </c>
      <c r="J223" s="199">
        <v>88</v>
      </c>
      <c r="K223" s="200">
        <v>76</v>
      </c>
      <c r="L223" s="208">
        <f t="shared" si="25"/>
        <v>15.789473684210526</v>
      </c>
      <c r="M223" s="205">
        <f t="shared" si="26"/>
        <v>7.8305748353799609E-2</v>
      </c>
      <c r="N223" s="206">
        <f t="shared" si="27"/>
        <v>6.4355513404576015E-2</v>
      </c>
    </row>
    <row r="224" spans="1:14" hidden="1" outlineLevel="1">
      <c r="A224" s="197"/>
      <c r="B224" s="207" t="s">
        <v>970</v>
      </c>
      <c r="C224" s="203">
        <f t="shared" si="21"/>
        <v>131.25</v>
      </c>
      <c r="E224" s="199">
        <v>6</v>
      </c>
      <c r="F224" s="200">
        <v>5</v>
      </c>
      <c r="G224" s="208">
        <f t="shared" si="22"/>
        <v>20</v>
      </c>
      <c r="H224" s="205">
        <f t="shared" si="23"/>
        <v>2.1060021060021059E-2</v>
      </c>
      <c r="I224" s="205">
        <f t="shared" si="24"/>
        <v>1.8930072312876235E-2</v>
      </c>
      <c r="J224" s="199">
        <v>37</v>
      </c>
      <c r="K224" s="200">
        <v>16</v>
      </c>
      <c r="L224" s="208">
        <f t="shared" si="25"/>
        <v>131.25</v>
      </c>
      <c r="M224" s="205">
        <f t="shared" si="26"/>
        <v>3.2924007830574836E-2</v>
      </c>
      <c r="N224" s="206">
        <f t="shared" si="27"/>
        <v>1.3548529137805475E-2</v>
      </c>
    </row>
    <row r="225" spans="1:14" hidden="1" outlineLevel="1">
      <c r="A225" s="197"/>
      <c r="B225" s="207" t="s">
        <v>971</v>
      </c>
      <c r="C225" s="203">
        <f t="shared" si="21"/>
        <v>-37.5</v>
      </c>
      <c r="E225" s="199">
        <v>0</v>
      </c>
      <c r="F225" s="200">
        <v>1</v>
      </c>
      <c r="G225" s="208">
        <f t="shared" si="22"/>
        <v>-100</v>
      </c>
      <c r="H225" s="205" t="str">
        <f t="shared" si="23"/>
        <v/>
      </c>
      <c r="I225" s="205">
        <f t="shared" si="24"/>
        <v>3.7860144625752466E-3</v>
      </c>
      <c r="J225" s="199">
        <v>5</v>
      </c>
      <c r="K225" s="200">
        <v>8</v>
      </c>
      <c r="L225" s="208">
        <f t="shared" si="25"/>
        <v>-37.5</v>
      </c>
      <c r="M225" s="205">
        <f t="shared" si="26"/>
        <v>4.4491902473749777E-3</v>
      </c>
      <c r="N225" s="206">
        <f t="shared" si="27"/>
        <v>6.7742645689027377E-3</v>
      </c>
    </row>
    <row r="226" spans="1:14" hidden="1" outlineLevel="1">
      <c r="A226" s="197"/>
      <c r="B226" s="207" t="s">
        <v>972</v>
      </c>
      <c r="C226" s="203">
        <f t="shared" si="21"/>
        <v>-100</v>
      </c>
      <c r="E226" s="199">
        <v>0</v>
      </c>
      <c r="F226" s="200">
        <v>2</v>
      </c>
      <c r="G226" s="208">
        <f t="shared" si="22"/>
        <v>-100</v>
      </c>
      <c r="H226" s="205" t="str">
        <f t="shared" si="23"/>
        <v/>
      </c>
      <c r="I226" s="205">
        <f t="shared" si="24"/>
        <v>7.5720289251504933E-3</v>
      </c>
      <c r="J226" s="199">
        <v>0</v>
      </c>
      <c r="K226" s="200">
        <v>4</v>
      </c>
      <c r="L226" s="208">
        <f t="shared" si="25"/>
        <v>-100</v>
      </c>
      <c r="M226" s="205" t="str">
        <f t="shared" si="26"/>
        <v/>
      </c>
      <c r="N226" s="206">
        <f t="shared" si="27"/>
        <v>3.3871322844513689E-3</v>
      </c>
    </row>
    <row r="227" spans="1:14" collapsed="1">
      <c r="A227" s="197" t="s">
        <v>1260</v>
      </c>
      <c r="B227" s="196" t="s">
        <v>294</v>
      </c>
      <c r="C227" s="203">
        <f t="shared" si="21"/>
        <v>23.189655172413794</v>
      </c>
      <c r="E227" s="199">
        <v>336</v>
      </c>
      <c r="F227" s="200">
        <v>223</v>
      </c>
      <c r="G227" s="208">
        <f t="shared" si="22"/>
        <v>50.672645739910315</v>
      </c>
      <c r="H227" s="205">
        <f t="shared" si="23"/>
        <v>1.1793611793611793</v>
      </c>
      <c r="I227" s="205">
        <f t="shared" si="24"/>
        <v>0.84428122515428017</v>
      </c>
      <c r="J227" s="199">
        <v>1429</v>
      </c>
      <c r="K227" s="200">
        <v>1160</v>
      </c>
      <c r="L227" s="208">
        <f t="shared" si="25"/>
        <v>23.189655172413794</v>
      </c>
      <c r="M227" s="205">
        <f t="shared" si="26"/>
        <v>1.2715785726997686</v>
      </c>
      <c r="N227" s="206">
        <f t="shared" si="27"/>
        <v>0.982268362490897</v>
      </c>
    </row>
    <row r="228" spans="1:14" hidden="1" outlineLevel="1">
      <c r="A228" s="197"/>
      <c r="B228" s="207" t="s">
        <v>948</v>
      </c>
      <c r="C228" s="203">
        <f t="shared" si="21"/>
        <v>84.581497797356832</v>
      </c>
      <c r="E228" s="199">
        <v>94</v>
      </c>
      <c r="F228" s="200">
        <v>20</v>
      </c>
      <c r="G228" s="208">
        <f t="shared" si="22"/>
        <v>370</v>
      </c>
      <c r="H228" s="205">
        <f t="shared" si="23"/>
        <v>0.3299403299403299</v>
      </c>
      <c r="I228" s="205">
        <f t="shared" si="24"/>
        <v>7.5720289251504938E-2</v>
      </c>
      <c r="J228" s="199">
        <v>419</v>
      </c>
      <c r="K228" s="200">
        <v>227</v>
      </c>
      <c r="L228" s="208">
        <f t="shared" si="25"/>
        <v>84.581497797356832</v>
      </c>
      <c r="M228" s="205">
        <f t="shared" si="26"/>
        <v>0.37284214273002314</v>
      </c>
      <c r="N228" s="206">
        <f t="shared" si="27"/>
        <v>0.19221975714261522</v>
      </c>
    </row>
    <row r="229" spans="1:14" hidden="1" outlineLevel="1">
      <c r="A229" s="197"/>
      <c r="B229" s="207" t="s">
        <v>947</v>
      </c>
      <c r="C229" s="203">
        <f t="shared" si="21"/>
        <v>-20.971867007672635</v>
      </c>
      <c r="E229" s="199">
        <v>52</v>
      </c>
      <c r="F229" s="200">
        <v>76</v>
      </c>
      <c r="G229" s="208">
        <f t="shared" si="22"/>
        <v>-31.578947368421051</v>
      </c>
      <c r="H229" s="205">
        <f t="shared" si="23"/>
        <v>0.18252018252018251</v>
      </c>
      <c r="I229" s="205">
        <f t="shared" si="24"/>
        <v>0.28773709915571877</v>
      </c>
      <c r="J229" s="199">
        <v>309</v>
      </c>
      <c r="K229" s="200">
        <v>391</v>
      </c>
      <c r="L229" s="208">
        <f t="shared" si="25"/>
        <v>-20.971867007672635</v>
      </c>
      <c r="M229" s="205">
        <f t="shared" si="26"/>
        <v>0.27495995728777362</v>
      </c>
      <c r="N229" s="206">
        <f t="shared" si="27"/>
        <v>0.33109218080512132</v>
      </c>
    </row>
    <row r="230" spans="1:14" hidden="1" outlineLevel="1">
      <c r="A230" s="197"/>
      <c r="B230" s="207">
        <v>911</v>
      </c>
      <c r="C230" s="203">
        <f t="shared" si="21"/>
        <v>24.180327868852459</v>
      </c>
      <c r="E230" s="199">
        <v>115</v>
      </c>
      <c r="F230" s="200">
        <v>72</v>
      </c>
      <c r="G230" s="208">
        <f t="shared" si="22"/>
        <v>59.722222222222221</v>
      </c>
      <c r="H230" s="205">
        <f t="shared" si="23"/>
        <v>0.40365040365040367</v>
      </c>
      <c r="I230" s="205">
        <f t="shared" si="24"/>
        <v>0.27259304130541778</v>
      </c>
      <c r="J230" s="199">
        <v>303</v>
      </c>
      <c r="K230" s="200">
        <v>244</v>
      </c>
      <c r="L230" s="208">
        <f t="shared" si="25"/>
        <v>24.180327868852459</v>
      </c>
      <c r="M230" s="205">
        <f t="shared" si="26"/>
        <v>0.26962092899092366</v>
      </c>
      <c r="N230" s="206">
        <f t="shared" si="27"/>
        <v>0.20661506935153351</v>
      </c>
    </row>
    <row r="231" spans="1:14" hidden="1" outlineLevel="1">
      <c r="A231" s="197"/>
      <c r="B231" s="207" t="s">
        <v>949</v>
      </c>
      <c r="C231" s="203">
        <f t="shared" si="21"/>
        <v>62.068965517241381</v>
      </c>
      <c r="E231" s="199">
        <v>39</v>
      </c>
      <c r="F231" s="200">
        <v>22</v>
      </c>
      <c r="G231" s="208">
        <f t="shared" si="22"/>
        <v>77.272727272727266</v>
      </c>
      <c r="H231" s="205">
        <f t="shared" si="23"/>
        <v>0.1368901368901369</v>
      </c>
      <c r="I231" s="205">
        <f t="shared" si="24"/>
        <v>8.329231817665543E-2</v>
      </c>
      <c r="J231" s="199">
        <v>235</v>
      </c>
      <c r="K231" s="200">
        <v>145</v>
      </c>
      <c r="L231" s="208">
        <f t="shared" si="25"/>
        <v>62.068965517241381</v>
      </c>
      <c r="M231" s="205">
        <f t="shared" si="26"/>
        <v>0.20911194162662397</v>
      </c>
      <c r="N231" s="206">
        <f t="shared" si="27"/>
        <v>0.12278354531136212</v>
      </c>
    </row>
    <row r="232" spans="1:14" hidden="1" outlineLevel="1">
      <c r="A232" s="197"/>
      <c r="B232" s="207" t="s">
        <v>950</v>
      </c>
      <c r="C232" s="203">
        <f t="shared" si="21"/>
        <v>7.9545454545454541</v>
      </c>
      <c r="E232" s="199">
        <v>11</v>
      </c>
      <c r="F232" s="200">
        <v>20</v>
      </c>
      <c r="G232" s="208">
        <f t="shared" si="22"/>
        <v>-45</v>
      </c>
      <c r="H232" s="205">
        <f t="shared" si="23"/>
        <v>3.8610038610038609E-2</v>
      </c>
      <c r="I232" s="205">
        <f t="shared" si="24"/>
        <v>7.5720289251504938E-2</v>
      </c>
      <c r="J232" s="199">
        <v>95</v>
      </c>
      <c r="K232" s="200">
        <v>88</v>
      </c>
      <c r="L232" s="208">
        <f t="shared" si="25"/>
        <v>7.9545454545454541</v>
      </c>
      <c r="M232" s="205">
        <f t="shared" si="26"/>
        <v>8.4534614700124577E-2</v>
      </c>
      <c r="N232" s="206">
        <f t="shared" si="27"/>
        <v>7.4516910257930127E-2</v>
      </c>
    </row>
    <row r="233" spans="1:14" hidden="1" outlineLevel="1">
      <c r="A233" s="197"/>
      <c r="B233" s="207">
        <v>718</v>
      </c>
      <c r="C233" s="203">
        <f t="shared" si="21"/>
        <v>4.6153846153846159</v>
      </c>
      <c r="E233" s="199">
        <v>25</v>
      </c>
      <c r="F233" s="200">
        <v>13</v>
      </c>
      <c r="G233" s="208">
        <f t="shared" si="22"/>
        <v>92.307692307692307</v>
      </c>
      <c r="H233" s="205">
        <f t="shared" si="23"/>
        <v>8.775008775008776E-2</v>
      </c>
      <c r="I233" s="205">
        <f t="shared" si="24"/>
        <v>4.9218188013478208E-2</v>
      </c>
      <c r="J233" s="199">
        <v>68</v>
      </c>
      <c r="K233" s="200">
        <v>65</v>
      </c>
      <c r="L233" s="208">
        <f t="shared" si="25"/>
        <v>4.6153846153846159</v>
      </c>
      <c r="M233" s="205">
        <f t="shared" si="26"/>
        <v>6.0508987364299702E-2</v>
      </c>
      <c r="N233" s="206">
        <f t="shared" si="27"/>
        <v>5.504089962233475E-2</v>
      </c>
    </row>
    <row r="234" spans="1:14" collapsed="1">
      <c r="A234" s="197" t="s">
        <v>1261</v>
      </c>
      <c r="B234" s="196" t="s">
        <v>272</v>
      </c>
      <c r="C234" s="203">
        <f t="shared" si="21"/>
        <v>-2.2972002871500359</v>
      </c>
      <c r="E234" s="199">
        <v>312</v>
      </c>
      <c r="F234" s="200">
        <v>547</v>
      </c>
      <c r="G234" s="208">
        <f t="shared" si="22"/>
        <v>-42.961608775137108</v>
      </c>
      <c r="H234" s="205">
        <f t="shared" si="23"/>
        <v>1.0951210951210952</v>
      </c>
      <c r="I234" s="205">
        <f t="shared" si="24"/>
        <v>2.0709499110286602</v>
      </c>
      <c r="J234" s="199">
        <v>1361</v>
      </c>
      <c r="K234" s="200">
        <v>1393</v>
      </c>
      <c r="L234" s="208">
        <f t="shared" si="25"/>
        <v>-2.2972002871500359</v>
      </c>
      <c r="M234" s="205">
        <f t="shared" si="26"/>
        <v>1.2110695853354689</v>
      </c>
      <c r="N234" s="206">
        <f t="shared" si="27"/>
        <v>1.1795688180601893</v>
      </c>
    </row>
    <row r="235" spans="1:14" hidden="1" outlineLevel="1">
      <c r="A235" s="197"/>
      <c r="B235" s="207" t="s">
        <v>924</v>
      </c>
      <c r="C235" s="203">
        <f t="shared" si="21"/>
        <v>51.532033426183844</v>
      </c>
      <c r="E235" s="199">
        <v>220</v>
      </c>
      <c r="F235" s="200">
        <v>149</v>
      </c>
      <c r="G235" s="208">
        <f t="shared" si="22"/>
        <v>47.651006711409394</v>
      </c>
      <c r="H235" s="205">
        <f t="shared" si="23"/>
        <v>0.77220077220077221</v>
      </c>
      <c r="I235" s="205">
        <f t="shared" si="24"/>
        <v>0.56411615492371181</v>
      </c>
      <c r="J235" s="199">
        <v>544</v>
      </c>
      <c r="K235" s="200">
        <v>359</v>
      </c>
      <c r="L235" s="208">
        <f t="shared" si="25"/>
        <v>51.532033426183844</v>
      </c>
      <c r="M235" s="205">
        <f t="shared" si="26"/>
        <v>0.48407189891439761</v>
      </c>
      <c r="N235" s="206">
        <f t="shared" si="27"/>
        <v>0.30399512252951039</v>
      </c>
    </row>
    <row r="236" spans="1:14" hidden="1" outlineLevel="1">
      <c r="A236" s="197"/>
      <c r="B236" s="207" t="s">
        <v>926</v>
      </c>
      <c r="C236" s="203">
        <f t="shared" si="21"/>
        <v>214.48275862068965</v>
      </c>
      <c r="E236" s="199">
        <v>19</v>
      </c>
      <c r="F236" s="200">
        <v>55</v>
      </c>
      <c r="G236" s="208">
        <f t="shared" si="22"/>
        <v>-65.454545454545453</v>
      </c>
      <c r="H236" s="205">
        <f t="shared" si="23"/>
        <v>6.6690066690066691E-2</v>
      </c>
      <c r="I236" s="205">
        <f t="shared" si="24"/>
        <v>0.20823079544163861</v>
      </c>
      <c r="J236" s="199">
        <v>456</v>
      </c>
      <c r="K236" s="200">
        <v>145</v>
      </c>
      <c r="L236" s="208">
        <f t="shared" si="25"/>
        <v>214.48275862068965</v>
      </c>
      <c r="M236" s="205">
        <f t="shared" si="26"/>
        <v>0.40576615056059795</v>
      </c>
      <c r="N236" s="206">
        <f t="shared" si="27"/>
        <v>0.12278354531136212</v>
      </c>
    </row>
    <row r="237" spans="1:14" hidden="1" outlineLevel="1">
      <c r="A237" s="197"/>
      <c r="B237" s="207" t="s">
        <v>925</v>
      </c>
      <c r="C237" s="203">
        <f t="shared" si="21"/>
        <v>-52.416356877323423</v>
      </c>
      <c r="E237" s="199">
        <v>37</v>
      </c>
      <c r="F237" s="200">
        <v>176</v>
      </c>
      <c r="G237" s="208">
        <f t="shared" si="22"/>
        <v>-78.977272727272734</v>
      </c>
      <c r="H237" s="205">
        <f t="shared" si="23"/>
        <v>0.12987012987012986</v>
      </c>
      <c r="I237" s="205">
        <f t="shared" si="24"/>
        <v>0.66633854541324344</v>
      </c>
      <c r="J237" s="199">
        <v>256</v>
      </c>
      <c r="K237" s="200">
        <v>538</v>
      </c>
      <c r="L237" s="208">
        <f t="shared" si="25"/>
        <v>-52.416356877323423</v>
      </c>
      <c r="M237" s="205">
        <f t="shared" si="26"/>
        <v>0.22779854066559885</v>
      </c>
      <c r="N237" s="206">
        <f t="shared" si="27"/>
        <v>0.45556929225870918</v>
      </c>
    </row>
    <row r="238" spans="1:14" hidden="1" outlineLevel="1">
      <c r="A238" s="197"/>
      <c r="B238" s="207" t="s">
        <v>928</v>
      </c>
      <c r="C238" s="203">
        <f t="shared" si="21"/>
        <v>-4.4444444444444446</v>
      </c>
      <c r="E238" s="199">
        <v>21</v>
      </c>
      <c r="F238" s="200">
        <v>17</v>
      </c>
      <c r="G238" s="208">
        <f t="shared" si="22"/>
        <v>23.52941176470588</v>
      </c>
      <c r="H238" s="205">
        <f t="shared" si="23"/>
        <v>7.3710073710073709E-2</v>
      </c>
      <c r="I238" s="205">
        <f t="shared" si="24"/>
        <v>6.4362245863779199E-2</v>
      </c>
      <c r="J238" s="199">
        <v>43</v>
      </c>
      <c r="K238" s="200">
        <v>45</v>
      </c>
      <c r="L238" s="208">
        <f t="shared" si="25"/>
        <v>-4.4444444444444446</v>
      </c>
      <c r="M238" s="205">
        <f t="shared" si="26"/>
        <v>3.8263036127424814E-2</v>
      </c>
      <c r="N238" s="206">
        <f t="shared" si="27"/>
        <v>3.8105238200077905E-2</v>
      </c>
    </row>
    <row r="239" spans="1:14" hidden="1" outlineLevel="1">
      <c r="A239" s="197"/>
      <c r="B239" s="207" t="s">
        <v>932</v>
      </c>
      <c r="C239" s="203">
        <f t="shared" si="21"/>
        <v>47.368421052631575</v>
      </c>
      <c r="E239" s="199">
        <v>7</v>
      </c>
      <c r="F239" s="200">
        <v>13</v>
      </c>
      <c r="G239" s="208">
        <f t="shared" si="22"/>
        <v>-46.153846153846153</v>
      </c>
      <c r="H239" s="205">
        <f t="shared" si="23"/>
        <v>2.4570024570024569E-2</v>
      </c>
      <c r="I239" s="205">
        <f t="shared" si="24"/>
        <v>4.9218188013478208E-2</v>
      </c>
      <c r="J239" s="199">
        <v>28</v>
      </c>
      <c r="K239" s="200">
        <v>19</v>
      </c>
      <c r="L239" s="208">
        <f t="shared" si="25"/>
        <v>47.368421052631575</v>
      </c>
      <c r="M239" s="205">
        <f t="shared" si="26"/>
        <v>2.4915465385299873E-2</v>
      </c>
      <c r="N239" s="206">
        <f t="shared" si="27"/>
        <v>1.6088878351144004E-2</v>
      </c>
    </row>
    <row r="240" spans="1:14" hidden="1" outlineLevel="1">
      <c r="A240" s="197"/>
      <c r="B240" s="207" t="s">
        <v>929</v>
      </c>
      <c r="C240" s="203">
        <f t="shared" si="21"/>
        <v>-52.830188679245282</v>
      </c>
      <c r="E240" s="199">
        <v>6</v>
      </c>
      <c r="F240" s="200">
        <v>53</v>
      </c>
      <c r="G240" s="208">
        <f t="shared" si="22"/>
        <v>-88.679245283018872</v>
      </c>
      <c r="H240" s="205">
        <f t="shared" si="23"/>
        <v>2.1060021060021059E-2</v>
      </c>
      <c r="I240" s="205">
        <f t="shared" si="24"/>
        <v>0.20065876651648809</v>
      </c>
      <c r="J240" s="199">
        <v>25</v>
      </c>
      <c r="K240" s="200">
        <v>53</v>
      </c>
      <c r="L240" s="208">
        <f t="shared" si="25"/>
        <v>-52.830188679245282</v>
      </c>
      <c r="M240" s="205">
        <f t="shared" si="26"/>
        <v>2.2245951236874888E-2</v>
      </c>
      <c r="N240" s="206">
        <f t="shared" si="27"/>
        <v>4.4879502768980645E-2</v>
      </c>
    </row>
    <row r="241" spans="1:14" hidden="1" outlineLevel="1">
      <c r="A241" s="197"/>
      <c r="B241" s="207" t="s">
        <v>1149</v>
      </c>
      <c r="C241" s="203" t="str">
        <f t="shared" si="21"/>
        <v/>
      </c>
      <c r="E241" s="199">
        <v>2</v>
      </c>
      <c r="F241" s="200">
        <v>0</v>
      </c>
      <c r="G241" s="208" t="str">
        <f t="shared" si="22"/>
        <v/>
      </c>
      <c r="H241" s="205">
        <f t="shared" si="23"/>
        <v>7.0200070200070203E-3</v>
      </c>
      <c r="I241" s="205" t="str">
        <f t="shared" si="24"/>
        <v/>
      </c>
      <c r="J241" s="199">
        <v>9</v>
      </c>
      <c r="K241" s="200">
        <v>0</v>
      </c>
      <c r="L241" s="208" t="str">
        <f t="shared" si="25"/>
        <v/>
      </c>
      <c r="M241" s="205">
        <f t="shared" si="26"/>
        <v>8.0085424452749597E-3</v>
      </c>
      <c r="N241" s="206" t="str">
        <f t="shared" si="27"/>
        <v/>
      </c>
    </row>
    <row r="242" spans="1:14" hidden="1" outlineLevel="1">
      <c r="A242" s="197"/>
      <c r="B242" s="207" t="s">
        <v>927</v>
      </c>
      <c r="C242" s="203">
        <f t="shared" si="21"/>
        <v>-100</v>
      </c>
      <c r="E242" s="199">
        <v>0</v>
      </c>
      <c r="F242" s="200">
        <v>71</v>
      </c>
      <c r="G242" s="208">
        <f t="shared" si="22"/>
        <v>-100</v>
      </c>
      <c r="H242" s="205" t="str">
        <f t="shared" si="23"/>
        <v/>
      </c>
      <c r="I242" s="205">
        <f t="shared" si="24"/>
        <v>0.26880702684284252</v>
      </c>
      <c r="J242" s="199">
        <v>0</v>
      </c>
      <c r="K242" s="200">
        <v>146</v>
      </c>
      <c r="L242" s="208">
        <f t="shared" si="25"/>
        <v>-100</v>
      </c>
      <c r="M242" s="205" t="str">
        <f t="shared" si="26"/>
        <v/>
      </c>
      <c r="N242" s="206">
        <f t="shared" si="27"/>
        <v>0.12363032838247498</v>
      </c>
    </row>
    <row r="243" spans="1:14" hidden="1" outlineLevel="1">
      <c r="A243" s="197"/>
      <c r="B243" s="207" t="s">
        <v>930</v>
      </c>
      <c r="C243" s="203">
        <f t="shared" si="21"/>
        <v>-100</v>
      </c>
      <c r="E243" s="199">
        <v>0</v>
      </c>
      <c r="F243" s="200">
        <v>12</v>
      </c>
      <c r="G243" s="208">
        <f t="shared" si="22"/>
        <v>-100</v>
      </c>
      <c r="H243" s="205" t="str">
        <f t="shared" si="23"/>
        <v/>
      </c>
      <c r="I243" s="205">
        <f t="shared" si="24"/>
        <v>4.5432173550902961E-2</v>
      </c>
      <c r="J243" s="199">
        <v>0</v>
      </c>
      <c r="K243" s="200">
        <v>39</v>
      </c>
      <c r="L243" s="208">
        <f t="shared" si="25"/>
        <v>-100</v>
      </c>
      <c r="M243" s="205" t="str">
        <f t="shared" si="26"/>
        <v/>
      </c>
      <c r="N243" s="206">
        <f t="shared" si="27"/>
        <v>3.3024539773400849E-2</v>
      </c>
    </row>
    <row r="244" spans="1:14" hidden="1" outlineLevel="1">
      <c r="A244" s="197"/>
      <c r="B244" s="207" t="s">
        <v>1180</v>
      </c>
      <c r="C244" s="203">
        <f t="shared" si="21"/>
        <v>-100</v>
      </c>
      <c r="E244" s="199">
        <v>0</v>
      </c>
      <c r="F244" s="200">
        <v>1</v>
      </c>
      <c r="G244" s="208">
        <f t="shared" si="22"/>
        <v>-100</v>
      </c>
      <c r="H244" s="205" t="str">
        <f t="shared" si="23"/>
        <v/>
      </c>
      <c r="I244" s="205">
        <f t="shared" si="24"/>
        <v>3.7860144625752466E-3</v>
      </c>
      <c r="J244" s="199">
        <v>0</v>
      </c>
      <c r="K244" s="200">
        <v>27</v>
      </c>
      <c r="L244" s="208">
        <f t="shared" si="25"/>
        <v>-100</v>
      </c>
      <c r="M244" s="205" t="str">
        <f t="shared" si="26"/>
        <v/>
      </c>
      <c r="N244" s="206">
        <f t="shared" si="27"/>
        <v>2.2863142920046743E-2</v>
      </c>
    </row>
    <row r="245" spans="1:14" hidden="1" outlineLevel="1">
      <c r="A245" s="197"/>
      <c r="B245" s="207" t="s">
        <v>931</v>
      </c>
      <c r="C245" s="203">
        <f t="shared" si="21"/>
        <v>-100</v>
      </c>
      <c r="E245" s="199">
        <v>0</v>
      </c>
      <c r="F245" s="200">
        <v>0</v>
      </c>
      <c r="G245" s="208" t="str">
        <f t="shared" si="22"/>
        <v/>
      </c>
      <c r="H245" s="205" t="str">
        <f t="shared" si="23"/>
        <v/>
      </c>
      <c r="I245" s="205" t="str">
        <f t="shared" si="24"/>
        <v/>
      </c>
      <c r="J245" s="199">
        <v>0</v>
      </c>
      <c r="K245" s="200">
        <v>22</v>
      </c>
      <c r="L245" s="208">
        <f t="shared" si="25"/>
        <v>-100</v>
      </c>
      <c r="M245" s="205" t="str">
        <f t="shared" si="26"/>
        <v/>
      </c>
      <c r="N245" s="206">
        <f t="shared" si="27"/>
        <v>1.8629227564482532E-2</v>
      </c>
    </row>
    <row r="246" spans="1:14" collapsed="1">
      <c r="A246" s="197" t="s">
        <v>1262</v>
      </c>
      <c r="B246" s="196" t="s">
        <v>332</v>
      </c>
      <c r="C246" s="203">
        <f t="shared" si="21"/>
        <v>-33.183632734530939</v>
      </c>
      <c r="E246" s="199">
        <v>695</v>
      </c>
      <c r="F246" s="200">
        <v>315</v>
      </c>
      <c r="G246" s="208">
        <f t="shared" si="22"/>
        <v>120.63492063492063</v>
      </c>
      <c r="H246" s="205">
        <f t="shared" si="23"/>
        <v>2.4394524394524395</v>
      </c>
      <c r="I246" s="205">
        <f t="shared" si="24"/>
        <v>1.1925945557112028</v>
      </c>
      <c r="J246" s="199">
        <v>1339</v>
      </c>
      <c r="K246" s="200">
        <v>2004</v>
      </c>
      <c r="L246" s="208">
        <f t="shared" si="25"/>
        <v>-33.183632734530939</v>
      </c>
      <c r="M246" s="205">
        <f t="shared" si="26"/>
        <v>1.191493148247019</v>
      </c>
      <c r="N246" s="206">
        <f t="shared" si="27"/>
        <v>1.6969532745101361</v>
      </c>
    </row>
    <row r="247" spans="1:14" hidden="1" outlineLevel="1">
      <c r="A247" s="197"/>
      <c r="B247" s="207">
        <v>2</v>
      </c>
      <c r="C247" s="203">
        <f t="shared" si="21"/>
        <v>-33.016508254127061</v>
      </c>
      <c r="E247" s="199">
        <v>695</v>
      </c>
      <c r="F247" s="200">
        <v>315</v>
      </c>
      <c r="G247" s="208">
        <f t="shared" si="22"/>
        <v>120.63492063492063</v>
      </c>
      <c r="H247" s="205">
        <f t="shared" si="23"/>
        <v>2.4394524394524395</v>
      </c>
      <c r="I247" s="205">
        <f t="shared" si="24"/>
        <v>1.1925945557112028</v>
      </c>
      <c r="J247" s="199">
        <v>1339</v>
      </c>
      <c r="K247" s="200">
        <v>1999</v>
      </c>
      <c r="L247" s="208">
        <f t="shared" si="25"/>
        <v>-33.016508254127061</v>
      </c>
      <c r="M247" s="205">
        <f t="shared" si="26"/>
        <v>1.191493148247019</v>
      </c>
      <c r="N247" s="206">
        <f t="shared" si="27"/>
        <v>1.6927193591545719</v>
      </c>
    </row>
    <row r="248" spans="1:14" hidden="1" outlineLevel="1">
      <c r="A248" s="197"/>
      <c r="B248" s="207">
        <v>1</v>
      </c>
      <c r="C248" s="203">
        <f t="shared" si="21"/>
        <v>-100</v>
      </c>
      <c r="E248" s="199">
        <v>0</v>
      </c>
      <c r="F248" s="200">
        <v>0</v>
      </c>
      <c r="G248" s="208" t="str">
        <f t="shared" si="22"/>
        <v/>
      </c>
      <c r="H248" s="205" t="str">
        <f t="shared" si="23"/>
        <v/>
      </c>
      <c r="I248" s="205" t="str">
        <f t="shared" si="24"/>
        <v/>
      </c>
      <c r="J248" s="199">
        <v>0</v>
      </c>
      <c r="K248" s="200">
        <v>5</v>
      </c>
      <c r="L248" s="208">
        <f t="shared" si="25"/>
        <v>-100</v>
      </c>
      <c r="M248" s="205" t="str">
        <f t="shared" si="26"/>
        <v/>
      </c>
      <c r="N248" s="206">
        <f t="shared" si="27"/>
        <v>4.2339153555642113E-3</v>
      </c>
    </row>
    <row r="249" spans="1:14" collapsed="1">
      <c r="A249" s="197" t="s">
        <v>1263</v>
      </c>
      <c r="B249" s="196" t="s">
        <v>273</v>
      </c>
      <c r="C249" s="203">
        <f t="shared" si="21"/>
        <v>-1.6030534351145038</v>
      </c>
      <c r="E249" s="199">
        <v>249</v>
      </c>
      <c r="F249" s="200">
        <v>257</v>
      </c>
      <c r="G249" s="208">
        <f t="shared" si="22"/>
        <v>-3.1128404669260701</v>
      </c>
      <c r="H249" s="205">
        <f t="shared" si="23"/>
        <v>0.87399087399087394</v>
      </c>
      <c r="I249" s="205">
        <f t="shared" si="24"/>
        <v>0.97300571688183846</v>
      </c>
      <c r="J249" s="199">
        <v>1289</v>
      </c>
      <c r="K249" s="200">
        <v>1310</v>
      </c>
      <c r="L249" s="208">
        <f t="shared" si="25"/>
        <v>-1.6030534351145038</v>
      </c>
      <c r="M249" s="205">
        <f t="shared" si="26"/>
        <v>1.1470012457732692</v>
      </c>
      <c r="N249" s="206">
        <f t="shared" si="27"/>
        <v>1.1092858231578235</v>
      </c>
    </row>
    <row r="250" spans="1:14" hidden="1" outlineLevel="1">
      <c r="A250" s="197"/>
      <c r="B250" s="207" t="s">
        <v>945</v>
      </c>
      <c r="C250" s="203">
        <f t="shared" si="21"/>
        <v>14.435146443514643</v>
      </c>
      <c r="E250" s="199">
        <v>168</v>
      </c>
      <c r="F250" s="200">
        <v>55</v>
      </c>
      <c r="G250" s="208">
        <f t="shared" si="22"/>
        <v>205.45454545454547</v>
      </c>
      <c r="H250" s="205">
        <f t="shared" si="23"/>
        <v>0.58968058968058967</v>
      </c>
      <c r="I250" s="205">
        <f t="shared" si="24"/>
        <v>0.20823079544163861</v>
      </c>
      <c r="J250" s="199">
        <v>547</v>
      </c>
      <c r="K250" s="200">
        <v>478</v>
      </c>
      <c r="L250" s="208">
        <f t="shared" si="25"/>
        <v>14.435146443514643</v>
      </c>
      <c r="M250" s="205">
        <f t="shared" si="26"/>
        <v>0.48674141306282259</v>
      </c>
      <c r="N250" s="206">
        <f t="shared" si="27"/>
        <v>0.40476230799193863</v>
      </c>
    </row>
    <row r="251" spans="1:14" hidden="1" outlineLevel="1">
      <c r="A251" s="197"/>
      <c r="B251" s="207" t="s">
        <v>944</v>
      </c>
      <c r="C251" s="203">
        <f t="shared" si="21"/>
        <v>-28.840970350404309</v>
      </c>
      <c r="E251" s="199">
        <v>51</v>
      </c>
      <c r="F251" s="200">
        <v>173</v>
      </c>
      <c r="G251" s="208">
        <f t="shared" si="22"/>
        <v>-70.520231213872833</v>
      </c>
      <c r="H251" s="205">
        <f t="shared" si="23"/>
        <v>0.17901017901017902</v>
      </c>
      <c r="I251" s="205">
        <f t="shared" si="24"/>
        <v>0.65498050202551772</v>
      </c>
      <c r="J251" s="199">
        <v>528</v>
      </c>
      <c r="K251" s="200">
        <v>742</v>
      </c>
      <c r="L251" s="208">
        <f t="shared" si="25"/>
        <v>-28.840970350404309</v>
      </c>
      <c r="M251" s="205">
        <f t="shared" si="26"/>
        <v>0.46983449012279771</v>
      </c>
      <c r="N251" s="206">
        <f t="shared" si="27"/>
        <v>0.62831303876572897</v>
      </c>
    </row>
    <row r="252" spans="1:14" hidden="1" outlineLevel="1">
      <c r="A252" s="197"/>
      <c r="B252" s="207" t="s">
        <v>946</v>
      </c>
      <c r="C252" s="203">
        <f t="shared" si="21"/>
        <v>137.77777777777777</v>
      </c>
      <c r="E252" s="199">
        <v>30</v>
      </c>
      <c r="F252" s="200">
        <v>29</v>
      </c>
      <c r="G252" s="208">
        <f t="shared" si="22"/>
        <v>3.4482758620689653</v>
      </c>
      <c r="H252" s="205">
        <f t="shared" si="23"/>
        <v>0.10530010530010531</v>
      </c>
      <c r="I252" s="205">
        <f t="shared" si="24"/>
        <v>0.10979441941468217</v>
      </c>
      <c r="J252" s="199">
        <v>214</v>
      </c>
      <c r="K252" s="200">
        <v>90</v>
      </c>
      <c r="L252" s="208">
        <f t="shared" si="25"/>
        <v>137.77777777777777</v>
      </c>
      <c r="M252" s="205">
        <f t="shared" si="26"/>
        <v>0.19042534258764904</v>
      </c>
      <c r="N252" s="206">
        <f t="shared" si="27"/>
        <v>7.621047640015581E-2</v>
      </c>
    </row>
    <row r="253" spans="1:14" collapsed="1">
      <c r="A253" s="197" t="s">
        <v>1208</v>
      </c>
      <c r="B253" s="196" t="s">
        <v>298</v>
      </c>
      <c r="C253" s="203">
        <f t="shared" si="21"/>
        <v>15.694164989939638</v>
      </c>
      <c r="E253" s="199">
        <v>260</v>
      </c>
      <c r="F253" s="200">
        <v>248</v>
      </c>
      <c r="G253" s="208">
        <f t="shared" si="22"/>
        <v>4.838709677419355</v>
      </c>
      <c r="H253" s="205">
        <f t="shared" si="23"/>
        <v>0.91260091260091258</v>
      </c>
      <c r="I253" s="205">
        <f t="shared" si="24"/>
        <v>0.93893158671866128</v>
      </c>
      <c r="J253" s="199">
        <v>1150</v>
      </c>
      <c r="K253" s="200">
        <v>994</v>
      </c>
      <c r="L253" s="208">
        <f t="shared" si="25"/>
        <v>15.694164989939638</v>
      </c>
      <c r="M253" s="205">
        <f t="shared" si="26"/>
        <v>1.0233137568962447</v>
      </c>
      <c r="N253" s="206">
        <f t="shared" si="27"/>
        <v>0.84170237268616532</v>
      </c>
    </row>
    <row r="254" spans="1:14" hidden="1" outlineLevel="1">
      <c r="A254" s="197"/>
      <c r="B254" s="207" t="s">
        <v>956</v>
      </c>
      <c r="C254" s="203">
        <f t="shared" si="21"/>
        <v>0.36764705882352938</v>
      </c>
      <c r="E254" s="199">
        <v>177</v>
      </c>
      <c r="F254" s="200">
        <v>186</v>
      </c>
      <c r="G254" s="208">
        <f t="shared" si="22"/>
        <v>-4.838709677419355</v>
      </c>
      <c r="H254" s="205">
        <f t="shared" si="23"/>
        <v>0.62127062127062127</v>
      </c>
      <c r="I254" s="205">
        <f t="shared" si="24"/>
        <v>0.70419869003899593</v>
      </c>
      <c r="J254" s="199">
        <v>819</v>
      </c>
      <c r="K254" s="200">
        <v>816</v>
      </c>
      <c r="L254" s="208">
        <f t="shared" si="25"/>
        <v>0.36764705882352938</v>
      </c>
      <c r="M254" s="205">
        <f t="shared" si="26"/>
        <v>0.72877736252002134</v>
      </c>
      <c r="N254" s="206">
        <f t="shared" si="27"/>
        <v>0.69097498602807939</v>
      </c>
    </row>
    <row r="255" spans="1:14" hidden="1" outlineLevel="1">
      <c r="A255" s="197"/>
      <c r="B255" s="207" t="s">
        <v>957</v>
      </c>
      <c r="C255" s="203">
        <f t="shared" si="21"/>
        <v>51.063829787234042</v>
      </c>
      <c r="E255" s="199">
        <v>32</v>
      </c>
      <c r="F255" s="200">
        <v>41</v>
      </c>
      <c r="G255" s="208">
        <f t="shared" si="22"/>
        <v>-21.951219512195124</v>
      </c>
      <c r="H255" s="205">
        <f t="shared" si="23"/>
        <v>0.11232011232011233</v>
      </c>
      <c r="I255" s="205">
        <f t="shared" si="24"/>
        <v>0.15522659296558514</v>
      </c>
      <c r="J255" s="199">
        <v>142</v>
      </c>
      <c r="K255" s="200">
        <v>94</v>
      </c>
      <c r="L255" s="208">
        <f t="shared" si="25"/>
        <v>51.063829787234042</v>
      </c>
      <c r="M255" s="205">
        <f t="shared" si="26"/>
        <v>0.12635700302544936</v>
      </c>
      <c r="N255" s="206">
        <f t="shared" si="27"/>
        <v>7.9597608684607177E-2</v>
      </c>
    </row>
    <row r="256" spans="1:14" hidden="1" outlineLevel="1">
      <c r="A256" s="197"/>
      <c r="B256" s="207" t="s">
        <v>958</v>
      </c>
      <c r="C256" s="203">
        <f t="shared" si="21"/>
        <v>32.142857142857146</v>
      </c>
      <c r="E256" s="199">
        <v>22</v>
      </c>
      <c r="F256" s="200">
        <v>21</v>
      </c>
      <c r="G256" s="208">
        <f t="shared" si="22"/>
        <v>4.7619047619047619</v>
      </c>
      <c r="H256" s="205">
        <f t="shared" si="23"/>
        <v>7.7220077220077218E-2</v>
      </c>
      <c r="I256" s="205">
        <f t="shared" si="24"/>
        <v>7.9506303714080184E-2</v>
      </c>
      <c r="J256" s="199">
        <v>111</v>
      </c>
      <c r="K256" s="200">
        <v>84</v>
      </c>
      <c r="L256" s="208">
        <f t="shared" si="25"/>
        <v>32.142857142857146</v>
      </c>
      <c r="M256" s="205">
        <f t="shared" si="26"/>
        <v>9.8772023491724509E-2</v>
      </c>
      <c r="N256" s="206">
        <f t="shared" si="27"/>
        <v>7.1129777973478747E-2</v>
      </c>
    </row>
    <row r="257" spans="1:14" hidden="1" outlineLevel="1">
      <c r="A257" s="197"/>
      <c r="B257" s="207" t="s">
        <v>959</v>
      </c>
      <c r="C257" s="203" t="str">
        <f t="shared" si="21"/>
        <v/>
      </c>
      <c r="E257" s="199">
        <v>29</v>
      </c>
      <c r="F257" s="200">
        <v>0</v>
      </c>
      <c r="G257" s="208" t="str">
        <f t="shared" si="22"/>
        <v/>
      </c>
      <c r="H257" s="205">
        <f t="shared" si="23"/>
        <v>0.1017901017901018</v>
      </c>
      <c r="I257" s="205" t="str">
        <f t="shared" si="24"/>
        <v/>
      </c>
      <c r="J257" s="199">
        <v>78</v>
      </c>
      <c r="K257" s="200">
        <v>0</v>
      </c>
      <c r="L257" s="208" t="str">
        <f t="shared" si="25"/>
        <v/>
      </c>
      <c r="M257" s="205">
        <f t="shared" si="26"/>
        <v>6.9407367859049648E-2</v>
      </c>
      <c r="N257" s="206" t="str">
        <f t="shared" si="27"/>
        <v/>
      </c>
    </row>
    <row r="258" spans="1:14" collapsed="1">
      <c r="A258" s="197" t="s">
        <v>1209</v>
      </c>
      <c r="B258" s="196" t="s">
        <v>292</v>
      </c>
      <c r="C258" s="203">
        <f t="shared" si="21"/>
        <v>-24.377104377104377</v>
      </c>
      <c r="E258" s="199">
        <v>392</v>
      </c>
      <c r="F258" s="200">
        <v>123</v>
      </c>
      <c r="G258" s="208">
        <f t="shared" si="22"/>
        <v>218.69918699186991</v>
      </c>
      <c r="H258" s="205">
        <f t="shared" si="23"/>
        <v>1.375921375921376</v>
      </c>
      <c r="I258" s="205">
        <f t="shared" si="24"/>
        <v>0.46567977889675533</v>
      </c>
      <c r="J258" s="199">
        <v>1123</v>
      </c>
      <c r="K258" s="200">
        <v>1485</v>
      </c>
      <c r="L258" s="208">
        <f t="shared" si="25"/>
        <v>-24.377104377104377</v>
      </c>
      <c r="M258" s="205">
        <f t="shared" si="26"/>
        <v>0.9992881295604199</v>
      </c>
      <c r="N258" s="206">
        <f t="shared" si="27"/>
        <v>1.2574728606025709</v>
      </c>
    </row>
    <row r="259" spans="1:14" hidden="1" outlineLevel="1">
      <c r="A259" s="197"/>
      <c r="B259" s="207" t="s">
        <v>933</v>
      </c>
      <c r="C259" s="203">
        <f t="shared" si="21"/>
        <v>-28.797083839611176</v>
      </c>
      <c r="E259" s="199">
        <v>238</v>
      </c>
      <c r="F259" s="200">
        <v>44</v>
      </c>
      <c r="G259" s="208">
        <f t="shared" si="22"/>
        <v>440.90909090909093</v>
      </c>
      <c r="H259" s="205">
        <f t="shared" si="23"/>
        <v>0.8353808353808353</v>
      </c>
      <c r="I259" s="205">
        <f t="shared" si="24"/>
        <v>0.16658463635331086</v>
      </c>
      <c r="J259" s="199">
        <v>586</v>
      </c>
      <c r="K259" s="200">
        <v>823</v>
      </c>
      <c r="L259" s="208">
        <f t="shared" si="25"/>
        <v>-28.797083839611176</v>
      </c>
      <c r="M259" s="205">
        <f t="shared" si="26"/>
        <v>0.52144509699234742</v>
      </c>
      <c r="N259" s="206">
        <f t="shared" si="27"/>
        <v>0.69690246752586926</v>
      </c>
    </row>
    <row r="260" spans="1:14" hidden="1" outlineLevel="1">
      <c r="A260" s="197"/>
      <c r="B260" s="207" t="s">
        <v>934</v>
      </c>
      <c r="C260" s="203">
        <f t="shared" si="21"/>
        <v>-36.866359447004612</v>
      </c>
      <c r="E260" s="199">
        <v>53</v>
      </c>
      <c r="F260" s="200">
        <v>33</v>
      </c>
      <c r="G260" s="208">
        <f t="shared" si="22"/>
        <v>60.606060606060609</v>
      </c>
      <c r="H260" s="205">
        <f t="shared" si="23"/>
        <v>0.18603018603018603</v>
      </c>
      <c r="I260" s="205">
        <f t="shared" si="24"/>
        <v>0.12493847726498315</v>
      </c>
      <c r="J260" s="199">
        <v>274</v>
      </c>
      <c r="K260" s="200">
        <v>434</v>
      </c>
      <c r="L260" s="208">
        <f t="shared" si="25"/>
        <v>-36.866359447004612</v>
      </c>
      <c r="M260" s="205">
        <f t="shared" si="26"/>
        <v>0.24381562555614877</v>
      </c>
      <c r="N260" s="206">
        <f t="shared" si="27"/>
        <v>0.3675038528629736</v>
      </c>
    </row>
    <row r="261" spans="1:14" hidden="1" outlineLevel="1">
      <c r="A261" s="197"/>
      <c r="B261" s="207" t="s">
        <v>937</v>
      </c>
      <c r="C261" s="203">
        <f t="shared" si="21"/>
        <v>806.25</v>
      </c>
      <c r="E261" s="199">
        <v>68</v>
      </c>
      <c r="F261" s="200">
        <v>1</v>
      </c>
      <c r="G261" s="208">
        <f t="shared" si="22"/>
        <v>6700</v>
      </c>
      <c r="H261" s="205">
        <f t="shared" si="23"/>
        <v>0.23868023868023869</v>
      </c>
      <c r="I261" s="205">
        <f t="shared" si="24"/>
        <v>3.7860144625752466E-3</v>
      </c>
      <c r="J261" s="199">
        <v>145</v>
      </c>
      <c r="K261" s="200">
        <v>16</v>
      </c>
      <c r="L261" s="208">
        <f t="shared" si="25"/>
        <v>806.25</v>
      </c>
      <c r="M261" s="205">
        <f t="shared" si="26"/>
        <v>0.12902651717387437</v>
      </c>
      <c r="N261" s="206">
        <f t="shared" si="27"/>
        <v>1.3548529137805475E-2</v>
      </c>
    </row>
    <row r="262" spans="1:14" hidden="1" outlineLevel="1">
      <c r="A262" s="197"/>
      <c r="B262" s="207" t="s">
        <v>935</v>
      </c>
      <c r="C262" s="203">
        <f t="shared" si="21"/>
        <v>-23.333333333333332</v>
      </c>
      <c r="E262" s="199">
        <v>25</v>
      </c>
      <c r="F262" s="200">
        <v>36</v>
      </c>
      <c r="G262" s="208">
        <f t="shared" si="22"/>
        <v>-30.555555555555557</v>
      </c>
      <c r="H262" s="205">
        <f t="shared" si="23"/>
        <v>8.775008775008776E-2</v>
      </c>
      <c r="I262" s="205">
        <f t="shared" si="24"/>
        <v>0.13629652065270889</v>
      </c>
      <c r="J262" s="199">
        <v>92</v>
      </c>
      <c r="K262" s="200">
        <v>120</v>
      </c>
      <c r="L262" s="208">
        <f t="shared" si="25"/>
        <v>-23.333333333333332</v>
      </c>
      <c r="M262" s="205">
        <f t="shared" si="26"/>
        <v>8.1865100551699599E-2</v>
      </c>
      <c r="N262" s="206">
        <f t="shared" si="27"/>
        <v>0.10161396853354107</v>
      </c>
    </row>
    <row r="263" spans="1:14" hidden="1" outlineLevel="1">
      <c r="A263" s="197"/>
      <c r="B263" s="207" t="s">
        <v>939</v>
      </c>
      <c r="C263" s="203">
        <f t="shared" si="21"/>
        <v>13.333333333333334</v>
      </c>
      <c r="E263" s="199">
        <v>8</v>
      </c>
      <c r="F263" s="200">
        <v>0</v>
      </c>
      <c r="G263" s="208" t="str">
        <f t="shared" si="22"/>
        <v/>
      </c>
      <c r="H263" s="205">
        <f t="shared" si="23"/>
        <v>2.8080028080028081E-2</v>
      </c>
      <c r="I263" s="205" t="str">
        <f t="shared" si="24"/>
        <v/>
      </c>
      <c r="J263" s="199">
        <v>17</v>
      </c>
      <c r="K263" s="200">
        <v>15</v>
      </c>
      <c r="L263" s="208">
        <f t="shared" si="25"/>
        <v>13.333333333333334</v>
      </c>
      <c r="M263" s="205">
        <f t="shared" si="26"/>
        <v>1.5127246841074925E-2</v>
      </c>
      <c r="N263" s="206">
        <f t="shared" si="27"/>
        <v>1.2701746066692634E-2</v>
      </c>
    </row>
    <row r="264" spans="1:14" hidden="1" outlineLevel="1">
      <c r="A264" s="197"/>
      <c r="B264" s="207" t="s">
        <v>940</v>
      </c>
      <c r="C264" s="203">
        <f t="shared" si="21"/>
        <v>-25</v>
      </c>
      <c r="E264" s="199">
        <v>0</v>
      </c>
      <c r="F264" s="200">
        <v>3</v>
      </c>
      <c r="G264" s="208">
        <f t="shared" si="22"/>
        <v>-100</v>
      </c>
      <c r="H264" s="205" t="str">
        <f t="shared" si="23"/>
        <v/>
      </c>
      <c r="I264" s="205">
        <f t="shared" si="24"/>
        <v>1.135804338772574E-2</v>
      </c>
      <c r="J264" s="199">
        <v>9</v>
      </c>
      <c r="K264" s="200">
        <v>12</v>
      </c>
      <c r="L264" s="208">
        <f t="shared" si="25"/>
        <v>-25</v>
      </c>
      <c r="M264" s="205">
        <f t="shared" si="26"/>
        <v>8.0085424452749597E-3</v>
      </c>
      <c r="N264" s="206">
        <f t="shared" si="27"/>
        <v>1.0161396853354107E-2</v>
      </c>
    </row>
    <row r="265" spans="1:14" hidden="1" outlineLevel="1">
      <c r="A265" s="197"/>
      <c r="B265" s="207" t="s">
        <v>936</v>
      </c>
      <c r="C265" s="203">
        <f t="shared" si="21"/>
        <v>-100</v>
      </c>
      <c r="E265" s="199">
        <v>0</v>
      </c>
      <c r="F265" s="200">
        <v>3</v>
      </c>
      <c r="G265" s="208">
        <f t="shared" si="22"/>
        <v>-100</v>
      </c>
      <c r="H265" s="205" t="str">
        <f t="shared" si="23"/>
        <v/>
      </c>
      <c r="I265" s="205">
        <f t="shared" si="24"/>
        <v>1.135804338772574E-2</v>
      </c>
      <c r="J265" s="199">
        <v>0</v>
      </c>
      <c r="K265" s="200">
        <v>48</v>
      </c>
      <c r="L265" s="208">
        <f t="shared" si="25"/>
        <v>-100</v>
      </c>
      <c r="M265" s="205" t="str">
        <f t="shared" si="26"/>
        <v/>
      </c>
      <c r="N265" s="206">
        <f t="shared" si="27"/>
        <v>4.064558741341643E-2</v>
      </c>
    </row>
    <row r="266" spans="1:14" hidden="1" outlineLevel="1">
      <c r="A266" s="197"/>
      <c r="B266" s="207" t="s">
        <v>938</v>
      </c>
      <c r="C266" s="203">
        <f t="shared" ref="C266:C329" si="28">IF(K266=0,"",SUM(((J266-K266)/K266)*100))</f>
        <v>-100</v>
      </c>
      <c r="E266" s="199">
        <v>0</v>
      </c>
      <c r="F266" s="200">
        <v>2</v>
      </c>
      <c r="G266" s="208">
        <f t="shared" ref="G266:G329" si="29">IF(F266=0,"",SUM(((E266-F266)/F266)*100))</f>
        <v>-100</v>
      </c>
      <c r="H266" s="205" t="str">
        <f t="shared" ref="H266:H329" si="30">IF(E266=0,"",SUM((E266/CntPeriod)*100))</f>
        <v/>
      </c>
      <c r="I266" s="205">
        <f t="shared" ref="I266:I329" si="31">IF(F266=0,"",SUM((F266/CntPeriodPrevYear)*100))</f>
        <v>7.5720289251504933E-3</v>
      </c>
      <c r="J266" s="199">
        <v>0</v>
      </c>
      <c r="K266" s="200">
        <v>16</v>
      </c>
      <c r="L266" s="208">
        <f t="shared" ref="L266:L329" si="32">IF(K266=0,"",SUM(((J266-K266)/K266)*100))</f>
        <v>-100</v>
      </c>
      <c r="M266" s="205" t="str">
        <f t="shared" ref="M266:M329" si="33">IF(J266=0,"",SUM((J266/CntYearAck)*100))</f>
        <v/>
      </c>
      <c r="N266" s="206">
        <f t="shared" ref="N266:N329" si="34">IF(K266=0,"",SUM((K266/CntPrevYearAck)*100))</f>
        <v>1.3548529137805475E-2</v>
      </c>
    </row>
    <row r="267" spans="1:14" hidden="1" outlineLevel="1">
      <c r="A267" s="197"/>
      <c r="B267" s="207" t="s">
        <v>1264</v>
      </c>
      <c r="C267" s="203">
        <f t="shared" si="28"/>
        <v>-100</v>
      </c>
      <c r="E267" s="199">
        <v>0</v>
      </c>
      <c r="F267" s="200">
        <v>1</v>
      </c>
      <c r="G267" s="208">
        <f t="shared" si="29"/>
        <v>-100</v>
      </c>
      <c r="H267" s="205" t="str">
        <f t="shared" si="30"/>
        <v/>
      </c>
      <c r="I267" s="205">
        <f t="shared" si="31"/>
        <v>3.7860144625752466E-3</v>
      </c>
      <c r="J267" s="199">
        <v>0</v>
      </c>
      <c r="K267" s="200">
        <v>1</v>
      </c>
      <c r="L267" s="208">
        <f t="shared" si="32"/>
        <v>-100</v>
      </c>
      <c r="M267" s="205" t="str">
        <f t="shared" si="33"/>
        <v/>
      </c>
      <c r="N267" s="206">
        <f t="shared" si="34"/>
        <v>8.4678307111284222E-4</v>
      </c>
    </row>
    <row r="268" spans="1:14" collapsed="1">
      <c r="A268" s="197" t="s">
        <v>1265</v>
      </c>
      <c r="B268" s="196" t="s">
        <v>296</v>
      </c>
      <c r="C268" s="203">
        <f t="shared" si="28"/>
        <v>-48.914069877242682</v>
      </c>
      <c r="E268" s="199">
        <v>184</v>
      </c>
      <c r="F268" s="200">
        <v>679</v>
      </c>
      <c r="G268" s="208">
        <f t="shared" si="29"/>
        <v>-72.901325478645063</v>
      </c>
      <c r="H268" s="205">
        <f t="shared" si="30"/>
        <v>0.64584064584064582</v>
      </c>
      <c r="I268" s="205">
        <f t="shared" si="31"/>
        <v>2.5707038200885926</v>
      </c>
      <c r="J268" s="199">
        <v>1082</v>
      </c>
      <c r="K268" s="200">
        <v>2118</v>
      </c>
      <c r="L268" s="208">
        <f t="shared" si="32"/>
        <v>-48.914069877242682</v>
      </c>
      <c r="M268" s="205">
        <f t="shared" si="33"/>
        <v>0.96280476953194516</v>
      </c>
      <c r="N268" s="206">
        <f t="shared" si="34"/>
        <v>1.7934865446170001</v>
      </c>
    </row>
    <row r="269" spans="1:14" hidden="1" outlineLevel="1">
      <c r="A269" s="197"/>
      <c r="B269" s="207" t="s">
        <v>920</v>
      </c>
      <c r="C269" s="203">
        <f t="shared" si="28"/>
        <v>40.650406504065039</v>
      </c>
      <c r="E269" s="199">
        <v>93</v>
      </c>
      <c r="F269" s="200">
        <v>100</v>
      </c>
      <c r="G269" s="208">
        <f t="shared" si="29"/>
        <v>-7.0000000000000009</v>
      </c>
      <c r="H269" s="205">
        <f t="shared" si="30"/>
        <v>0.32643032643032643</v>
      </c>
      <c r="I269" s="205">
        <f t="shared" si="31"/>
        <v>0.37860144625752473</v>
      </c>
      <c r="J269" s="199">
        <v>519</v>
      </c>
      <c r="K269" s="200">
        <v>369</v>
      </c>
      <c r="L269" s="208">
        <f t="shared" si="32"/>
        <v>40.650406504065039</v>
      </c>
      <c r="M269" s="205">
        <f t="shared" si="33"/>
        <v>0.46182594767752266</v>
      </c>
      <c r="N269" s="206">
        <f t="shared" si="34"/>
        <v>0.31246295324063877</v>
      </c>
    </row>
    <row r="270" spans="1:14" hidden="1" outlineLevel="1">
      <c r="A270" s="197"/>
      <c r="B270" s="207" t="s">
        <v>921</v>
      </c>
      <c r="C270" s="203">
        <f t="shared" si="28"/>
        <v>7.9365079365079358</v>
      </c>
      <c r="E270" s="199">
        <v>17</v>
      </c>
      <c r="F270" s="200">
        <v>27</v>
      </c>
      <c r="G270" s="208">
        <f t="shared" si="29"/>
        <v>-37.037037037037038</v>
      </c>
      <c r="H270" s="205">
        <f t="shared" si="30"/>
        <v>5.9670059670059672E-2</v>
      </c>
      <c r="I270" s="205">
        <f t="shared" si="31"/>
        <v>0.10222239048953168</v>
      </c>
      <c r="J270" s="199">
        <v>204</v>
      </c>
      <c r="K270" s="200">
        <v>189</v>
      </c>
      <c r="L270" s="208">
        <f t="shared" si="32"/>
        <v>7.9365079365079358</v>
      </c>
      <c r="M270" s="205">
        <f t="shared" si="33"/>
        <v>0.18152696209289909</v>
      </c>
      <c r="N270" s="206">
        <f t="shared" si="34"/>
        <v>0.16004200044032721</v>
      </c>
    </row>
    <row r="271" spans="1:14" hidden="1" outlineLevel="1">
      <c r="A271" s="197"/>
      <c r="B271" s="207" t="s">
        <v>922</v>
      </c>
      <c r="C271" s="203">
        <f t="shared" si="28"/>
        <v>-38.418079096045197</v>
      </c>
      <c r="E271" s="199">
        <v>29</v>
      </c>
      <c r="F271" s="200">
        <v>41</v>
      </c>
      <c r="G271" s="208">
        <f t="shared" si="29"/>
        <v>-29.268292682926827</v>
      </c>
      <c r="H271" s="205">
        <f t="shared" si="30"/>
        <v>0.1017901017901018</v>
      </c>
      <c r="I271" s="205">
        <f t="shared" si="31"/>
        <v>0.15522659296558514</v>
      </c>
      <c r="J271" s="199">
        <v>109</v>
      </c>
      <c r="K271" s="200">
        <v>177</v>
      </c>
      <c r="L271" s="208">
        <f t="shared" si="32"/>
        <v>-38.418079096045197</v>
      </c>
      <c r="M271" s="205">
        <f t="shared" si="33"/>
        <v>9.6992347392774514E-2</v>
      </c>
      <c r="N271" s="206">
        <f t="shared" si="34"/>
        <v>0.14988060358697308</v>
      </c>
    </row>
    <row r="272" spans="1:14" hidden="1" outlineLevel="1">
      <c r="A272" s="197"/>
      <c r="B272" s="207" t="s">
        <v>919</v>
      </c>
      <c r="C272" s="203">
        <f t="shared" si="28"/>
        <v>-78.974358974358978</v>
      </c>
      <c r="E272" s="199">
        <v>26</v>
      </c>
      <c r="F272" s="200">
        <v>85</v>
      </c>
      <c r="G272" s="208">
        <f t="shared" si="29"/>
        <v>-69.411764705882348</v>
      </c>
      <c r="H272" s="205">
        <f t="shared" si="30"/>
        <v>9.1260091260091256E-2</v>
      </c>
      <c r="I272" s="205">
        <f t="shared" si="31"/>
        <v>0.321811229318896</v>
      </c>
      <c r="J272" s="199">
        <v>82</v>
      </c>
      <c r="K272" s="200">
        <v>390</v>
      </c>
      <c r="L272" s="208">
        <f t="shared" si="32"/>
        <v>-78.974358974358978</v>
      </c>
      <c r="M272" s="205">
        <f t="shared" si="33"/>
        <v>7.2966720056949638E-2</v>
      </c>
      <c r="N272" s="206">
        <f t="shared" si="34"/>
        <v>0.33024539773400852</v>
      </c>
    </row>
    <row r="273" spans="1:14" hidden="1" outlineLevel="1">
      <c r="A273" s="197"/>
      <c r="B273" s="207" t="s">
        <v>917</v>
      </c>
      <c r="C273" s="203">
        <f t="shared" si="28"/>
        <v>-87.229862475442047</v>
      </c>
      <c r="E273" s="199">
        <v>4</v>
      </c>
      <c r="F273" s="200">
        <v>221</v>
      </c>
      <c r="G273" s="208">
        <f t="shared" si="29"/>
        <v>-98.19004524886877</v>
      </c>
      <c r="H273" s="205">
        <f t="shared" si="30"/>
        <v>1.4040014040014041E-2</v>
      </c>
      <c r="I273" s="205">
        <f t="shared" si="31"/>
        <v>0.83670919622912954</v>
      </c>
      <c r="J273" s="199">
        <v>65</v>
      </c>
      <c r="K273" s="200">
        <v>509</v>
      </c>
      <c r="L273" s="208">
        <f t="shared" si="32"/>
        <v>-87.229862475442047</v>
      </c>
      <c r="M273" s="205">
        <f t="shared" si="33"/>
        <v>5.7839473215874709E-2</v>
      </c>
      <c r="N273" s="206">
        <f t="shared" si="34"/>
        <v>0.43101258319643676</v>
      </c>
    </row>
    <row r="274" spans="1:14" hidden="1" outlineLevel="1">
      <c r="A274" s="197"/>
      <c r="B274" s="207" t="s">
        <v>918</v>
      </c>
      <c r="C274" s="203">
        <f t="shared" si="28"/>
        <v>-87.782805429864254</v>
      </c>
      <c r="E274" s="199">
        <v>9</v>
      </c>
      <c r="F274" s="200">
        <v>205</v>
      </c>
      <c r="G274" s="208">
        <f t="shared" si="29"/>
        <v>-95.609756097560975</v>
      </c>
      <c r="H274" s="205">
        <f t="shared" si="30"/>
        <v>3.1590031590031591E-2</v>
      </c>
      <c r="I274" s="205">
        <f t="shared" si="31"/>
        <v>0.77613296482792571</v>
      </c>
      <c r="J274" s="199">
        <v>54</v>
      </c>
      <c r="K274" s="200">
        <v>442</v>
      </c>
      <c r="L274" s="208">
        <f t="shared" si="32"/>
        <v>-87.782805429864254</v>
      </c>
      <c r="M274" s="205">
        <f t="shared" si="33"/>
        <v>4.8051254671649758E-2</v>
      </c>
      <c r="N274" s="206">
        <f t="shared" si="34"/>
        <v>0.37427811743187633</v>
      </c>
    </row>
    <row r="275" spans="1:14" hidden="1" outlineLevel="1">
      <c r="A275" s="197"/>
      <c r="B275" s="207" t="s">
        <v>923</v>
      </c>
      <c r="C275" s="203">
        <f t="shared" si="28"/>
        <v>16.666666666666664</v>
      </c>
      <c r="E275" s="199">
        <v>6</v>
      </c>
      <c r="F275" s="200">
        <v>0</v>
      </c>
      <c r="G275" s="208" t="str">
        <f t="shared" si="29"/>
        <v/>
      </c>
      <c r="H275" s="205">
        <f t="shared" si="30"/>
        <v>2.1060021060021059E-2</v>
      </c>
      <c r="I275" s="205" t="str">
        <f t="shared" si="31"/>
        <v/>
      </c>
      <c r="J275" s="199">
        <v>49</v>
      </c>
      <c r="K275" s="200">
        <v>42</v>
      </c>
      <c r="L275" s="208">
        <f t="shared" si="32"/>
        <v>16.666666666666664</v>
      </c>
      <c r="M275" s="205">
        <f t="shared" si="33"/>
        <v>4.3602064424274785E-2</v>
      </c>
      <c r="N275" s="206">
        <f t="shared" si="34"/>
        <v>3.5564888986739374E-2</v>
      </c>
    </row>
    <row r="276" spans="1:14" collapsed="1">
      <c r="A276" s="197" t="s">
        <v>1266</v>
      </c>
      <c r="B276" s="196" t="s">
        <v>1106</v>
      </c>
      <c r="C276" s="203" t="str">
        <f t="shared" si="28"/>
        <v/>
      </c>
      <c r="E276" s="199">
        <v>280</v>
      </c>
      <c r="F276" s="200">
        <v>0</v>
      </c>
      <c r="G276" s="208" t="str">
        <f t="shared" si="29"/>
        <v/>
      </c>
      <c r="H276" s="205">
        <f t="shared" si="30"/>
        <v>0.98280098280098283</v>
      </c>
      <c r="I276" s="205" t="str">
        <f t="shared" si="31"/>
        <v/>
      </c>
      <c r="J276" s="199">
        <v>984</v>
      </c>
      <c r="K276" s="200">
        <v>0</v>
      </c>
      <c r="L276" s="208" t="str">
        <f t="shared" si="32"/>
        <v/>
      </c>
      <c r="M276" s="205">
        <f t="shared" si="33"/>
        <v>0.8756006406833956</v>
      </c>
      <c r="N276" s="206" t="str">
        <f t="shared" si="34"/>
        <v/>
      </c>
    </row>
    <row r="277" spans="1:14" hidden="1" outlineLevel="1">
      <c r="A277" s="197"/>
      <c r="B277" s="207" t="s">
        <v>1107</v>
      </c>
      <c r="C277" s="203" t="str">
        <f t="shared" si="28"/>
        <v/>
      </c>
      <c r="E277" s="199">
        <v>143</v>
      </c>
      <c r="F277" s="200">
        <v>0</v>
      </c>
      <c r="G277" s="208" t="str">
        <f t="shared" si="29"/>
        <v/>
      </c>
      <c r="H277" s="205">
        <f t="shared" si="30"/>
        <v>0.50193050193050193</v>
      </c>
      <c r="I277" s="205" t="str">
        <f t="shared" si="31"/>
        <v/>
      </c>
      <c r="J277" s="199">
        <v>450</v>
      </c>
      <c r="K277" s="200">
        <v>0</v>
      </c>
      <c r="L277" s="208" t="str">
        <f t="shared" si="32"/>
        <v/>
      </c>
      <c r="M277" s="205">
        <f t="shared" si="33"/>
        <v>0.40042712226374799</v>
      </c>
      <c r="N277" s="206" t="str">
        <f t="shared" si="34"/>
        <v/>
      </c>
    </row>
    <row r="278" spans="1:14" hidden="1" outlineLevel="1">
      <c r="A278" s="197"/>
      <c r="B278" s="207" t="s">
        <v>1108</v>
      </c>
      <c r="C278" s="203" t="str">
        <f t="shared" si="28"/>
        <v/>
      </c>
      <c r="E278" s="199">
        <v>81</v>
      </c>
      <c r="F278" s="200">
        <v>0</v>
      </c>
      <c r="G278" s="208" t="str">
        <f t="shared" si="29"/>
        <v/>
      </c>
      <c r="H278" s="205">
        <f t="shared" si="30"/>
        <v>0.28431028431028432</v>
      </c>
      <c r="I278" s="205" t="str">
        <f t="shared" si="31"/>
        <v/>
      </c>
      <c r="J278" s="199">
        <v>342</v>
      </c>
      <c r="K278" s="200">
        <v>0</v>
      </c>
      <c r="L278" s="208" t="str">
        <f t="shared" si="32"/>
        <v/>
      </c>
      <c r="M278" s="205">
        <f t="shared" si="33"/>
        <v>0.30432461292044849</v>
      </c>
      <c r="N278" s="206" t="str">
        <f t="shared" si="34"/>
        <v/>
      </c>
    </row>
    <row r="279" spans="1:14" hidden="1" outlineLevel="1">
      <c r="A279" s="197"/>
      <c r="B279" s="207" t="s">
        <v>919</v>
      </c>
      <c r="C279" s="203" t="str">
        <f t="shared" si="28"/>
        <v/>
      </c>
      <c r="E279" s="199">
        <v>54</v>
      </c>
      <c r="F279" s="200">
        <v>0</v>
      </c>
      <c r="G279" s="208" t="str">
        <f t="shared" si="29"/>
        <v/>
      </c>
      <c r="H279" s="205">
        <f t="shared" si="30"/>
        <v>0.18954018954018953</v>
      </c>
      <c r="I279" s="205" t="str">
        <f t="shared" si="31"/>
        <v/>
      </c>
      <c r="J279" s="199">
        <v>163</v>
      </c>
      <c r="K279" s="200">
        <v>0</v>
      </c>
      <c r="L279" s="208" t="str">
        <f t="shared" si="32"/>
        <v/>
      </c>
      <c r="M279" s="205">
        <f t="shared" si="33"/>
        <v>0.14504360206442427</v>
      </c>
      <c r="N279" s="206" t="str">
        <f t="shared" si="34"/>
        <v/>
      </c>
    </row>
    <row r="280" spans="1:14" hidden="1" outlineLevel="1">
      <c r="A280" s="197"/>
      <c r="B280" s="207" t="s">
        <v>922</v>
      </c>
      <c r="C280" s="203" t="str">
        <f t="shared" si="28"/>
        <v/>
      </c>
      <c r="E280" s="199">
        <v>2</v>
      </c>
      <c r="F280" s="200">
        <v>0</v>
      </c>
      <c r="G280" s="208" t="str">
        <f t="shared" si="29"/>
        <v/>
      </c>
      <c r="H280" s="205">
        <f t="shared" si="30"/>
        <v>7.0200070200070203E-3</v>
      </c>
      <c r="I280" s="205" t="str">
        <f t="shared" si="31"/>
        <v/>
      </c>
      <c r="J280" s="199">
        <v>29</v>
      </c>
      <c r="K280" s="200">
        <v>0</v>
      </c>
      <c r="L280" s="208" t="str">
        <f t="shared" si="32"/>
        <v/>
      </c>
      <c r="M280" s="205">
        <f t="shared" si="33"/>
        <v>2.5805303434774871E-2</v>
      </c>
      <c r="N280" s="206" t="str">
        <f t="shared" si="34"/>
        <v/>
      </c>
    </row>
    <row r="281" spans="1:14" collapsed="1">
      <c r="A281" s="197" t="s">
        <v>1267</v>
      </c>
      <c r="B281" s="196" t="s">
        <v>274</v>
      </c>
      <c r="C281" s="203">
        <f t="shared" si="28"/>
        <v>-32.836932241250935</v>
      </c>
      <c r="E281" s="199">
        <v>284</v>
      </c>
      <c r="F281" s="200">
        <v>424</v>
      </c>
      <c r="G281" s="208">
        <f t="shared" si="29"/>
        <v>-33.018867924528301</v>
      </c>
      <c r="H281" s="205">
        <f t="shared" si="30"/>
        <v>0.99684099684099681</v>
      </c>
      <c r="I281" s="205">
        <f t="shared" si="31"/>
        <v>1.6052701321319047</v>
      </c>
      <c r="J281" s="199">
        <v>902</v>
      </c>
      <c r="K281" s="200">
        <v>1343</v>
      </c>
      <c r="L281" s="208">
        <f t="shared" si="32"/>
        <v>-32.836932241250935</v>
      </c>
      <c r="M281" s="205">
        <f t="shared" si="33"/>
        <v>0.8026339206264459</v>
      </c>
      <c r="N281" s="206">
        <f t="shared" si="34"/>
        <v>1.1372296645045472</v>
      </c>
    </row>
    <row r="282" spans="1:14" hidden="1" outlineLevel="1">
      <c r="A282" s="197"/>
      <c r="B282" s="207" t="s">
        <v>941</v>
      </c>
      <c r="C282" s="203">
        <f t="shared" si="28"/>
        <v>-34.391534391534393</v>
      </c>
      <c r="E282" s="199">
        <v>199</v>
      </c>
      <c r="F282" s="200">
        <v>282</v>
      </c>
      <c r="G282" s="208">
        <f t="shared" si="29"/>
        <v>-29.432624113475175</v>
      </c>
      <c r="H282" s="205">
        <f t="shared" si="30"/>
        <v>0.69849069849069845</v>
      </c>
      <c r="I282" s="205">
        <f t="shared" si="31"/>
        <v>1.0676560784462197</v>
      </c>
      <c r="J282" s="199">
        <v>620</v>
      </c>
      <c r="K282" s="200">
        <v>945</v>
      </c>
      <c r="L282" s="208">
        <f t="shared" si="32"/>
        <v>-34.391534391534393</v>
      </c>
      <c r="M282" s="205">
        <f t="shared" si="33"/>
        <v>0.55169959067449725</v>
      </c>
      <c r="N282" s="206">
        <f t="shared" si="34"/>
        <v>0.80021000220163585</v>
      </c>
    </row>
    <row r="283" spans="1:14" hidden="1" outlineLevel="1">
      <c r="A283" s="197"/>
      <c r="B283" s="207" t="s">
        <v>942</v>
      </c>
      <c r="C283" s="203">
        <f t="shared" si="28"/>
        <v>322.22222222222223</v>
      </c>
      <c r="E283" s="199">
        <v>48</v>
      </c>
      <c r="F283" s="200">
        <v>35</v>
      </c>
      <c r="G283" s="208">
        <f t="shared" si="29"/>
        <v>37.142857142857146</v>
      </c>
      <c r="H283" s="205">
        <f t="shared" si="30"/>
        <v>0.16848016848016847</v>
      </c>
      <c r="I283" s="205">
        <f t="shared" si="31"/>
        <v>0.13251050619013366</v>
      </c>
      <c r="J283" s="199">
        <v>152</v>
      </c>
      <c r="K283" s="200">
        <v>36</v>
      </c>
      <c r="L283" s="208">
        <f t="shared" si="32"/>
        <v>322.22222222222223</v>
      </c>
      <c r="M283" s="205">
        <f t="shared" si="33"/>
        <v>0.13525538352019933</v>
      </c>
      <c r="N283" s="206">
        <f t="shared" si="34"/>
        <v>3.0484190560062321E-2</v>
      </c>
    </row>
    <row r="284" spans="1:14" hidden="1" outlineLevel="1">
      <c r="A284" s="197"/>
      <c r="B284" s="207">
        <v>500</v>
      </c>
      <c r="C284" s="203">
        <f t="shared" si="28"/>
        <v>-63.112391930835734</v>
      </c>
      <c r="E284" s="199">
        <v>37</v>
      </c>
      <c r="F284" s="200">
        <v>106</v>
      </c>
      <c r="G284" s="208">
        <f t="shared" si="29"/>
        <v>-65.094339622641513</v>
      </c>
      <c r="H284" s="205">
        <f t="shared" si="30"/>
        <v>0.12987012987012986</v>
      </c>
      <c r="I284" s="205">
        <f t="shared" si="31"/>
        <v>0.40131753303297618</v>
      </c>
      <c r="J284" s="199">
        <v>128</v>
      </c>
      <c r="K284" s="200">
        <v>347</v>
      </c>
      <c r="L284" s="208">
        <f t="shared" si="32"/>
        <v>-63.112391930835734</v>
      </c>
      <c r="M284" s="205">
        <f t="shared" si="33"/>
        <v>0.11389927033279942</v>
      </c>
      <c r="N284" s="206">
        <f t="shared" si="34"/>
        <v>0.29383372567615629</v>
      </c>
    </row>
    <row r="285" spans="1:14" hidden="1" outlineLevel="1">
      <c r="A285" s="197"/>
      <c r="B285" s="207" t="s">
        <v>943</v>
      </c>
      <c r="C285" s="203">
        <f t="shared" si="28"/>
        <v>-85.714285714285708</v>
      </c>
      <c r="E285" s="199">
        <v>0</v>
      </c>
      <c r="F285" s="200">
        <v>0</v>
      </c>
      <c r="G285" s="208" t="str">
        <f t="shared" si="29"/>
        <v/>
      </c>
      <c r="H285" s="205" t="str">
        <f t="shared" si="30"/>
        <v/>
      </c>
      <c r="I285" s="205" t="str">
        <f t="shared" si="31"/>
        <v/>
      </c>
      <c r="J285" s="199">
        <v>2</v>
      </c>
      <c r="K285" s="200">
        <v>14</v>
      </c>
      <c r="L285" s="208">
        <f t="shared" si="32"/>
        <v>-85.714285714285708</v>
      </c>
      <c r="M285" s="205">
        <f t="shared" si="33"/>
        <v>1.779676098949991E-3</v>
      </c>
      <c r="N285" s="206">
        <f t="shared" si="34"/>
        <v>1.1854962995579792E-2</v>
      </c>
    </row>
    <row r="286" spans="1:14" hidden="1" outlineLevel="1">
      <c r="A286" s="197"/>
      <c r="B286" s="207" t="s">
        <v>1268</v>
      </c>
      <c r="C286" s="203">
        <f t="shared" si="28"/>
        <v>-100</v>
      </c>
      <c r="E286" s="199">
        <v>0</v>
      </c>
      <c r="F286" s="200">
        <v>1</v>
      </c>
      <c r="G286" s="208">
        <f t="shared" si="29"/>
        <v>-100</v>
      </c>
      <c r="H286" s="205" t="str">
        <f t="shared" si="30"/>
        <v/>
      </c>
      <c r="I286" s="205">
        <f t="shared" si="31"/>
        <v>3.7860144625752466E-3</v>
      </c>
      <c r="J286" s="199">
        <v>0</v>
      </c>
      <c r="K286" s="200">
        <v>1</v>
      </c>
      <c r="L286" s="208">
        <f t="shared" si="32"/>
        <v>-100</v>
      </c>
      <c r="M286" s="205" t="str">
        <f t="shared" si="33"/>
        <v/>
      </c>
      <c r="N286" s="206">
        <f t="shared" si="34"/>
        <v>8.4678307111284222E-4</v>
      </c>
    </row>
    <row r="287" spans="1:14" collapsed="1">
      <c r="A287" s="197" t="s">
        <v>1269</v>
      </c>
      <c r="B287" s="196" t="s">
        <v>288</v>
      </c>
      <c r="C287" s="203">
        <f t="shared" si="28"/>
        <v>-23.675213675213673</v>
      </c>
      <c r="E287" s="199">
        <v>204</v>
      </c>
      <c r="F287" s="200">
        <v>349</v>
      </c>
      <c r="G287" s="208">
        <f t="shared" si="29"/>
        <v>-41.54727793696275</v>
      </c>
      <c r="H287" s="205">
        <f t="shared" si="30"/>
        <v>0.71604071604071606</v>
      </c>
      <c r="I287" s="205">
        <f t="shared" si="31"/>
        <v>1.3213190474387613</v>
      </c>
      <c r="J287" s="199">
        <v>893</v>
      </c>
      <c r="K287" s="200">
        <v>1170</v>
      </c>
      <c r="L287" s="208">
        <f t="shared" si="32"/>
        <v>-23.675213675213673</v>
      </c>
      <c r="M287" s="205">
        <f t="shared" si="33"/>
        <v>0.79462537818117096</v>
      </c>
      <c r="N287" s="206">
        <f t="shared" si="34"/>
        <v>0.99073619320202544</v>
      </c>
    </row>
    <row r="288" spans="1:14" hidden="1" outlineLevel="1">
      <c r="A288" s="197"/>
      <c r="B288" s="207" t="s">
        <v>951</v>
      </c>
      <c r="C288" s="203">
        <f t="shared" si="28"/>
        <v>-9.7530864197530853</v>
      </c>
      <c r="E288" s="199">
        <v>175</v>
      </c>
      <c r="F288" s="200">
        <v>272</v>
      </c>
      <c r="G288" s="208">
        <f t="shared" si="29"/>
        <v>-35.661764705882355</v>
      </c>
      <c r="H288" s="205">
        <f t="shared" si="30"/>
        <v>0.61425061425061422</v>
      </c>
      <c r="I288" s="205">
        <f t="shared" si="31"/>
        <v>1.0297959338204672</v>
      </c>
      <c r="J288" s="199">
        <v>731</v>
      </c>
      <c r="K288" s="200">
        <v>810</v>
      </c>
      <c r="L288" s="208">
        <f t="shared" si="32"/>
        <v>-9.7530864197530853</v>
      </c>
      <c r="M288" s="205">
        <f t="shared" si="33"/>
        <v>0.65047161416622168</v>
      </c>
      <c r="N288" s="206">
        <f t="shared" si="34"/>
        <v>0.68589428760140225</v>
      </c>
    </row>
    <row r="289" spans="1:14" hidden="1" outlineLevel="1">
      <c r="A289" s="197"/>
      <c r="B289" s="207" t="s">
        <v>952</v>
      </c>
      <c r="C289" s="203">
        <f t="shared" si="28"/>
        <v>-40.520446096654275</v>
      </c>
      <c r="E289" s="199">
        <v>29</v>
      </c>
      <c r="F289" s="200">
        <v>41</v>
      </c>
      <c r="G289" s="208">
        <f t="shared" si="29"/>
        <v>-29.268292682926827</v>
      </c>
      <c r="H289" s="205">
        <f t="shared" si="30"/>
        <v>0.1017901017901018</v>
      </c>
      <c r="I289" s="205">
        <f t="shared" si="31"/>
        <v>0.15522659296558514</v>
      </c>
      <c r="J289" s="199">
        <v>160</v>
      </c>
      <c r="K289" s="200">
        <v>269</v>
      </c>
      <c r="L289" s="208">
        <f t="shared" si="32"/>
        <v>-40.520446096654275</v>
      </c>
      <c r="M289" s="205">
        <f t="shared" si="33"/>
        <v>0.14237408791599929</v>
      </c>
      <c r="N289" s="206">
        <f t="shared" si="34"/>
        <v>0.22778464612935459</v>
      </c>
    </row>
    <row r="290" spans="1:14" hidden="1" outlineLevel="1">
      <c r="A290" s="197"/>
      <c r="B290" s="207" t="s">
        <v>953</v>
      </c>
      <c r="C290" s="203">
        <f t="shared" si="28"/>
        <v>-97.802197802197796</v>
      </c>
      <c r="E290" s="199">
        <v>0</v>
      </c>
      <c r="F290" s="200">
        <v>36</v>
      </c>
      <c r="G290" s="208">
        <f t="shared" si="29"/>
        <v>-100</v>
      </c>
      <c r="H290" s="205" t="str">
        <f t="shared" si="30"/>
        <v/>
      </c>
      <c r="I290" s="205">
        <f t="shared" si="31"/>
        <v>0.13629652065270889</v>
      </c>
      <c r="J290" s="199">
        <v>2</v>
      </c>
      <c r="K290" s="200">
        <v>91</v>
      </c>
      <c r="L290" s="208">
        <f t="shared" si="32"/>
        <v>-97.802197802197796</v>
      </c>
      <c r="M290" s="205">
        <f t="shared" si="33"/>
        <v>1.779676098949991E-3</v>
      </c>
      <c r="N290" s="206">
        <f t="shared" si="34"/>
        <v>7.7057259471268652E-2</v>
      </c>
    </row>
    <row r="291" spans="1:14" collapsed="1">
      <c r="A291" s="197" t="s">
        <v>1270</v>
      </c>
      <c r="B291" s="196" t="s">
        <v>284</v>
      </c>
      <c r="C291" s="203">
        <f t="shared" si="28"/>
        <v>94.285714285714278</v>
      </c>
      <c r="E291" s="199">
        <v>234</v>
      </c>
      <c r="F291" s="200">
        <v>98</v>
      </c>
      <c r="G291" s="208">
        <f t="shared" si="29"/>
        <v>138.77551020408163</v>
      </c>
      <c r="H291" s="205">
        <f t="shared" si="30"/>
        <v>0.82134082134082131</v>
      </c>
      <c r="I291" s="205">
        <f t="shared" si="31"/>
        <v>0.37102941733237421</v>
      </c>
      <c r="J291" s="199">
        <v>884</v>
      </c>
      <c r="K291" s="200">
        <v>455</v>
      </c>
      <c r="L291" s="208">
        <f t="shared" si="32"/>
        <v>94.285714285714278</v>
      </c>
      <c r="M291" s="205">
        <f t="shared" si="33"/>
        <v>0.78661683573589603</v>
      </c>
      <c r="N291" s="206">
        <f t="shared" si="34"/>
        <v>0.38528629735634323</v>
      </c>
    </row>
    <row r="292" spans="1:14" hidden="1" outlineLevel="1">
      <c r="A292" s="197"/>
      <c r="B292" s="207" t="s">
        <v>978</v>
      </c>
      <c r="C292" s="203">
        <f t="shared" si="28"/>
        <v>95.408163265306129</v>
      </c>
      <c r="E292" s="199">
        <v>114</v>
      </c>
      <c r="F292" s="200">
        <v>45</v>
      </c>
      <c r="G292" s="208">
        <f t="shared" si="29"/>
        <v>153.33333333333334</v>
      </c>
      <c r="H292" s="205">
        <f t="shared" si="30"/>
        <v>0.40014040014040009</v>
      </c>
      <c r="I292" s="205">
        <f t="shared" si="31"/>
        <v>0.17037065081588612</v>
      </c>
      <c r="J292" s="199">
        <v>383</v>
      </c>
      <c r="K292" s="200">
        <v>196</v>
      </c>
      <c r="L292" s="208">
        <f t="shared" si="32"/>
        <v>95.408163265306129</v>
      </c>
      <c r="M292" s="205">
        <f t="shared" si="33"/>
        <v>0.34080797294892329</v>
      </c>
      <c r="N292" s="206">
        <f t="shared" si="34"/>
        <v>0.16596948193811709</v>
      </c>
    </row>
    <row r="293" spans="1:14" hidden="1" outlineLevel="1">
      <c r="A293" s="197"/>
      <c r="B293" s="207" t="s">
        <v>1271</v>
      </c>
      <c r="C293" s="203">
        <f t="shared" si="28"/>
        <v>267.24137931034483</v>
      </c>
      <c r="E293" s="199">
        <v>32</v>
      </c>
      <c r="F293" s="200">
        <v>5</v>
      </c>
      <c r="G293" s="208">
        <f t="shared" si="29"/>
        <v>540</v>
      </c>
      <c r="H293" s="205">
        <f t="shared" si="30"/>
        <v>0.11232011232011233</v>
      </c>
      <c r="I293" s="205">
        <f t="shared" si="31"/>
        <v>1.8930072312876235E-2</v>
      </c>
      <c r="J293" s="199">
        <v>213</v>
      </c>
      <c r="K293" s="200">
        <v>58</v>
      </c>
      <c r="L293" s="208">
        <f t="shared" si="32"/>
        <v>267.24137931034483</v>
      </c>
      <c r="M293" s="205">
        <f t="shared" si="33"/>
        <v>0.18953550453817405</v>
      </c>
      <c r="N293" s="206">
        <f t="shared" si="34"/>
        <v>4.9113418124544853E-2</v>
      </c>
    </row>
    <row r="294" spans="1:14" hidden="1" outlineLevel="1">
      <c r="A294" s="197"/>
      <c r="B294" s="207" t="s">
        <v>1063</v>
      </c>
      <c r="C294" s="203">
        <f t="shared" si="28"/>
        <v>24.324324324324326</v>
      </c>
      <c r="E294" s="199">
        <v>37</v>
      </c>
      <c r="F294" s="200">
        <v>19</v>
      </c>
      <c r="G294" s="208">
        <f t="shared" si="29"/>
        <v>94.73684210526315</v>
      </c>
      <c r="H294" s="205">
        <f t="shared" si="30"/>
        <v>0.12987012987012986</v>
      </c>
      <c r="I294" s="205">
        <f t="shared" si="31"/>
        <v>7.1934274788929692E-2</v>
      </c>
      <c r="J294" s="199">
        <v>138</v>
      </c>
      <c r="K294" s="200">
        <v>111</v>
      </c>
      <c r="L294" s="208">
        <f t="shared" si="32"/>
        <v>24.324324324324326</v>
      </c>
      <c r="M294" s="205">
        <f t="shared" si="33"/>
        <v>0.1227976508275494</v>
      </c>
      <c r="N294" s="206">
        <f t="shared" si="34"/>
        <v>9.3992920893525497E-2</v>
      </c>
    </row>
    <row r="295" spans="1:14" hidden="1" outlineLevel="1">
      <c r="A295" s="197"/>
      <c r="B295" s="207" t="s">
        <v>980</v>
      </c>
      <c r="C295" s="203">
        <f t="shared" si="28"/>
        <v>101.78571428571428</v>
      </c>
      <c r="E295" s="199">
        <v>34</v>
      </c>
      <c r="F295" s="200">
        <v>18</v>
      </c>
      <c r="G295" s="208">
        <f t="shared" si="29"/>
        <v>88.888888888888886</v>
      </c>
      <c r="H295" s="205">
        <f t="shared" si="30"/>
        <v>0.11934011934011934</v>
      </c>
      <c r="I295" s="205">
        <f t="shared" si="31"/>
        <v>6.8148260326354446E-2</v>
      </c>
      <c r="J295" s="199">
        <v>113</v>
      </c>
      <c r="K295" s="200">
        <v>56</v>
      </c>
      <c r="L295" s="208">
        <f t="shared" si="32"/>
        <v>101.78571428571428</v>
      </c>
      <c r="M295" s="205">
        <f t="shared" si="33"/>
        <v>0.1005516995906745</v>
      </c>
      <c r="N295" s="206">
        <f t="shared" si="34"/>
        <v>4.7419851982319169E-2</v>
      </c>
    </row>
    <row r="296" spans="1:14" hidden="1" outlineLevel="1">
      <c r="A296" s="197"/>
      <c r="B296" s="207" t="s">
        <v>1210</v>
      </c>
      <c r="C296" s="203" t="str">
        <f t="shared" si="28"/>
        <v/>
      </c>
      <c r="E296" s="199">
        <v>16</v>
      </c>
      <c r="F296" s="200">
        <v>0</v>
      </c>
      <c r="G296" s="208" t="str">
        <f t="shared" si="29"/>
        <v/>
      </c>
      <c r="H296" s="205">
        <f t="shared" si="30"/>
        <v>5.6160056160056163E-2</v>
      </c>
      <c r="I296" s="205" t="str">
        <f t="shared" si="31"/>
        <v/>
      </c>
      <c r="J296" s="199">
        <v>28</v>
      </c>
      <c r="K296" s="200">
        <v>0</v>
      </c>
      <c r="L296" s="208" t="str">
        <f t="shared" si="32"/>
        <v/>
      </c>
      <c r="M296" s="205">
        <f t="shared" si="33"/>
        <v>2.4915465385299873E-2</v>
      </c>
      <c r="N296" s="206" t="str">
        <f t="shared" si="34"/>
        <v/>
      </c>
    </row>
    <row r="297" spans="1:14" hidden="1" outlineLevel="1">
      <c r="A297" s="197"/>
      <c r="B297" s="207" t="s">
        <v>1272</v>
      </c>
      <c r="C297" s="203">
        <f t="shared" si="28"/>
        <v>500</v>
      </c>
      <c r="E297" s="199">
        <v>1</v>
      </c>
      <c r="F297" s="200">
        <v>0</v>
      </c>
      <c r="G297" s="208" t="str">
        <f t="shared" si="29"/>
        <v/>
      </c>
      <c r="H297" s="205">
        <f t="shared" si="30"/>
        <v>3.5100035100035102E-3</v>
      </c>
      <c r="I297" s="205" t="str">
        <f t="shared" si="31"/>
        <v/>
      </c>
      <c r="J297" s="199">
        <v>6</v>
      </c>
      <c r="K297" s="200">
        <v>1</v>
      </c>
      <c r="L297" s="208">
        <f t="shared" si="32"/>
        <v>500</v>
      </c>
      <c r="M297" s="205">
        <f t="shared" si="33"/>
        <v>5.3390282968499734E-3</v>
      </c>
      <c r="N297" s="206">
        <f t="shared" si="34"/>
        <v>8.4678307111284222E-4</v>
      </c>
    </row>
    <row r="298" spans="1:14" hidden="1" outlineLevel="1">
      <c r="A298" s="197"/>
      <c r="B298" s="207" t="s">
        <v>1273</v>
      </c>
      <c r="C298" s="203" t="str">
        <f t="shared" si="28"/>
        <v/>
      </c>
      <c r="E298" s="199">
        <v>0</v>
      </c>
      <c r="F298" s="200">
        <v>0</v>
      </c>
      <c r="G298" s="208" t="str">
        <f t="shared" si="29"/>
        <v/>
      </c>
      <c r="H298" s="205" t="str">
        <f t="shared" si="30"/>
        <v/>
      </c>
      <c r="I298" s="205" t="str">
        <f t="shared" si="31"/>
        <v/>
      </c>
      <c r="J298" s="199">
        <v>2</v>
      </c>
      <c r="K298" s="200">
        <v>0</v>
      </c>
      <c r="L298" s="208" t="str">
        <f t="shared" si="32"/>
        <v/>
      </c>
      <c r="M298" s="205">
        <f t="shared" si="33"/>
        <v>1.779676098949991E-3</v>
      </c>
      <c r="N298" s="206" t="str">
        <f t="shared" si="34"/>
        <v/>
      </c>
    </row>
    <row r="299" spans="1:14" hidden="1" outlineLevel="1">
      <c r="A299" s="197"/>
      <c r="B299" s="207" t="s">
        <v>1274</v>
      </c>
      <c r="C299" s="203" t="str">
        <f t="shared" si="28"/>
        <v/>
      </c>
      <c r="E299" s="199">
        <v>0</v>
      </c>
      <c r="F299" s="200">
        <v>0</v>
      </c>
      <c r="G299" s="208" t="str">
        <f t="shared" si="29"/>
        <v/>
      </c>
      <c r="H299" s="205" t="str">
        <f t="shared" si="30"/>
        <v/>
      </c>
      <c r="I299" s="205" t="str">
        <f t="shared" si="31"/>
        <v/>
      </c>
      <c r="J299" s="199">
        <v>1</v>
      </c>
      <c r="K299" s="200">
        <v>0</v>
      </c>
      <c r="L299" s="208" t="str">
        <f t="shared" si="32"/>
        <v/>
      </c>
      <c r="M299" s="205">
        <f t="shared" si="33"/>
        <v>8.898380494749955E-4</v>
      </c>
      <c r="N299" s="206" t="str">
        <f t="shared" si="34"/>
        <v/>
      </c>
    </row>
    <row r="300" spans="1:14" hidden="1" outlineLevel="1">
      <c r="A300" s="197"/>
      <c r="B300" s="207" t="s">
        <v>979</v>
      </c>
      <c r="C300" s="203">
        <f t="shared" si="28"/>
        <v>-100</v>
      </c>
      <c r="E300" s="199">
        <v>0</v>
      </c>
      <c r="F300" s="200">
        <v>11</v>
      </c>
      <c r="G300" s="208">
        <f t="shared" si="29"/>
        <v>-100</v>
      </c>
      <c r="H300" s="205" t="str">
        <f t="shared" si="30"/>
        <v/>
      </c>
      <c r="I300" s="205">
        <f t="shared" si="31"/>
        <v>4.1646159088327715E-2</v>
      </c>
      <c r="J300" s="199">
        <v>0</v>
      </c>
      <c r="K300" s="200">
        <v>33</v>
      </c>
      <c r="L300" s="208">
        <f t="shared" si="32"/>
        <v>-100</v>
      </c>
      <c r="M300" s="205" t="str">
        <f t="shared" si="33"/>
        <v/>
      </c>
      <c r="N300" s="206">
        <f t="shared" si="34"/>
        <v>2.7943841346723796E-2</v>
      </c>
    </row>
    <row r="301" spans="1:14" collapsed="1">
      <c r="A301" s="197" t="s">
        <v>1275</v>
      </c>
      <c r="B301" s="196" t="s">
        <v>954</v>
      </c>
      <c r="C301" s="203">
        <f t="shared" si="28"/>
        <v>-17.954070981210858</v>
      </c>
      <c r="E301" s="199">
        <v>206</v>
      </c>
      <c r="F301" s="200">
        <v>296</v>
      </c>
      <c r="G301" s="208">
        <f t="shared" si="29"/>
        <v>-30.405405405405407</v>
      </c>
      <c r="H301" s="205">
        <f t="shared" si="30"/>
        <v>0.723060723060723</v>
      </c>
      <c r="I301" s="205">
        <f t="shared" si="31"/>
        <v>1.1206602809222732</v>
      </c>
      <c r="J301" s="199">
        <v>786</v>
      </c>
      <c r="K301" s="200">
        <v>958</v>
      </c>
      <c r="L301" s="208">
        <f t="shared" si="32"/>
        <v>-17.954070981210858</v>
      </c>
      <c r="M301" s="205">
        <f t="shared" si="33"/>
        <v>0.69941270688734658</v>
      </c>
      <c r="N301" s="206">
        <f t="shared" si="34"/>
        <v>0.81121818212610297</v>
      </c>
    </row>
    <row r="302" spans="1:14" hidden="1" outlineLevel="1">
      <c r="A302" s="197"/>
      <c r="B302" s="207" t="s">
        <v>955</v>
      </c>
      <c r="C302" s="203">
        <f t="shared" si="28"/>
        <v>-17.954070981210858</v>
      </c>
      <c r="E302" s="199">
        <v>206</v>
      </c>
      <c r="F302" s="200">
        <v>296</v>
      </c>
      <c r="G302" s="208">
        <f t="shared" si="29"/>
        <v>-30.405405405405407</v>
      </c>
      <c r="H302" s="205">
        <f t="shared" si="30"/>
        <v>0.723060723060723</v>
      </c>
      <c r="I302" s="205">
        <f t="shared" si="31"/>
        <v>1.1206602809222732</v>
      </c>
      <c r="J302" s="199">
        <v>786</v>
      </c>
      <c r="K302" s="200">
        <v>958</v>
      </c>
      <c r="L302" s="208">
        <f t="shared" si="32"/>
        <v>-17.954070981210858</v>
      </c>
      <c r="M302" s="205">
        <f t="shared" si="33"/>
        <v>0.69941270688734658</v>
      </c>
      <c r="N302" s="206">
        <f t="shared" si="34"/>
        <v>0.81121818212610297</v>
      </c>
    </row>
    <row r="303" spans="1:14" collapsed="1">
      <c r="A303" s="197" t="s">
        <v>1276</v>
      </c>
      <c r="B303" s="196" t="s">
        <v>299</v>
      </c>
      <c r="C303" s="203">
        <f t="shared" si="28"/>
        <v>-50.11709601873536</v>
      </c>
      <c r="E303" s="199">
        <v>118</v>
      </c>
      <c r="F303" s="200">
        <v>173</v>
      </c>
      <c r="G303" s="208">
        <f t="shared" si="29"/>
        <v>-31.79190751445087</v>
      </c>
      <c r="H303" s="205">
        <f t="shared" si="30"/>
        <v>0.41418041418041418</v>
      </c>
      <c r="I303" s="205">
        <f t="shared" si="31"/>
        <v>0.65498050202551772</v>
      </c>
      <c r="J303" s="199">
        <v>426</v>
      </c>
      <c r="K303" s="200">
        <v>854</v>
      </c>
      <c r="L303" s="208">
        <f t="shared" si="32"/>
        <v>-50.11709601873536</v>
      </c>
      <c r="M303" s="205">
        <f t="shared" si="33"/>
        <v>0.37907100907634811</v>
      </c>
      <c r="N303" s="206">
        <f t="shared" si="34"/>
        <v>0.72315274273036734</v>
      </c>
    </row>
    <row r="304" spans="1:14" hidden="1" outlineLevel="1">
      <c r="A304" s="197"/>
      <c r="B304" s="207" t="s">
        <v>960</v>
      </c>
      <c r="C304" s="203">
        <f t="shared" si="28"/>
        <v>-46.909090909090914</v>
      </c>
      <c r="E304" s="199">
        <v>52</v>
      </c>
      <c r="F304" s="200">
        <v>51</v>
      </c>
      <c r="G304" s="208">
        <f t="shared" si="29"/>
        <v>1.9607843137254901</v>
      </c>
      <c r="H304" s="205">
        <f t="shared" si="30"/>
        <v>0.18252018252018251</v>
      </c>
      <c r="I304" s="205">
        <f t="shared" si="31"/>
        <v>0.1930867375913376</v>
      </c>
      <c r="J304" s="199">
        <v>146</v>
      </c>
      <c r="K304" s="200">
        <v>275</v>
      </c>
      <c r="L304" s="208">
        <f t="shared" si="32"/>
        <v>-46.909090909090914</v>
      </c>
      <c r="M304" s="205">
        <f t="shared" si="33"/>
        <v>0.12991635522334935</v>
      </c>
      <c r="N304" s="206">
        <f t="shared" si="34"/>
        <v>0.23286534455603164</v>
      </c>
    </row>
    <row r="305" spans="1:14" hidden="1" outlineLevel="1">
      <c r="A305" s="197"/>
      <c r="B305" s="207" t="s">
        <v>963</v>
      </c>
      <c r="C305" s="203">
        <f t="shared" si="28"/>
        <v>-14.912280701754385</v>
      </c>
      <c r="E305" s="199">
        <v>22</v>
      </c>
      <c r="F305" s="200">
        <v>27</v>
      </c>
      <c r="G305" s="208">
        <f t="shared" si="29"/>
        <v>-18.518518518518519</v>
      </c>
      <c r="H305" s="205">
        <f t="shared" si="30"/>
        <v>7.7220077220077218E-2</v>
      </c>
      <c r="I305" s="205">
        <f t="shared" si="31"/>
        <v>0.10222239048953168</v>
      </c>
      <c r="J305" s="199">
        <v>97</v>
      </c>
      <c r="K305" s="200">
        <v>114</v>
      </c>
      <c r="L305" s="208">
        <f t="shared" si="32"/>
        <v>-14.912280701754385</v>
      </c>
      <c r="M305" s="205">
        <f t="shared" si="33"/>
        <v>8.6314290799074558E-2</v>
      </c>
      <c r="N305" s="206">
        <f t="shared" si="34"/>
        <v>9.6533270106864022E-2</v>
      </c>
    </row>
    <row r="306" spans="1:14" hidden="1" outlineLevel="1">
      <c r="A306" s="197"/>
      <c r="B306" s="207" t="s">
        <v>961</v>
      </c>
      <c r="C306" s="203">
        <f t="shared" si="28"/>
        <v>-66.159695817490487</v>
      </c>
      <c r="E306" s="199">
        <v>19</v>
      </c>
      <c r="F306" s="200">
        <v>66</v>
      </c>
      <c r="G306" s="208">
        <f t="shared" si="29"/>
        <v>-71.212121212121218</v>
      </c>
      <c r="H306" s="205">
        <f t="shared" si="30"/>
        <v>6.6690066690066691E-2</v>
      </c>
      <c r="I306" s="205">
        <f t="shared" si="31"/>
        <v>0.24987695452996631</v>
      </c>
      <c r="J306" s="199">
        <v>89</v>
      </c>
      <c r="K306" s="200">
        <v>263</v>
      </c>
      <c r="L306" s="208">
        <f t="shared" si="32"/>
        <v>-66.159695817490487</v>
      </c>
      <c r="M306" s="205">
        <f t="shared" si="33"/>
        <v>7.9195586403274607E-2</v>
      </c>
      <c r="N306" s="206">
        <f t="shared" si="34"/>
        <v>0.22270394770267754</v>
      </c>
    </row>
    <row r="307" spans="1:14" hidden="1" outlineLevel="1">
      <c r="A307" s="197"/>
      <c r="B307" s="207" t="s">
        <v>962</v>
      </c>
      <c r="C307" s="203">
        <f t="shared" si="28"/>
        <v>-49.673202614379086</v>
      </c>
      <c r="E307" s="199">
        <v>19</v>
      </c>
      <c r="F307" s="200">
        <v>16</v>
      </c>
      <c r="G307" s="208">
        <f t="shared" si="29"/>
        <v>18.75</v>
      </c>
      <c r="H307" s="205">
        <f t="shared" si="30"/>
        <v>6.6690066690066691E-2</v>
      </c>
      <c r="I307" s="205">
        <f t="shared" si="31"/>
        <v>6.0576231401203946E-2</v>
      </c>
      <c r="J307" s="199">
        <v>77</v>
      </c>
      <c r="K307" s="200">
        <v>153</v>
      </c>
      <c r="L307" s="208">
        <f t="shared" si="32"/>
        <v>-49.673202614379086</v>
      </c>
      <c r="M307" s="205">
        <f t="shared" si="33"/>
        <v>6.8517529809574651E-2</v>
      </c>
      <c r="N307" s="206">
        <f t="shared" si="34"/>
        <v>0.12955780988026488</v>
      </c>
    </row>
    <row r="308" spans="1:14" hidden="1" outlineLevel="1">
      <c r="A308" s="197"/>
      <c r="B308" s="207" t="s">
        <v>964</v>
      </c>
      <c r="C308" s="203">
        <f t="shared" si="28"/>
        <v>-65.306122448979593</v>
      </c>
      <c r="E308" s="199">
        <v>6</v>
      </c>
      <c r="F308" s="200">
        <v>13</v>
      </c>
      <c r="G308" s="208">
        <f t="shared" si="29"/>
        <v>-53.846153846153847</v>
      </c>
      <c r="H308" s="205">
        <f t="shared" si="30"/>
        <v>2.1060021060021059E-2</v>
      </c>
      <c r="I308" s="205">
        <f t="shared" si="31"/>
        <v>4.9218188013478208E-2</v>
      </c>
      <c r="J308" s="199">
        <v>17</v>
      </c>
      <c r="K308" s="200">
        <v>49</v>
      </c>
      <c r="L308" s="208">
        <f t="shared" si="32"/>
        <v>-65.306122448979593</v>
      </c>
      <c r="M308" s="205">
        <f t="shared" si="33"/>
        <v>1.5127246841074925E-2</v>
      </c>
      <c r="N308" s="206">
        <f t="shared" si="34"/>
        <v>4.1492370484529272E-2</v>
      </c>
    </row>
    <row r="309" spans="1:14" collapsed="1">
      <c r="A309" s="197" t="s">
        <v>1211</v>
      </c>
      <c r="B309" s="196" t="s">
        <v>529</v>
      </c>
      <c r="C309" s="203" t="str">
        <f t="shared" si="28"/>
        <v/>
      </c>
      <c r="E309" s="199">
        <v>145</v>
      </c>
      <c r="F309" s="200">
        <v>0</v>
      </c>
      <c r="G309" s="208" t="str">
        <f t="shared" si="29"/>
        <v/>
      </c>
      <c r="H309" s="205">
        <f t="shared" si="30"/>
        <v>0.50895050895050897</v>
      </c>
      <c r="I309" s="205" t="str">
        <f t="shared" si="31"/>
        <v/>
      </c>
      <c r="J309" s="199">
        <v>415</v>
      </c>
      <c r="K309" s="200">
        <v>0</v>
      </c>
      <c r="L309" s="208" t="str">
        <f t="shared" si="32"/>
        <v/>
      </c>
      <c r="M309" s="205">
        <f t="shared" si="33"/>
        <v>0.36928279053212315</v>
      </c>
      <c r="N309" s="206" t="str">
        <f t="shared" si="34"/>
        <v/>
      </c>
    </row>
    <row r="310" spans="1:14" hidden="1" outlineLevel="1">
      <c r="A310" s="197"/>
      <c r="B310" s="207" t="s">
        <v>1064</v>
      </c>
      <c r="C310" s="203" t="str">
        <f t="shared" si="28"/>
        <v/>
      </c>
      <c r="E310" s="199">
        <v>141</v>
      </c>
      <c r="F310" s="200">
        <v>0</v>
      </c>
      <c r="G310" s="208" t="str">
        <f t="shared" si="29"/>
        <v/>
      </c>
      <c r="H310" s="205">
        <f t="shared" si="30"/>
        <v>0.49491049491049494</v>
      </c>
      <c r="I310" s="205" t="str">
        <f t="shared" si="31"/>
        <v/>
      </c>
      <c r="J310" s="199">
        <v>373</v>
      </c>
      <c r="K310" s="200">
        <v>0</v>
      </c>
      <c r="L310" s="208" t="str">
        <f t="shared" si="32"/>
        <v/>
      </c>
      <c r="M310" s="205">
        <f t="shared" si="33"/>
        <v>0.33190959245417334</v>
      </c>
      <c r="N310" s="206" t="str">
        <f t="shared" si="34"/>
        <v/>
      </c>
    </row>
    <row r="311" spans="1:14" hidden="1" outlineLevel="1">
      <c r="A311" s="197"/>
      <c r="B311" s="207" t="s">
        <v>1109</v>
      </c>
      <c r="C311" s="203" t="str">
        <f t="shared" si="28"/>
        <v/>
      </c>
      <c r="E311" s="199">
        <v>3</v>
      </c>
      <c r="F311" s="200">
        <v>0</v>
      </c>
      <c r="G311" s="208" t="str">
        <f t="shared" si="29"/>
        <v/>
      </c>
      <c r="H311" s="205">
        <f t="shared" si="30"/>
        <v>1.053001053001053E-2</v>
      </c>
      <c r="I311" s="205" t="str">
        <f t="shared" si="31"/>
        <v/>
      </c>
      <c r="J311" s="199">
        <v>35</v>
      </c>
      <c r="K311" s="200">
        <v>0</v>
      </c>
      <c r="L311" s="208" t="str">
        <f t="shared" si="32"/>
        <v/>
      </c>
      <c r="M311" s="205">
        <f t="shared" si="33"/>
        <v>3.1144331731624841E-2</v>
      </c>
      <c r="N311" s="206" t="str">
        <f t="shared" si="34"/>
        <v/>
      </c>
    </row>
    <row r="312" spans="1:14" hidden="1" outlineLevel="1">
      <c r="A312" s="197"/>
      <c r="B312" s="207" t="s">
        <v>1053</v>
      </c>
      <c r="C312" s="203" t="str">
        <f t="shared" si="28"/>
        <v/>
      </c>
      <c r="E312" s="199">
        <v>1</v>
      </c>
      <c r="F312" s="200">
        <v>0</v>
      </c>
      <c r="G312" s="208" t="str">
        <f t="shared" si="29"/>
        <v/>
      </c>
      <c r="H312" s="205">
        <f t="shared" si="30"/>
        <v>3.5100035100035102E-3</v>
      </c>
      <c r="I312" s="205" t="str">
        <f t="shared" si="31"/>
        <v/>
      </c>
      <c r="J312" s="199">
        <v>7</v>
      </c>
      <c r="K312" s="200">
        <v>0</v>
      </c>
      <c r="L312" s="208" t="str">
        <f t="shared" si="32"/>
        <v/>
      </c>
      <c r="M312" s="205">
        <f t="shared" si="33"/>
        <v>6.2288663463249683E-3</v>
      </c>
      <c r="N312" s="206" t="str">
        <f t="shared" si="34"/>
        <v/>
      </c>
    </row>
    <row r="313" spans="1:14" collapsed="1">
      <c r="A313" s="197" t="s">
        <v>1212</v>
      </c>
      <c r="B313" s="196" t="s">
        <v>289</v>
      </c>
      <c r="C313" s="203">
        <f t="shared" si="28"/>
        <v>1.8382352941176472</v>
      </c>
      <c r="E313" s="199">
        <v>67</v>
      </c>
      <c r="F313" s="200">
        <v>55</v>
      </c>
      <c r="G313" s="208">
        <f t="shared" si="29"/>
        <v>21.818181818181817</v>
      </c>
      <c r="H313" s="205">
        <f t="shared" si="30"/>
        <v>0.23517023517023514</v>
      </c>
      <c r="I313" s="205">
        <f t="shared" si="31"/>
        <v>0.20823079544163861</v>
      </c>
      <c r="J313" s="199">
        <v>277</v>
      </c>
      <c r="K313" s="200">
        <v>272</v>
      </c>
      <c r="L313" s="208">
        <f t="shared" si="32"/>
        <v>1.8382352941176472</v>
      </c>
      <c r="M313" s="205">
        <f t="shared" si="33"/>
        <v>0.24648513970457375</v>
      </c>
      <c r="N313" s="206">
        <f t="shared" si="34"/>
        <v>0.2303249953426931</v>
      </c>
    </row>
    <row r="314" spans="1:14" hidden="1" outlineLevel="1">
      <c r="A314" s="197"/>
      <c r="B314" s="207" t="s">
        <v>982</v>
      </c>
      <c r="C314" s="203">
        <f t="shared" si="28"/>
        <v>-8.7591240875912408</v>
      </c>
      <c r="E314" s="199">
        <v>38</v>
      </c>
      <c r="F314" s="200">
        <v>41</v>
      </c>
      <c r="G314" s="208">
        <f t="shared" si="29"/>
        <v>-7.3170731707317067</v>
      </c>
      <c r="H314" s="205">
        <f t="shared" si="30"/>
        <v>0.13338013338013338</v>
      </c>
      <c r="I314" s="205">
        <f t="shared" si="31"/>
        <v>0.15522659296558514</v>
      </c>
      <c r="J314" s="199">
        <v>125</v>
      </c>
      <c r="K314" s="200">
        <v>137</v>
      </c>
      <c r="L314" s="208">
        <f t="shared" si="32"/>
        <v>-8.7591240875912408</v>
      </c>
      <c r="M314" s="205">
        <f t="shared" si="33"/>
        <v>0.11122975618437445</v>
      </c>
      <c r="N314" s="206">
        <f t="shared" si="34"/>
        <v>0.11600928074245939</v>
      </c>
    </row>
    <row r="315" spans="1:14" hidden="1" outlineLevel="1">
      <c r="A315" s="197"/>
      <c r="B315" s="207" t="s">
        <v>981</v>
      </c>
      <c r="C315" s="203">
        <f t="shared" si="28"/>
        <v>-25.925925925925924</v>
      </c>
      <c r="E315" s="199">
        <v>18</v>
      </c>
      <c r="F315" s="200">
        <v>14</v>
      </c>
      <c r="G315" s="208">
        <f t="shared" si="29"/>
        <v>28.571428571428569</v>
      </c>
      <c r="H315" s="205">
        <f t="shared" si="30"/>
        <v>6.3180063180063181E-2</v>
      </c>
      <c r="I315" s="205">
        <f t="shared" si="31"/>
        <v>5.3004202476053454E-2</v>
      </c>
      <c r="J315" s="199">
        <v>100</v>
      </c>
      <c r="K315" s="200">
        <v>135</v>
      </c>
      <c r="L315" s="208">
        <f t="shared" si="32"/>
        <v>-25.925925925925924</v>
      </c>
      <c r="M315" s="205">
        <f t="shared" si="33"/>
        <v>8.8983804947499551E-2</v>
      </c>
      <c r="N315" s="206">
        <f t="shared" si="34"/>
        <v>0.11431571460023371</v>
      </c>
    </row>
    <row r="316" spans="1:14" hidden="1" outlineLevel="1">
      <c r="A316" s="197"/>
      <c r="B316" s="207" t="s">
        <v>1181</v>
      </c>
      <c r="C316" s="203" t="str">
        <f t="shared" si="28"/>
        <v/>
      </c>
      <c r="E316" s="199">
        <v>11</v>
      </c>
      <c r="F316" s="200">
        <v>0</v>
      </c>
      <c r="G316" s="208" t="str">
        <f t="shared" si="29"/>
        <v/>
      </c>
      <c r="H316" s="205">
        <f t="shared" si="30"/>
        <v>3.8610038610038609E-2</v>
      </c>
      <c r="I316" s="205" t="str">
        <f t="shared" si="31"/>
        <v/>
      </c>
      <c r="J316" s="199">
        <v>52</v>
      </c>
      <c r="K316" s="200">
        <v>0</v>
      </c>
      <c r="L316" s="208" t="str">
        <f t="shared" si="32"/>
        <v/>
      </c>
      <c r="M316" s="205">
        <f t="shared" si="33"/>
        <v>4.627157857269977E-2</v>
      </c>
      <c r="N316" s="206" t="str">
        <f t="shared" si="34"/>
        <v/>
      </c>
    </row>
    <row r="317" spans="1:14" collapsed="1">
      <c r="A317" s="197" t="s">
        <v>1277</v>
      </c>
      <c r="B317" s="196" t="s">
        <v>276</v>
      </c>
      <c r="C317" s="203">
        <f t="shared" si="28"/>
        <v>-57.777777777777771</v>
      </c>
      <c r="E317" s="199">
        <v>61</v>
      </c>
      <c r="F317" s="200">
        <v>180</v>
      </c>
      <c r="G317" s="208">
        <f t="shared" si="29"/>
        <v>-66.111111111111114</v>
      </c>
      <c r="H317" s="205">
        <f t="shared" si="30"/>
        <v>0.21411021411021411</v>
      </c>
      <c r="I317" s="205">
        <f t="shared" si="31"/>
        <v>0.68148260326354448</v>
      </c>
      <c r="J317" s="199">
        <v>266</v>
      </c>
      <c r="K317" s="200">
        <v>630</v>
      </c>
      <c r="L317" s="208">
        <f t="shared" si="32"/>
        <v>-57.777777777777771</v>
      </c>
      <c r="M317" s="205">
        <f t="shared" si="33"/>
        <v>0.23669692116034882</v>
      </c>
      <c r="N317" s="206">
        <f t="shared" si="34"/>
        <v>0.53347333480109072</v>
      </c>
    </row>
    <row r="318" spans="1:14" hidden="1" outlineLevel="1">
      <c r="A318" s="197"/>
      <c r="B318" s="207" t="s">
        <v>974</v>
      </c>
      <c r="C318" s="203">
        <f t="shared" si="28"/>
        <v>53.061224489795919</v>
      </c>
      <c r="E318" s="199">
        <v>35</v>
      </c>
      <c r="F318" s="200">
        <v>36</v>
      </c>
      <c r="G318" s="208">
        <f t="shared" si="29"/>
        <v>-2.7777777777777777</v>
      </c>
      <c r="H318" s="205">
        <f t="shared" si="30"/>
        <v>0.12285012285012285</v>
      </c>
      <c r="I318" s="205">
        <f t="shared" si="31"/>
        <v>0.13629652065270889</v>
      </c>
      <c r="J318" s="199">
        <v>150</v>
      </c>
      <c r="K318" s="200">
        <v>98</v>
      </c>
      <c r="L318" s="208">
        <f t="shared" si="32"/>
        <v>53.061224489795919</v>
      </c>
      <c r="M318" s="205">
        <f t="shared" si="33"/>
        <v>0.13347570742124934</v>
      </c>
      <c r="N318" s="206">
        <f t="shared" si="34"/>
        <v>8.2984740969058543E-2</v>
      </c>
    </row>
    <row r="319" spans="1:14" hidden="1" outlineLevel="1">
      <c r="A319" s="197"/>
      <c r="B319" s="207" t="s">
        <v>977</v>
      </c>
      <c r="C319" s="203">
        <f t="shared" si="28"/>
        <v>39.393939393939391</v>
      </c>
      <c r="E319" s="199">
        <v>15</v>
      </c>
      <c r="F319" s="200">
        <v>0</v>
      </c>
      <c r="G319" s="208" t="str">
        <f t="shared" si="29"/>
        <v/>
      </c>
      <c r="H319" s="205">
        <f t="shared" si="30"/>
        <v>5.2650052650052653E-2</v>
      </c>
      <c r="I319" s="205" t="str">
        <f t="shared" si="31"/>
        <v/>
      </c>
      <c r="J319" s="199">
        <v>46</v>
      </c>
      <c r="K319" s="200">
        <v>33</v>
      </c>
      <c r="L319" s="208">
        <f t="shared" si="32"/>
        <v>39.393939393939391</v>
      </c>
      <c r="M319" s="205">
        <f t="shared" si="33"/>
        <v>4.0932550275849799E-2</v>
      </c>
      <c r="N319" s="206">
        <f t="shared" si="34"/>
        <v>2.7943841346723796E-2</v>
      </c>
    </row>
    <row r="320" spans="1:14" hidden="1" outlineLevel="1">
      <c r="A320" s="197"/>
      <c r="B320" s="207" t="s">
        <v>973</v>
      </c>
      <c r="C320" s="203">
        <f t="shared" si="28"/>
        <v>-89.142857142857139</v>
      </c>
      <c r="E320" s="199">
        <v>6</v>
      </c>
      <c r="F320" s="200">
        <v>100</v>
      </c>
      <c r="G320" s="208">
        <f t="shared" si="29"/>
        <v>-94</v>
      </c>
      <c r="H320" s="205">
        <f t="shared" si="30"/>
        <v>2.1060021060021059E-2</v>
      </c>
      <c r="I320" s="205">
        <f t="shared" si="31"/>
        <v>0.37860144625752473</v>
      </c>
      <c r="J320" s="199">
        <v>38</v>
      </c>
      <c r="K320" s="200">
        <v>350</v>
      </c>
      <c r="L320" s="208">
        <f t="shared" si="32"/>
        <v>-89.142857142857139</v>
      </c>
      <c r="M320" s="205">
        <f t="shared" si="33"/>
        <v>3.3813845880049834E-2</v>
      </c>
      <c r="N320" s="206">
        <f t="shared" si="34"/>
        <v>0.2963740748894948</v>
      </c>
    </row>
    <row r="321" spans="1:14" hidden="1" outlineLevel="1">
      <c r="A321" s="197"/>
      <c r="B321" s="207" t="s">
        <v>975</v>
      </c>
      <c r="C321" s="203">
        <f t="shared" si="28"/>
        <v>-67.901234567901241</v>
      </c>
      <c r="E321" s="199">
        <v>4</v>
      </c>
      <c r="F321" s="200">
        <v>35</v>
      </c>
      <c r="G321" s="208">
        <f t="shared" si="29"/>
        <v>-88.571428571428569</v>
      </c>
      <c r="H321" s="205">
        <f t="shared" si="30"/>
        <v>1.4040014040014041E-2</v>
      </c>
      <c r="I321" s="205">
        <f t="shared" si="31"/>
        <v>0.13251050619013366</v>
      </c>
      <c r="J321" s="199">
        <v>26</v>
      </c>
      <c r="K321" s="200">
        <v>81</v>
      </c>
      <c r="L321" s="208">
        <f t="shared" si="32"/>
        <v>-67.901234567901241</v>
      </c>
      <c r="M321" s="205">
        <f t="shared" si="33"/>
        <v>2.3135789286349885E-2</v>
      </c>
      <c r="N321" s="206">
        <f t="shared" si="34"/>
        <v>6.8589428760140222E-2</v>
      </c>
    </row>
    <row r="322" spans="1:14" hidden="1" outlineLevel="1">
      <c r="A322" s="197"/>
      <c r="B322" s="207" t="s">
        <v>976</v>
      </c>
      <c r="C322" s="203">
        <f t="shared" si="28"/>
        <v>-91.17647058823529</v>
      </c>
      <c r="E322" s="199">
        <v>1</v>
      </c>
      <c r="F322" s="200">
        <v>9</v>
      </c>
      <c r="G322" s="208">
        <f t="shared" si="29"/>
        <v>-88.888888888888886</v>
      </c>
      <c r="H322" s="205">
        <f t="shared" si="30"/>
        <v>3.5100035100035102E-3</v>
      </c>
      <c r="I322" s="205">
        <f t="shared" si="31"/>
        <v>3.4074130163177223E-2</v>
      </c>
      <c r="J322" s="199">
        <v>6</v>
      </c>
      <c r="K322" s="200">
        <v>68</v>
      </c>
      <c r="L322" s="208">
        <f t="shared" si="32"/>
        <v>-91.17647058823529</v>
      </c>
      <c r="M322" s="205">
        <f t="shared" si="33"/>
        <v>5.3390282968499734E-3</v>
      </c>
      <c r="N322" s="206">
        <f t="shared" si="34"/>
        <v>5.7581248835673275E-2</v>
      </c>
    </row>
    <row r="323" spans="1:14" collapsed="1">
      <c r="A323" s="197" t="s">
        <v>1278</v>
      </c>
      <c r="B323" s="196" t="s">
        <v>305</v>
      </c>
      <c r="C323" s="203">
        <f t="shared" si="28"/>
        <v>-13.043478260869565</v>
      </c>
      <c r="E323" s="199">
        <v>77</v>
      </c>
      <c r="F323" s="200">
        <v>63</v>
      </c>
      <c r="G323" s="208">
        <f t="shared" si="29"/>
        <v>22.222222222222221</v>
      </c>
      <c r="H323" s="205">
        <f t="shared" si="30"/>
        <v>0.27027027027027029</v>
      </c>
      <c r="I323" s="205">
        <f t="shared" si="31"/>
        <v>0.23851891114224058</v>
      </c>
      <c r="J323" s="199">
        <v>200</v>
      </c>
      <c r="K323" s="200">
        <v>230</v>
      </c>
      <c r="L323" s="208">
        <f t="shared" si="32"/>
        <v>-13.043478260869565</v>
      </c>
      <c r="M323" s="205">
        <f t="shared" si="33"/>
        <v>0.1779676098949991</v>
      </c>
      <c r="N323" s="206">
        <f t="shared" si="34"/>
        <v>0.19476010635595373</v>
      </c>
    </row>
    <row r="324" spans="1:14" hidden="1" outlineLevel="1">
      <c r="A324" s="197"/>
      <c r="B324" s="207">
        <v>4</v>
      </c>
      <c r="C324" s="203">
        <f t="shared" si="28"/>
        <v>5150</v>
      </c>
      <c r="E324" s="199">
        <v>35</v>
      </c>
      <c r="F324" s="200">
        <v>1</v>
      </c>
      <c r="G324" s="208">
        <f t="shared" si="29"/>
        <v>3400</v>
      </c>
      <c r="H324" s="205">
        <f t="shared" si="30"/>
        <v>0.12285012285012285</v>
      </c>
      <c r="I324" s="205">
        <f t="shared" si="31"/>
        <v>3.7860144625752466E-3</v>
      </c>
      <c r="J324" s="199">
        <v>105</v>
      </c>
      <c r="K324" s="200">
        <v>2</v>
      </c>
      <c r="L324" s="208">
        <f t="shared" si="32"/>
        <v>5150</v>
      </c>
      <c r="M324" s="205">
        <f t="shared" si="33"/>
        <v>9.3432995194874538E-2</v>
      </c>
      <c r="N324" s="206">
        <f t="shared" si="34"/>
        <v>1.6935661422256844E-3</v>
      </c>
    </row>
    <row r="325" spans="1:14" hidden="1" outlineLevel="1">
      <c r="A325" s="197"/>
      <c r="B325" s="207">
        <v>3</v>
      </c>
      <c r="C325" s="203">
        <f t="shared" si="28"/>
        <v>-31.632653061224492</v>
      </c>
      <c r="E325" s="199">
        <v>34</v>
      </c>
      <c r="F325" s="200">
        <v>33</v>
      </c>
      <c r="G325" s="208">
        <f t="shared" si="29"/>
        <v>3.0303030303030303</v>
      </c>
      <c r="H325" s="205">
        <f t="shared" si="30"/>
        <v>0.11934011934011934</v>
      </c>
      <c r="I325" s="205">
        <f t="shared" si="31"/>
        <v>0.12493847726498315</v>
      </c>
      <c r="J325" s="199">
        <v>67</v>
      </c>
      <c r="K325" s="200">
        <v>98</v>
      </c>
      <c r="L325" s="208">
        <f t="shared" si="32"/>
        <v>-31.632653061224492</v>
      </c>
      <c r="M325" s="205">
        <f t="shared" si="33"/>
        <v>5.9619149314824697E-2</v>
      </c>
      <c r="N325" s="206">
        <f t="shared" si="34"/>
        <v>8.2984740969058543E-2</v>
      </c>
    </row>
    <row r="326" spans="1:14" hidden="1" outlineLevel="1">
      <c r="A326" s="197"/>
      <c r="B326" s="207">
        <v>7</v>
      </c>
      <c r="C326" s="203">
        <f t="shared" si="28"/>
        <v>-78.461538461538467</v>
      </c>
      <c r="E326" s="199">
        <v>8</v>
      </c>
      <c r="F326" s="200">
        <v>29</v>
      </c>
      <c r="G326" s="208">
        <f t="shared" si="29"/>
        <v>-72.41379310344827</v>
      </c>
      <c r="H326" s="205">
        <f t="shared" si="30"/>
        <v>2.8080028080028081E-2</v>
      </c>
      <c r="I326" s="205">
        <f t="shared" si="31"/>
        <v>0.10979441941468217</v>
      </c>
      <c r="J326" s="199">
        <v>28</v>
      </c>
      <c r="K326" s="200">
        <v>130</v>
      </c>
      <c r="L326" s="208">
        <f t="shared" si="32"/>
        <v>-78.461538461538467</v>
      </c>
      <c r="M326" s="205">
        <f t="shared" si="33"/>
        <v>2.4915465385299873E-2</v>
      </c>
      <c r="N326" s="206">
        <f t="shared" si="34"/>
        <v>0.1100817992446695</v>
      </c>
    </row>
    <row r="327" spans="1:14" collapsed="1">
      <c r="A327" s="197" t="s">
        <v>1279</v>
      </c>
      <c r="B327" s="196" t="s">
        <v>267</v>
      </c>
      <c r="C327" s="203">
        <f t="shared" si="28"/>
        <v>432.25806451612902</v>
      </c>
      <c r="E327" s="199">
        <v>35</v>
      </c>
      <c r="F327" s="200">
        <v>4</v>
      </c>
      <c r="G327" s="208">
        <f t="shared" si="29"/>
        <v>775</v>
      </c>
      <c r="H327" s="205">
        <f t="shared" si="30"/>
        <v>0.12285012285012285</v>
      </c>
      <c r="I327" s="205">
        <f t="shared" si="31"/>
        <v>1.5144057850300987E-2</v>
      </c>
      <c r="J327" s="199">
        <v>165</v>
      </c>
      <c r="K327" s="200">
        <v>31</v>
      </c>
      <c r="L327" s="208">
        <f t="shared" si="32"/>
        <v>432.25806451612902</v>
      </c>
      <c r="M327" s="205">
        <f t="shared" si="33"/>
        <v>0.14682327816337426</v>
      </c>
      <c r="N327" s="206">
        <f t="shared" si="34"/>
        <v>2.6250275204498109E-2</v>
      </c>
    </row>
    <row r="328" spans="1:14" hidden="1" outlineLevel="1">
      <c r="A328" s="197"/>
      <c r="B328" s="207" t="s">
        <v>1151</v>
      </c>
      <c r="C328" s="203" t="str">
        <f t="shared" si="28"/>
        <v/>
      </c>
      <c r="E328" s="199">
        <v>34</v>
      </c>
      <c r="F328" s="200">
        <v>0</v>
      </c>
      <c r="G328" s="208" t="str">
        <f t="shared" si="29"/>
        <v/>
      </c>
      <c r="H328" s="205">
        <f t="shared" si="30"/>
        <v>0.11934011934011934</v>
      </c>
      <c r="I328" s="205" t="str">
        <f t="shared" si="31"/>
        <v/>
      </c>
      <c r="J328" s="199">
        <v>99</v>
      </c>
      <c r="K328" s="200">
        <v>0</v>
      </c>
      <c r="L328" s="208" t="str">
        <f t="shared" si="32"/>
        <v/>
      </c>
      <c r="M328" s="205">
        <f t="shared" si="33"/>
        <v>8.8093966898024567E-2</v>
      </c>
      <c r="N328" s="206" t="str">
        <f t="shared" si="34"/>
        <v/>
      </c>
    </row>
    <row r="329" spans="1:14" hidden="1" outlineLevel="1">
      <c r="A329" s="197"/>
      <c r="B329" s="207" t="s">
        <v>996</v>
      </c>
      <c r="C329" s="203">
        <f t="shared" si="28"/>
        <v>88.888888888888886</v>
      </c>
      <c r="E329" s="199">
        <v>0</v>
      </c>
      <c r="F329" s="200">
        <v>0</v>
      </c>
      <c r="G329" s="208" t="str">
        <f t="shared" si="29"/>
        <v/>
      </c>
      <c r="H329" s="205" t="str">
        <f t="shared" si="30"/>
        <v/>
      </c>
      <c r="I329" s="205" t="str">
        <f t="shared" si="31"/>
        <v/>
      </c>
      <c r="J329" s="199">
        <v>34</v>
      </c>
      <c r="K329" s="200">
        <v>18</v>
      </c>
      <c r="L329" s="208">
        <f t="shared" si="32"/>
        <v>88.888888888888886</v>
      </c>
      <c r="M329" s="205">
        <f t="shared" si="33"/>
        <v>3.0254493682149851E-2</v>
      </c>
      <c r="N329" s="206">
        <f t="shared" si="34"/>
        <v>1.524209528003116E-2</v>
      </c>
    </row>
    <row r="330" spans="1:14" hidden="1" outlineLevel="1">
      <c r="A330" s="197"/>
      <c r="B330" s="207" t="s">
        <v>1150</v>
      </c>
      <c r="C330" s="203">
        <f t="shared" ref="C330:C393" si="35">IF(K330=0,"",SUM(((J330-K330)/K330)*100))</f>
        <v>146.15384615384613</v>
      </c>
      <c r="E330" s="199">
        <v>1</v>
      </c>
      <c r="F330" s="200">
        <v>4</v>
      </c>
      <c r="G330" s="208">
        <f t="shared" ref="G330:G393" si="36">IF(F330=0,"",SUM(((E330-F330)/F330)*100))</f>
        <v>-75</v>
      </c>
      <c r="H330" s="205">
        <f t="shared" ref="H330:H393" si="37">IF(E330=0,"",SUM((E330/CntPeriod)*100))</f>
        <v>3.5100035100035102E-3</v>
      </c>
      <c r="I330" s="205">
        <f t="shared" ref="I330:I393" si="38">IF(F330=0,"",SUM((F330/CntPeriodPrevYear)*100))</f>
        <v>1.5144057850300987E-2</v>
      </c>
      <c r="J330" s="199">
        <v>32</v>
      </c>
      <c r="K330" s="200">
        <v>13</v>
      </c>
      <c r="L330" s="208">
        <f t="shared" ref="L330:L393" si="39">IF(K330=0,"",SUM(((J330-K330)/K330)*100))</f>
        <v>146.15384615384613</v>
      </c>
      <c r="M330" s="205">
        <f t="shared" ref="M330:M393" si="40">IF(J330=0,"",SUM((J330/CntYearAck)*100))</f>
        <v>2.8474817583199856E-2</v>
      </c>
      <c r="N330" s="206">
        <f t="shared" ref="N330:N393" si="41">IF(K330=0,"",SUM((K330/CntPrevYearAck)*100))</f>
        <v>1.1008179924466951E-2</v>
      </c>
    </row>
    <row r="331" spans="1:14" collapsed="1">
      <c r="A331" s="197" t="s">
        <v>1280</v>
      </c>
      <c r="B331" s="196" t="s">
        <v>283</v>
      </c>
      <c r="C331" s="203">
        <f t="shared" si="35"/>
        <v>-37.172774869109951</v>
      </c>
      <c r="E331" s="199">
        <v>17</v>
      </c>
      <c r="F331" s="200">
        <v>54</v>
      </c>
      <c r="G331" s="208">
        <f t="shared" si="36"/>
        <v>-68.518518518518519</v>
      </c>
      <c r="H331" s="205">
        <f t="shared" si="37"/>
        <v>5.9670059670059672E-2</v>
      </c>
      <c r="I331" s="205">
        <f t="shared" si="38"/>
        <v>0.20444478097906335</v>
      </c>
      <c r="J331" s="199">
        <v>120</v>
      </c>
      <c r="K331" s="200">
        <v>191</v>
      </c>
      <c r="L331" s="208">
        <f t="shared" si="39"/>
        <v>-37.172774869109951</v>
      </c>
      <c r="M331" s="205">
        <f t="shared" si="40"/>
        <v>0.10678056593699946</v>
      </c>
      <c r="N331" s="206">
        <f t="shared" si="41"/>
        <v>0.16173556658255289</v>
      </c>
    </row>
    <row r="332" spans="1:14" hidden="1" outlineLevel="1">
      <c r="A332" s="197"/>
      <c r="B332" s="207" t="s">
        <v>983</v>
      </c>
      <c r="C332" s="203">
        <f t="shared" si="35"/>
        <v>-1.4705882352941175</v>
      </c>
      <c r="E332" s="199">
        <v>4</v>
      </c>
      <c r="F332" s="200">
        <v>17</v>
      </c>
      <c r="G332" s="208">
        <f t="shared" si="36"/>
        <v>-76.470588235294116</v>
      </c>
      <c r="H332" s="205">
        <f t="shared" si="37"/>
        <v>1.4040014040014041E-2</v>
      </c>
      <c r="I332" s="205">
        <f t="shared" si="38"/>
        <v>6.4362245863779199E-2</v>
      </c>
      <c r="J332" s="199">
        <v>67</v>
      </c>
      <c r="K332" s="200">
        <v>68</v>
      </c>
      <c r="L332" s="208">
        <f t="shared" si="39"/>
        <v>-1.4705882352941175</v>
      </c>
      <c r="M332" s="205">
        <f t="shared" si="40"/>
        <v>5.9619149314824697E-2</v>
      </c>
      <c r="N332" s="206">
        <f t="shared" si="41"/>
        <v>5.7581248835673275E-2</v>
      </c>
    </row>
    <row r="333" spans="1:14" hidden="1" outlineLevel="1">
      <c r="A333" s="197"/>
      <c r="B333" s="207" t="s">
        <v>986</v>
      </c>
      <c r="C333" s="203">
        <f t="shared" si="35"/>
        <v>-19.35483870967742</v>
      </c>
      <c r="E333" s="199">
        <v>2</v>
      </c>
      <c r="F333" s="200">
        <v>7</v>
      </c>
      <c r="G333" s="208">
        <f t="shared" si="36"/>
        <v>-71.428571428571431</v>
      </c>
      <c r="H333" s="205">
        <f t="shared" si="37"/>
        <v>7.0200070200070203E-3</v>
      </c>
      <c r="I333" s="205">
        <f t="shared" si="38"/>
        <v>2.6502101238026727E-2</v>
      </c>
      <c r="J333" s="199">
        <v>25</v>
      </c>
      <c r="K333" s="200">
        <v>31</v>
      </c>
      <c r="L333" s="208">
        <f t="shared" si="39"/>
        <v>-19.35483870967742</v>
      </c>
      <c r="M333" s="205">
        <f t="shared" si="40"/>
        <v>2.2245951236874888E-2</v>
      </c>
      <c r="N333" s="206">
        <f t="shared" si="41"/>
        <v>2.6250275204498109E-2</v>
      </c>
    </row>
    <row r="334" spans="1:14" hidden="1" outlineLevel="1">
      <c r="A334" s="197"/>
      <c r="B334" s="207" t="s">
        <v>984</v>
      </c>
      <c r="C334" s="203">
        <f t="shared" si="35"/>
        <v>-63.46153846153846</v>
      </c>
      <c r="E334" s="199">
        <v>7</v>
      </c>
      <c r="F334" s="200">
        <v>28</v>
      </c>
      <c r="G334" s="208">
        <f t="shared" si="36"/>
        <v>-75</v>
      </c>
      <c r="H334" s="205">
        <f t="shared" si="37"/>
        <v>2.4570024570024569E-2</v>
      </c>
      <c r="I334" s="205">
        <f t="shared" si="38"/>
        <v>0.10600840495210691</v>
      </c>
      <c r="J334" s="199">
        <v>19</v>
      </c>
      <c r="K334" s="200">
        <v>52</v>
      </c>
      <c r="L334" s="208">
        <f t="shared" si="39"/>
        <v>-63.46153846153846</v>
      </c>
      <c r="M334" s="205">
        <f t="shared" si="40"/>
        <v>1.6906922940024917E-2</v>
      </c>
      <c r="N334" s="206">
        <f t="shared" si="41"/>
        <v>4.4032719697867803E-2</v>
      </c>
    </row>
    <row r="335" spans="1:14" hidden="1" outlineLevel="1">
      <c r="A335" s="197"/>
      <c r="B335" s="207" t="s">
        <v>985</v>
      </c>
      <c r="C335" s="203">
        <f t="shared" si="35"/>
        <v>-80</v>
      </c>
      <c r="E335" s="199">
        <v>3</v>
      </c>
      <c r="F335" s="200">
        <v>2</v>
      </c>
      <c r="G335" s="208">
        <f t="shared" si="36"/>
        <v>50</v>
      </c>
      <c r="H335" s="205">
        <f t="shared" si="37"/>
        <v>1.053001053001053E-2</v>
      </c>
      <c r="I335" s="205">
        <f t="shared" si="38"/>
        <v>7.5720289251504933E-3</v>
      </c>
      <c r="J335" s="199">
        <v>8</v>
      </c>
      <c r="K335" s="200">
        <v>40</v>
      </c>
      <c r="L335" s="208">
        <f t="shared" si="39"/>
        <v>-80</v>
      </c>
      <c r="M335" s="205">
        <f t="shared" si="40"/>
        <v>7.118704395799964E-3</v>
      </c>
      <c r="N335" s="206">
        <f t="shared" si="41"/>
        <v>3.387132284451369E-2</v>
      </c>
    </row>
    <row r="336" spans="1:14" hidden="1" outlineLevel="1">
      <c r="A336" s="197"/>
      <c r="B336" s="207" t="s">
        <v>1281</v>
      </c>
      <c r="C336" s="203" t="str">
        <f t="shared" si="35"/>
        <v/>
      </c>
      <c r="E336" s="199">
        <v>1</v>
      </c>
      <c r="F336" s="200">
        <v>0</v>
      </c>
      <c r="G336" s="208" t="str">
        <f t="shared" si="36"/>
        <v/>
      </c>
      <c r="H336" s="205">
        <f t="shared" si="37"/>
        <v>3.5100035100035102E-3</v>
      </c>
      <c r="I336" s="205" t="str">
        <f t="shared" si="38"/>
        <v/>
      </c>
      <c r="J336" s="199">
        <v>1</v>
      </c>
      <c r="K336" s="200">
        <v>0</v>
      </c>
      <c r="L336" s="208" t="str">
        <f t="shared" si="39"/>
        <v/>
      </c>
      <c r="M336" s="205">
        <f t="shared" si="40"/>
        <v>8.898380494749955E-4</v>
      </c>
      <c r="N336" s="206" t="str">
        <f t="shared" si="41"/>
        <v/>
      </c>
    </row>
    <row r="337" spans="1:14" collapsed="1">
      <c r="A337" s="197" t="s">
        <v>1282</v>
      </c>
      <c r="B337" s="196" t="s">
        <v>280</v>
      </c>
      <c r="C337" s="203">
        <f t="shared" si="35"/>
        <v>-54.594594594594589</v>
      </c>
      <c r="E337" s="199">
        <v>52</v>
      </c>
      <c r="F337" s="200">
        <v>44</v>
      </c>
      <c r="G337" s="208">
        <f t="shared" si="36"/>
        <v>18.181818181818183</v>
      </c>
      <c r="H337" s="205">
        <f t="shared" si="37"/>
        <v>0.18252018252018251</v>
      </c>
      <c r="I337" s="205">
        <f t="shared" si="38"/>
        <v>0.16658463635331086</v>
      </c>
      <c r="J337" s="199">
        <v>84</v>
      </c>
      <c r="K337" s="200">
        <v>185</v>
      </c>
      <c r="L337" s="208">
        <f t="shared" si="39"/>
        <v>-54.594594594594589</v>
      </c>
      <c r="M337" s="205">
        <f t="shared" si="40"/>
        <v>7.4746396155899619E-2</v>
      </c>
      <c r="N337" s="206">
        <f t="shared" si="41"/>
        <v>0.15665486815587581</v>
      </c>
    </row>
    <row r="338" spans="1:14" hidden="1" outlineLevel="1">
      <c r="A338" s="197"/>
      <c r="B338" s="207" t="s">
        <v>987</v>
      </c>
      <c r="C338" s="203">
        <f t="shared" si="35"/>
        <v>-32.710280373831772</v>
      </c>
      <c r="E338" s="199">
        <v>47</v>
      </c>
      <c r="F338" s="200">
        <v>26</v>
      </c>
      <c r="G338" s="208">
        <f t="shared" si="36"/>
        <v>80.769230769230774</v>
      </c>
      <c r="H338" s="205">
        <f t="shared" si="37"/>
        <v>0.16497016497016495</v>
      </c>
      <c r="I338" s="205">
        <f t="shared" si="38"/>
        <v>9.8436376026956415E-2</v>
      </c>
      <c r="J338" s="199">
        <v>72</v>
      </c>
      <c r="K338" s="200">
        <v>107</v>
      </c>
      <c r="L338" s="208">
        <f t="shared" si="39"/>
        <v>-32.710280373831772</v>
      </c>
      <c r="M338" s="205">
        <f t="shared" si="40"/>
        <v>6.4068339562199678E-2</v>
      </c>
      <c r="N338" s="206">
        <f t="shared" si="41"/>
        <v>9.0605788609074131E-2</v>
      </c>
    </row>
    <row r="339" spans="1:14" hidden="1" outlineLevel="1">
      <c r="A339" s="197"/>
      <c r="B339" s="207" t="s">
        <v>988</v>
      </c>
      <c r="C339" s="203">
        <f t="shared" si="35"/>
        <v>-77.272727272727266</v>
      </c>
      <c r="E339" s="199">
        <v>5</v>
      </c>
      <c r="F339" s="200">
        <v>16</v>
      </c>
      <c r="G339" s="208">
        <f t="shared" si="36"/>
        <v>-68.75</v>
      </c>
      <c r="H339" s="205">
        <f t="shared" si="37"/>
        <v>1.755001755001755E-2</v>
      </c>
      <c r="I339" s="205">
        <f t="shared" si="38"/>
        <v>6.0576231401203946E-2</v>
      </c>
      <c r="J339" s="199">
        <v>10</v>
      </c>
      <c r="K339" s="200">
        <v>44</v>
      </c>
      <c r="L339" s="208">
        <f t="shared" si="39"/>
        <v>-77.272727272727266</v>
      </c>
      <c r="M339" s="205">
        <f t="shared" si="40"/>
        <v>8.8983804947499554E-3</v>
      </c>
      <c r="N339" s="206">
        <f t="shared" si="41"/>
        <v>3.7258455128965064E-2</v>
      </c>
    </row>
    <row r="340" spans="1:14" hidden="1" outlineLevel="1">
      <c r="A340" s="197"/>
      <c r="B340" s="207" t="s">
        <v>1158</v>
      </c>
      <c r="C340" s="203">
        <f t="shared" si="35"/>
        <v>-96.875</v>
      </c>
      <c r="E340" s="199">
        <v>0</v>
      </c>
      <c r="F340" s="200">
        <v>0</v>
      </c>
      <c r="G340" s="208" t="str">
        <f t="shared" si="36"/>
        <v/>
      </c>
      <c r="H340" s="205" t="str">
        <f t="shared" si="37"/>
        <v/>
      </c>
      <c r="I340" s="205" t="str">
        <f t="shared" si="38"/>
        <v/>
      </c>
      <c r="J340" s="199">
        <v>1</v>
      </c>
      <c r="K340" s="200">
        <v>32</v>
      </c>
      <c r="L340" s="208">
        <f t="shared" si="39"/>
        <v>-96.875</v>
      </c>
      <c r="M340" s="205">
        <f t="shared" si="40"/>
        <v>8.898380494749955E-4</v>
      </c>
      <c r="N340" s="206">
        <f t="shared" si="41"/>
        <v>2.7097058275610951E-2</v>
      </c>
    </row>
    <row r="341" spans="1:14" hidden="1" outlineLevel="1">
      <c r="A341" s="197"/>
      <c r="B341" s="207" t="s">
        <v>1157</v>
      </c>
      <c r="C341" s="203">
        <f t="shared" si="35"/>
        <v>0</v>
      </c>
      <c r="E341" s="199">
        <v>0</v>
      </c>
      <c r="F341" s="200">
        <v>1</v>
      </c>
      <c r="G341" s="208">
        <f t="shared" si="36"/>
        <v>-100</v>
      </c>
      <c r="H341" s="205" t="str">
        <f t="shared" si="37"/>
        <v/>
      </c>
      <c r="I341" s="205">
        <f t="shared" si="38"/>
        <v>3.7860144625752466E-3</v>
      </c>
      <c r="J341" s="199">
        <v>1</v>
      </c>
      <c r="K341" s="200">
        <v>1</v>
      </c>
      <c r="L341" s="208">
        <f t="shared" si="39"/>
        <v>0</v>
      </c>
      <c r="M341" s="205">
        <f t="shared" si="40"/>
        <v>8.898380494749955E-4</v>
      </c>
      <c r="N341" s="206">
        <f t="shared" si="41"/>
        <v>8.4678307111284222E-4</v>
      </c>
    </row>
    <row r="342" spans="1:14" hidden="1" outlineLevel="1">
      <c r="A342" s="197"/>
      <c r="B342" s="207" t="s">
        <v>1283</v>
      </c>
      <c r="C342" s="203">
        <f t="shared" si="35"/>
        <v>-100</v>
      </c>
      <c r="E342" s="199">
        <v>0</v>
      </c>
      <c r="F342" s="200">
        <v>1</v>
      </c>
      <c r="G342" s="208">
        <f t="shared" si="36"/>
        <v>-100</v>
      </c>
      <c r="H342" s="205" t="str">
        <f t="shared" si="37"/>
        <v/>
      </c>
      <c r="I342" s="205">
        <f t="shared" si="38"/>
        <v>3.7860144625752466E-3</v>
      </c>
      <c r="J342" s="199">
        <v>0</v>
      </c>
      <c r="K342" s="200">
        <v>1</v>
      </c>
      <c r="L342" s="208">
        <f t="shared" si="39"/>
        <v>-100</v>
      </c>
      <c r="M342" s="205" t="str">
        <f t="shared" si="40"/>
        <v/>
      </c>
      <c r="N342" s="206">
        <f t="shared" si="41"/>
        <v>8.4678307111284222E-4</v>
      </c>
    </row>
    <row r="343" spans="1:14" collapsed="1">
      <c r="A343" s="197" t="s">
        <v>1214</v>
      </c>
      <c r="B343" s="196" t="s">
        <v>1099</v>
      </c>
      <c r="C343" s="203" t="str">
        <f t="shared" si="35"/>
        <v/>
      </c>
      <c r="E343" s="199">
        <v>20</v>
      </c>
      <c r="F343" s="200">
        <v>0</v>
      </c>
      <c r="G343" s="208" t="str">
        <f t="shared" si="36"/>
        <v/>
      </c>
      <c r="H343" s="205">
        <f t="shared" si="37"/>
        <v>7.02000702000702E-2</v>
      </c>
      <c r="I343" s="205" t="str">
        <f t="shared" si="38"/>
        <v/>
      </c>
      <c r="J343" s="199">
        <v>75</v>
      </c>
      <c r="K343" s="200">
        <v>0</v>
      </c>
      <c r="L343" s="208" t="str">
        <f t="shared" si="39"/>
        <v/>
      </c>
      <c r="M343" s="205">
        <f t="shared" si="40"/>
        <v>6.673785371062467E-2</v>
      </c>
      <c r="N343" s="206" t="str">
        <f t="shared" si="41"/>
        <v/>
      </c>
    </row>
    <row r="344" spans="1:14" hidden="1" outlineLevel="1">
      <c r="A344" s="197"/>
      <c r="B344" s="207" t="s">
        <v>1110</v>
      </c>
      <c r="C344" s="203" t="str">
        <f t="shared" si="35"/>
        <v/>
      </c>
      <c r="E344" s="199">
        <v>12</v>
      </c>
      <c r="F344" s="200">
        <v>0</v>
      </c>
      <c r="G344" s="208" t="str">
        <f t="shared" si="36"/>
        <v/>
      </c>
      <c r="H344" s="205">
        <f t="shared" si="37"/>
        <v>4.2120042120042119E-2</v>
      </c>
      <c r="I344" s="205" t="str">
        <f t="shared" si="38"/>
        <v/>
      </c>
      <c r="J344" s="199">
        <v>36</v>
      </c>
      <c r="K344" s="200">
        <v>0</v>
      </c>
      <c r="L344" s="208" t="str">
        <f t="shared" si="39"/>
        <v/>
      </c>
      <c r="M344" s="205">
        <f t="shared" si="40"/>
        <v>3.2034169781099839E-2</v>
      </c>
      <c r="N344" s="206" t="str">
        <f t="shared" si="41"/>
        <v/>
      </c>
    </row>
    <row r="345" spans="1:14" hidden="1" outlineLevel="1">
      <c r="A345" s="197"/>
      <c r="B345" s="207" t="s">
        <v>1152</v>
      </c>
      <c r="C345" s="203" t="str">
        <f t="shared" si="35"/>
        <v/>
      </c>
      <c r="E345" s="199">
        <v>3</v>
      </c>
      <c r="F345" s="200">
        <v>0</v>
      </c>
      <c r="G345" s="208" t="str">
        <f t="shared" si="36"/>
        <v/>
      </c>
      <c r="H345" s="205">
        <f t="shared" si="37"/>
        <v>1.053001053001053E-2</v>
      </c>
      <c r="I345" s="205" t="str">
        <f t="shared" si="38"/>
        <v/>
      </c>
      <c r="J345" s="199">
        <v>25</v>
      </c>
      <c r="K345" s="200">
        <v>0</v>
      </c>
      <c r="L345" s="208" t="str">
        <f t="shared" si="39"/>
        <v/>
      </c>
      <c r="M345" s="205">
        <f t="shared" si="40"/>
        <v>2.2245951236874888E-2</v>
      </c>
      <c r="N345" s="206" t="str">
        <f t="shared" si="41"/>
        <v/>
      </c>
    </row>
    <row r="346" spans="1:14" hidden="1" outlineLevel="1">
      <c r="A346" s="197"/>
      <c r="B346" s="207" t="s">
        <v>1182</v>
      </c>
      <c r="C346" s="203" t="str">
        <f t="shared" si="35"/>
        <v/>
      </c>
      <c r="E346" s="199">
        <v>5</v>
      </c>
      <c r="F346" s="200">
        <v>0</v>
      </c>
      <c r="G346" s="208" t="str">
        <f t="shared" si="36"/>
        <v/>
      </c>
      <c r="H346" s="205">
        <f t="shared" si="37"/>
        <v>1.755001755001755E-2</v>
      </c>
      <c r="I346" s="205" t="str">
        <f t="shared" si="38"/>
        <v/>
      </c>
      <c r="J346" s="199">
        <v>14</v>
      </c>
      <c r="K346" s="200">
        <v>0</v>
      </c>
      <c r="L346" s="208" t="str">
        <f t="shared" si="39"/>
        <v/>
      </c>
      <c r="M346" s="205">
        <f t="shared" si="40"/>
        <v>1.2457732692649937E-2</v>
      </c>
      <c r="N346" s="206" t="str">
        <f t="shared" si="41"/>
        <v/>
      </c>
    </row>
    <row r="347" spans="1:14" collapsed="1">
      <c r="A347" s="197" t="s">
        <v>1284</v>
      </c>
      <c r="B347" s="196" t="s">
        <v>435</v>
      </c>
      <c r="C347" s="203">
        <f t="shared" si="35"/>
        <v>77.5</v>
      </c>
      <c r="E347" s="199">
        <v>7</v>
      </c>
      <c r="F347" s="200">
        <v>23</v>
      </c>
      <c r="G347" s="208">
        <f t="shared" si="36"/>
        <v>-69.565217391304344</v>
      </c>
      <c r="H347" s="205">
        <f t="shared" si="37"/>
        <v>2.4570024570024569E-2</v>
      </c>
      <c r="I347" s="205">
        <f t="shared" si="38"/>
        <v>8.7078332639230677E-2</v>
      </c>
      <c r="J347" s="199">
        <v>71</v>
      </c>
      <c r="K347" s="200">
        <v>40</v>
      </c>
      <c r="L347" s="208">
        <f t="shared" si="39"/>
        <v>77.5</v>
      </c>
      <c r="M347" s="205">
        <f t="shared" si="40"/>
        <v>6.317850151272468E-2</v>
      </c>
      <c r="N347" s="206">
        <f t="shared" si="41"/>
        <v>3.387132284451369E-2</v>
      </c>
    </row>
    <row r="348" spans="1:14" hidden="1" outlineLevel="1">
      <c r="A348" s="197"/>
      <c r="B348" s="207" t="s">
        <v>991</v>
      </c>
      <c r="C348" s="203">
        <f t="shared" si="35"/>
        <v>72.5</v>
      </c>
      <c r="E348" s="199">
        <v>7</v>
      </c>
      <c r="F348" s="200">
        <v>23</v>
      </c>
      <c r="G348" s="208">
        <f t="shared" si="36"/>
        <v>-69.565217391304344</v>
      </c>
      <c r="H348" s="205">
        <f t="shared" si="37"/>
        <v>2.4570024570024569E-2</v>
      </c>
      <c r="I348" s="205">
        <f t="shared" si="38"/>
        <v>8.7078332639230677E-2</v>
      </c>
      <c r="J348" s="199">
        <v>69</v>
      </c>
      <c r="K348" s="200">
        <v>40</v>
      </c>
      <c r="L348" s="208">
        <f t="shared" si="39"/>
        <v>72.5</v>
      </c>
      <c r="M348" s="205">
        <f t="shared" si="40"/>
        <v>6.1398825413774699E-2</v>
      </c>
      <c r="N348" s="206">
        <f t="shared" si="41"/>
        <v>3.387132284451369E-2</v>
      </c>
    </row>
    <row r="349" spans="1:14" hidden="1" outlineLevel="1">
      <c r="A349" s="197"/>
      <c r="B349" s="207" t="s">
        <v>1213</v>
      </c>
      <c r="C349" s="203" t="str">
        <f t="shared" si="35"/>
        <v/>
      </c>
      <c r="E349" s="199">
        <v>0</v>
      </c>
      <c r="F349" s="200">
        <v>0</v>
      </c>
      <c r="G349" s="208" t="str">
        <f t="shared" si="36"/>
        <v/>
      </c>
      <c r="H349" s="205" t="str">
        <f t="shared" si="37"/>
        <v/>
      </c>
      <c r="I349" s="205" t="str">
        <f t="shared" si="38"/>
        <v/>
      </c>
      <c r="J349" s="199">
        <v>2</v>
      </c>
      <c r="K349" s="200">
        <v>0</v>
      </c>
      <c r="L349" s="208" t="str">
        <f t="shared" si="39"/>
        <v/>
      </c>
      <c r="M349" s="205">
        <f t="shared" si="40"/>
        <v>1.779676098949991E-3</v>
      </c>
      <c r="N349" s="206" t="str">
        <f t="shared" si="41"/>
        <v/>
      </c>
    </row>
    <row r="350" spans="1:14" collapsed="1">
      <c r="A350" s="197" t="s">
        <v>1285</v>
      </c>
      <c r="B350" s="196" t="s">
        <v>1080</v>
      </c>
      <c r="C350" s="203" t="str">
        <f t="shared" si="35"/>
        <v/>
      </c>
      <c r="E350" s="199">
        <v>12</v>
      </c>
      <c r="F350" s="200">
        <v>0</v>
      </c>
      <c r="G350" s="208" t="str">
        <f t="shared" si="36"/>
        <v/>
      </c>
      <c r="H350" s="205">
        <f t="shared" si="37"/>
        <v>4.2120042120042119E-2</v>
      </c>
      <c r="I350" s="205" t="str">
        <f t="shared" si="38"/>
        <v/>
      </c>
      <c r="J350" s="199">
        <v>47</v>
      </c>
      <c r="K350" s="200">
        <v>0</v>
      </c>
      <c r="L350" s="208" t="str">
        <f t="shared" si="39"/>
        <v/>
      </c>
      <c r="M350" s="205">
        <f t="shared" si="40"/>
        <v>4.182238832532479E-2</v>
      </c>
      <c r="N350" s="206" t="str">
        <f t="shared" si="41"/>
        <v/>
      </c>
    </row>
    <row r="351" spans="1:14" hidden="1" outlineLevel="1">
      <c r="A351" s="197"/>
      <c r="B351" s="207" t="s">
        <v>1081</v>
      </c>
      <c r="C351" s="203" t="str">
        <f t="shared" si="35"/>
        <v/>
      </c>
      <c r="E351" s="199">
        <v>12</v>
      </c>
      <c r="F351" s="200">
        <v>0</v>
      </c>
      <c r="G351" s="208" t="str">
        <f t="shared" si="36"/>
        <v/>
      </c>
      <c r="H351" s="205">
        <f t="shared" si="37"/>
        <v>4.2120042120042119E-2</v>
      </c>
      <c r="I351" s="205" t="str">
        <f t="shared" si="38"/>
        <v/>
      </c>
      <c r="J351" s="199">
        <v>47</v>
      </c>
      <c r="K351" s="200">
        <v>0</v>
      </c>
      <c r="L351" s="208" t="str">
        <f t="shared" si="39"/>
        <v/>
      </c>
      <c r="M351" s="205">
        <f t="shared" si="40"/>
        <v>4.182238832532479E-2</v>
      </c>
      <c r="N351" s="206" t="str">
        <f t="shared" si="41"/>
        <v/>
      </c>
    </row>
    <row r="352" spans="1:14" collapsed="1">
      <c r="A352" s="197" t="s">
        <v>1286</v>
      </c>
      <c r="B352" s="196" t="s">
        <v>699</v>
      </c>
      <c r="C352" s="203">
        <f t="shared" si="35"/>
        <v>61.904761904761905</v>
      </c>
      <c r="E352" s="199">
        <v>9</v>
      </c>
      <c r="F352" s="200">
        <v>9</v>
      </c>
      <c r="G352" s="208">
        <f t="shared" si="36"/>
        <v>0</v>
      </c>
      <c r="H352" s="205">
        <f t="shared" si="37"/>
        <v>3.1590031590031591E-2</v>
      </c>
      <c r="I352" s="205">
        <f t="shared" si="38"/>
        <v>3.4074130163177223E-2</v>
      </c>
      <c r="J352" s="199">
        <v>34</v>
      </c>
      <c r="K352" s="200">
        <v>21</v>
      </c>
      <c r="L352" s="208">
        <f t="shared" si="39"/>
        <v>61.904761904761905</v>
      </c>
      <c r="M352" s="205">
        <f t="shared" si="40"/>
        <v>3.0254493682149851E-2</v>
      </c>
      <c r="N352" s="206">
        <f t="shared" si="41"/>
        <v>1.7782444493369687E-2</v>
      </c>
    </row>
    <row r="353" spans="1:14" hidden="1" outlineLevel="1">
      <c r="A353" s="197"/>
      <c r="B353" s="207" t="s">
        <v>699</v>
      </c>
      <c r="C353" s="203">
        <f t="shared" si="35"/>
        <v>36.84210526315789</v>
      </c>
      <c r="E353" s="199">
        <v>7</v>
      </c>
      <c r="F353" s="200">
        <v>8</v>
      </c>
      <c r="G353" s="208">
        <f t="shared" si="36"/>
        <v>-12.5</v>
      </c>
      <c r="H353" s="205">
        <f t="shared" si="37"/>
        <v>2.4570024570024569E-2</v>
      </c>
      <c r="I353" s="205">
        <f t="shared" si="38"/>
        <v>3.0288115700601973E-2</v>
      </c>
      <c r="J353" s="199">
        <v>26</v>
      </c>
      <c r="K353" s="200">
        <v>19</v>
      </c>
      <c r="L353" s="208">
        <f t="shared" si="39"/>
        <v>36.84210526315789</v>
      </c>
      <c r="M353" s="205">
        <f t="shared" si="40"/>
        <v>2.3135789286349885E-2</v>
      </c>
      <c r="N353" s="206">
        <f t="shared" si="41"/>
        <v>1.6088878351144004E-2</v>
      </c>
    </row>
    <row r="354" spans="1:14" hidden="1" outlineLevel="1">
      <c r="A354" s="197"/>
      <c r="B354" s="207">
        <v>812</v>
      </c>
      <c r="C354" s="203">
        <f t="shared" si="35"/>
        <v>600</v>
      </c>
      <c r="E354" s="199">
        <v>2</v>
      </c>
      <c r="F354" s="200">
        <v>1</v>
      </c>
      <c r="G354" s="208">
        <f t="shared" si="36"/>
        <v>100</v>
      </c>
      <c r="H354" s="205">
        <f t="shared" si="37"/>
        <v>7.0200070200070203E-3</v>
      </c>
      <c r="I354" s="205">
        <f t="shared" si="38"/>
        <v>3.7860144625752466E-3</v>
      </c>
      <c r="J354" s="199">
        <v>7</v>
      </c>
      <c r="K354" s="200">
        <v>1</v>
      </c>
      <c r="L354" s="208">
        <f t="shared" si="39"/>
        <v>600</v>
      </c>
      <c r="M354" s="205">
        <f t="shared" si="40"/>
        <v>6.2288663463249683E-3</v>
      </c>
      <c r="N354" s="206">
        <f t="shared" si="41"/>
        <v>8.4678307111284222E-4</v>
      </c>
    </row>
    <row r="355" spans="1:14" hidden="1" outlineLevel="1">
      <c r="A355" s="197"/>
      <c r="B355" s="207" t="s">
        <v>994</v>
      </c>
      <c r="C355" s="203">
        <f t="shared" si="35"/>
        <v>0</v>
      </c>
      <c r="E355" s="199">
        <v>0</v>
      </c>
      <c r="F355" s="200">
        <v>0</v>
      </c>
      <c r="G355" s="208" t="str">
        <f t="shared" si="36"/>
        <v/>
      </c>
      <c r="H355" s="205" t="str">
        <f t="shared" si="37"/>
        <v/>
      </c>
      <c r="I355" s="205" t="str">
        <f t="shared" si="38"/>
        <v/>
      </c>
      <c r="J355" s="199">
        <v>1</v>
      </c>
      <c r="K355" s="200">
        <v>1</v>
      </c>
      <c r="L355" s="208">
        <f t="shared" si="39"/>
        <v>0</v>
      </c>
      <c r="M355" s="205">
        <f t="shared" si="40"/>
        <v>8.898380494749955E-4</v>
      </c>
      <c r="N355" s="206">
        <f t="shared" si="41"/>
        <v>8.4678307111284222E-4</v>
      </c>
    </row>
    <row r="356" spans="1:14" collapsed="1">
      <c r="A356" s="197" t="s">
        <v>1216</v>
      </c>
      <c r="B356" s="196" t="s">
        <v>271</v>
      </c>
      <c r="C356" s="203">
        <f t="shared" si="35"/>
        <v>38.095238095238095</v>
      </c>
      <c r="E356" s="199">
        <v>10</v>
      </c>
      <c r="F356" s="200">
        <v>6</v>
      </c>
      <c r="G356" s="208">
        <f t="shared" si="36"/>
        <v>66.666666666666657</v>
      </c>
      <c r="H356" s="205">
        <f t="shared" si="37"/>
        <v>3.51000351000351E-2</v>
      </c>
      <c r="I356" s="205">
        <f t="shared" si="38"/>
        <v>2.2716086775451481E-2</v>
      </c>
      <c r="J356" s="199">
        <v>29</v>
      </c>
      <c r="K356" s="200">
        <v>21</v>
      </c>
      <c r="L356" s="208">
        <f t="shared" si="39"/>
        <v>38.095238095238095</v>
      </c>
      <c r="M356" s="205">
        <f t="shared" si="40"/>
        <v>2.5805303434774871E-2</v>
      </c>
      <c r="N356" s="206">
        <f t="shared" si="41"/>
        <v>1.7782444493369687E-2</v>
      </c>
    </row>
    <row r="357" spans="1:14" hidden="1" outlineLevel="1">
      <c r="A357" s="197"/>
      <c r="B357" s="207" t="s">
        <v>995</v>
      </c>
      <c r="C357" s="203">
        <f t="shared" si="35"/>
        <v>142.85714285714286</v>
      </c>
      <c r="E357" s="199">
        <v>8</v>
      </c>
      <c r="F357" s="200">
        <v>2</v>
      </c>
      <c r="G357" s="208">
        <f t="shared" si="36"/>
        <v>300</v>
      </c>
      <c r="H357" s="205">
        <f t="shared" si="37"/>
        <v>2.8080028080028081E-2</v>
      </c>
      <c r="I357" s="205">
        <f t="shared" si="38"/>
        <v>7.5720289251504933E-3</v>
      </c>
      <c r="J357" s="199">
        <v>17</v>
      </c>
      <c r="K357" s="200">
        <v>7</v>
      </c>
      <c r="L357" s="208">
        <f t="shared" si="39"/>
        <v>142.85714285714286</v>
      </c>
      <c r="M357" s="205">
        <f t="shared" si="40"/>
        <v>1.5127246841074925E-2</v>
      </c>
      <c r="N357" s="206">
        <f t="shared" si="41"/>
        <v>5.9274814977898962E-3</v>
      </c>
    </row>
    <row r="358" spans="1:14" hidden="1" outlineLevel="1">
      <c r="A358" s="197"/>
      <c r="B358" s="207" t="s">
        <v>304</v>
      </c>
      <c r="C358" s="203">
        <f t="shared" si="35"/>
        <v>0</v>
      </c>
      <c r="E358" s="199">
        <v>2</v>
      </c>
      <c r="F358" s="200">
        <v>3</v>
      </c>
      <c r="G358" s="208">
        <f t="shared" si="36"/>
        <v>-33.333333333333329</v>
      </c>
      <c r="H358" s="205">
        <f t="shared" si="37"/>
        <v>7.0200070200070203E-3</v>
      </c>
      <c r="I358" s="205">
        <f t="shared" si="38"/>
        <v>1.135804338772574E-2</v>
      </c>
      <c r="J358" s="199">
        <v>12</v>
      </c>
      <c r="K358" s="200">
        <v>12</v>
      </c>
      <c r="L358" s="208">
        <f t="shared" si="39"/>
        <v>0</v>
      </c>
      <c r="M358" s="205">
        <f t="shared" si="40"/>
        <v>1.0678056593699947E-2</v>
      </c>
      <c r="N358" s="206">
        <f t="shared" si="41"/>
        <v>1.0161396853354107E-2</v>
      </c>
    </row>
    <row r="359" spans="1:14" hidden="1" outlineLevel="1">
      <c r="A359" s="197"/>
      <c r="B359" s="207" t="s">
        <v>1218</v>
      </c>
      <c r="C359" s="203">
        <f t="shared" si="35"/>
        <v>-100</v>
      </c>
      <c r="E359" s="199">
        <v>0</v>
      </c>
      <c r="F359" s="200">
        <v>1</v>
      </c>
      <c r="G359" s="208">
        <f t="shared" si="36"/>
        <v>-100</v>
      </c>
      <c r="H359" s="205" t="str">
        <f t="shared" si="37"/>
        <v/>
      </c>
      <c r="I359" s="205">
        <f t="shared" si="38"/>
        <v>3.7860144625752466E-3</v>
      </c>
      <c r="J359" s="199">
        <v>0</v>
      </c>
      <c r="K359" s="200">
        <v>2</v>
      </c>
      <c r="L359" s="208">
        <f t="shared" si="39"/>
        <v>-100</v>
      </c>
      <c r="M359" s="205" t="str">
        <f t="shared" si="40"/>
        <v/>
      </c>
      <c r="N359" s="206">
        <f t="shared" si="41"/>
        <v>1.6935661422256844E-3</v>
      </c>
    </row>
    <row r="360" spans="1:14" collapsed="1">
      <c r="A360" s="197" t="s">
        <v>1217</v>
      </c>
      <c r="B360" s="196" t="s">
        <v>1086</v>
      </c>
      <c r="C360" s="203" t="str">
        <f t="shared" si="35"/>
        <v/>
      </c>
      <c r="E360" s="199">
        <v>4</v>
      </c>
      <c r="F360" s="200">
        <v>0</v>
      </c>
      <c r="G360" s="208" t="str">
        <f t="shared" si="36"/>
        <v/>
      </c>
      <c r="H360" s="205">
        <f t="shared" si="37"/>
        <v>1.4040014040014041E-2</v>
      </c>
      <c r="I360" s="205" t="str">
        <f t="shared" si="38"/>
        <v/>
      </c>
      <c r="J360" s="199">
        <v>29</v>
      </c>
      <c r="K360" s="200">
        <v>0</v>
      </c>
      <c r="L360" s="208" t="str">
        <f t="shared" si="39"/>
        <v/>
      </c>
      <c r="M360" s="205">
        <f t="shared" si="40"/>
        <v>2.5805303434774871E-2</v>
      </c>
      <c r="N360" s="206" t="str">
        <f t="shared" si="41"/>
        <v/>
      </c>
    </row>
    <row r="361" spans="1:14" hidden="1" outlineLevel="1">
      <c r="A361" s="197"/>
      <c r="B361" s="207" t="s">
        <v>1156</v>
      </c>
      <c r="C361" s="203" t="str">
        <f t="shared" si="35"/>
        <v/>
      </c>
      <c r="E361" s="199">
        <v>4</v>
      </c>
      <c r="F361" s="200">
        <v>0</v>
      </c>
      <c r="G361" s="208" t="str">
        <f t="shared" si="36"/>
        <v/>
      </c>
      <c r="H361" s="205">
        <f t="shared" si="37"/>
        <v>1.4040014040014041E-2</v>
      </c>
      <c r="I361" s="205" t="str">
        <f t="shared" si="38"/>
        <v/>
      </c>
      <c r="J361" s="199">
        <v>29</v>
      </c>
      <c r="K361" s="200">
        <v>0</v>
      </c>
      <c r="L361" s="208" t="str">
        <f t="shared" si="39"/>
        <v/>
      </c>
      <c r="M361" s="205">
        <f t="shared" si="40"/>
        <v>2.5805303434774871E-2</v>
      </c>
      <c r="N361" s="206" t="str">
        <f t="shared" si="41"/>
        <v/>
      </c>
    </row>
    <row r="362" spans="1:14" collapsed="1">
      <c r="A362" s="197" t="s">
        <v>1287</v>
      </c>
      <c r="B362" s="196" t="s">
        <v>992</v>
      </c>
      <c r="C362" s="203">
        <f t="shared" si="35"/>
        <v>-26.315789473684209</v>
      </c>
      <c r="E362" s="199">
        <v>12</v>
      </c>
      <c r="F362" s="200">
        <v>13</v>
      </c>
      <c r="G362" s="208">
        <f t="shared" si="36"/>
        <v>-7.6923076923076925</v>
      </c>
      <c r="H362" s="205">
        <f t="shared" si="37"/>
        <v>4.2120042120042119E-2</v>
      </c>
      <c r="I362" s="205">
        <f t="shared" si="38"/>
        <v>4.9218188013478208E-2</v>
      </c>
      <c r="J362" s="199">
        <v>28</v>
      </c>
      <c r="K362" s="200">
        <v>38</v>
      </c>
      <c r="L362" s="208">
        <f t="shared" si="39"/>
        <v>-26.315789473684209</v>
      </c>
      <c r="M362" s="205">
        <f t="shared" si="40"/>
        <v>2.4915465385299873E-2</v>
      </c>
      <c r="N362" s="206">
        <f t="shared" si="41"/>
        <v>3.2177756702288007E-2</v>
      </c>
    </row>
    <row r="363" spans="1:14" hidden="1" outlineLevel="1">
      <c r="A363" s="197"/>
      <c r="B363" s="207" t="s">
        <v>993</v>
      </c>
      <c r="C363" s="203">
        <f t="shared" si="35"/>
        <v>-26.315789473684209</v>
      </c>
      <c r="E363" s="199">
        <v>12</v>
      </c>
      <c r="F363" s="200">
        <v>13</v>
      </c>
      <c r="G363" s="208">
        <f t="shared" si="36"/>
        <v>-7.6923076923076925</v>
      </c>
      <c r="H363" s="205">
        <f t="shared" si="37"/>
        <v>4.2120042120042119E-2</v>
      </c>
      <c r="I363" s="205">
        <f t="shared" si="38"/>
        <v>4.9218188013478208E-2</v>
      </c>
      <c r="J363" s="199">
        <v>28</v>
      </c>
      <c r="K363" s="200">
        <v>38</v>
      </c>
      <c r="L363" s="208">
        <f t="shared" si="39"/>
        <v>-26.315789473684209</v>
      </c>
      <c r="M363" s="205">
        <f t="shared" si="40"/>
        <v>2.4915465385299873E-2</v>
      </c>
      <c r="N363" s="206">
        <f t="shared" si="41"/>
        <v>3.2177756702288007E-2</v>
      </c>
    </row>
    <row r="364" spans="1:14" collapsed="1">
      <c r="A364" s="197" t="s">
        <v>1288</v>
      </c>
      <c r="B364" s="196" t="s">
        <v>282</v>
      </c>
      <c r="C364" s="203">
        <f t="shared" si="35"/>
        <v>12</v>
      </c>
      <c r="E364" s="199">
        <v>6</v>
      </c>
      <c r="F364" s="200">
        <v>6</v>
      </c>
      <c r="G364" s="208">
        <f t="shared" si="36"/>
        <v>0</v>
      </c>
      <c r="H364" s="205">
        <f t="shared" si="37"/>
        <v>2.1060021060021059E-2</v>
      </c>
      <c r="I364" s="205">
        <f t="shared" si="38"/>
        <v>2.2716086775451481E-2</v>
      </c>
      <c r="J364" s="199">
        <v>28</v>
      </c>
      <c r="K364" s="200">
        <v>25</v>
      </c>
      <c r="L364" s="208">
        <f t="shared" si="39"/>
        <v>12</v>
      </c>
      <c r="M364" s="205">
        <f t="shared" si="40"/>
        <v>2.4915465385299873E-2</v>
      </c>
      <c r="N364" s="206">
        <f t="shared" si="41"/>
        <v>2.1169576777821057E-2</v>
      </c>
    </row>
    <row r="365" spans="1:14" hidden="1" outlineLevel="1">
      <c r="A365" s="197"/>
      <c r="B365" s="207" t="s">
        <v>282</v>
      </c>
      <c r="C365" s="203">
        <f t="shared" si="35"/>
        <v>12</v>
      </c>
      <c r="E365" s="199">
        <v>6</v>
      </c>
      <c r="F365" s="200">
        <v>6</v>
      </c>
      <c r="G365" s="208">
        <f t="shared" si="36"/>
        <v>0</v>
      </c>
      <c r="H365" s="205">
        <f t="shared" si="37"/>
        <v>2.1060021060021059E-2</v>
      </c>
      <c r="I365" s="205">
        <f t="shared" si="38"/>
        <v>2.2716086775451481E-2</v>
      </c>
      <c r="J365" s="199">
        <v>28</v>
      </c>
      <c r="K365" s="200">
        <v>25</v>
      </c>
      <c r="L365" s="208">
        <f t="shared" si="39"/>
        <v>12</v>
      </c>
      <c r="M365" s="205">
        <f t="shared" si="40"/>
        <v>2.4915465385299873E-2</v>
      </c>
      <c r="N365" s="206">
        <f t="shared" si="41"/>
        <v>2.1169576777821057E-2</v>
      </c>
    </row>
    <row r="366" spans="1:14" collapsed="1">
      <c r="A366" s="197" t="s">
        <v>1289</v>
      </c>
      <c r="B366" s="196" t="s">
        <v>279</v>
      </c>
      <c r="C366" s="203">
        <f t="shared" si="35"/>
        <v>-55.737704918032783</v>
      </c>
      <c r="E366" s="199">
        <v>1</v>
      </c>
      <c r="F366" s="200">
        <v>35</v>
      </c>
      <c r="G366" s="208">
        <f t="shared" si="36"/>
        <v>-97.142857142857139</v>
      </c>
      <c r="H366" s="205">
        <f t="shared" si="37"/>
        <v>3.5100035100035102E-3</v>
      </c>
      <c r="I366" s="205">
        <f t="shared" si="38"/>
        <v>0.13251050619013366</v>
      </c>
      <c r="J366" s="199">
        <v>27</v>
      </c>
      <c r="K366" s="200">
        <v>61</v>
      </c>
      <c r="L366" s="208">
        <f t="shared" si="39"/>
        <v>-55.737704918032783</v>
      </c>
      <c r="M366" s="205">
        <f t="shared" si="40"/>
        <v>2.4025627335824879E-2</v>
      </c>
      <c r="N366" s="206">
        <f t="shared" si="41"/>
        <v>5.1653767337883377E-2</v>
      </c>
    </row>
    <row r="367" spans="1:14" hidden="1" outlineLevel="1">
      <c r="A367" s="197"/>
      <c r="B367" s="207" t="s">
        <v>989</v>
      </c>
      <c r="C367" s="203">
        <f t="shared" si="35"/>
        <v>-65.789473684210535</v>
      </c>
      <c r="E367" s="199">
        <v>0</v>
      </c>
      <c r="F367" s="200">
        <v>26</v>
      </c>
      <c r="G367" s="208">
        <f t="shared" si="36"/>
        <v>-100</v>
      </c>
      <c r="H367" s="205" t="str">
        <f t="shared" si="37"/>
        <v/>
      </c>
      <c r="I367" s="205">
        <f t="shared" si="38"/>
        <v>9.8436376026956415E-2</v>
      </c>
      <c r="J367" s="199">
        <v>13</v>
      </c>
      <c r="K367" s="200">
        <v>38</v>
      </c>
      <c r="L367" s="208">
        <f t="shared" si="39"/>
        <v>-65.789473684210535</v>
      </c>
      <c r="M367" s="205">
        <f t="shared" si="40"/>
        <v>1.1567894643174943E-2</v>
      </c>
      <c r="N367" s="206">
        <f t="shared" si="41"/>
        <v>3.2177756702288007E-2</v>
      </c>
    </row>
    <row r="368" spans="1:14" hidden="1" outlineLevel="1">
      <c r="A368" s="197"/>
      <c r="B368" s="207" t="s">
        <v>1153</v>
      </c>
      <c r="C368" s="203">
        <f t="shared" si="35"/>
        <v>-53.846153846153847</v>
      </c>
      <c r="E368" s="199">
        <v>1</v>
      </c>
      <c r="F368" s="200">
        <v>5</v>
      </c>
      <c r="G368" s="208">
        <f t="shared" si="36"/>
        <v>-80</v>
      </c>
      <c r="H368" s="205">
        <f t="shared" si="37"/>
        <v>3.5100035100035102E-3</v>
      </c>
      <c r="I368" s="205">
        <f t="shared" si="38"/>
        <v>1.8930072312876235E-2</v>
      </c>
      <c r="J368" s="199">
        <v>6</v>
      </c>
      <c r="K368" s="200">
        <v>13</v>
      </c>
      <c r="L368" s="208">
        <f t="shared" si="39"/>
        <v>-53.846153846153847</v>
      </c>
      <c r="M368" s="205">
        <f t="shared" si="40"/>
        <v>5.3390282968499734E-3</v>
      </c>
      <c r="N368" s="206">
        <f t="shared" si="41"/>
        <v>1.1008179924466951E-2</v>
      </c>
    </row>
    <row r="369" spans="1:14" hidden="1" outlineLevel="1">
      <c r="A369" s="197"/>
      <c r="B369" s="207" t="s">
        <v>1154</v>
      </c>
      <c r="C369" s="203">
        <f t="shared" si="35"/>
        <v>0</v>
      </c>
      <c r="E369" s="199">
        <v>0</v>
      </c>
      <c r="F369" s="200">
        <v>3</v>
      </c>
      <c r="G369" s="208">
        <f t="shared" si="36"/>
        <v>-100</v>
      </c>
      <c r="H369" s="205" t="str">
        <f t="shared" si="37"/>
        <v/>
      </c>
      <c r="I369" s="205">
        <f t="shared" si="38"/>
        <v>1.135804338772574E-2</v>
      </c>
      <c r="J369" s="199">
        <v>6</v>
      </c>
      <c r="K369" s="200">
        <v>6</v>
      </c>
      <c r="L369" s="208">
        <f t="shared" si="39"/>
        <v>0</v>
      </c>
      <c r="M369" s="205">
        <f t="shared" si="40"/>
        <v>5.3390282968499734E-3</v>
      </c>
      <c r="N369" s="206">
        <f t="shared" si="41"/>
        <v>5.0806984266770537E-3</v>
      </c>
    </row>
    <row r="370" spans="1:14" hidden="1" outlineLevel="1">
      <c r="A370" s="197"/>
      <c r="B370" s="207" t="s">
        <v>990</v>
      </c>
      <c r="C370" s="203">
        <f t="shared" si="35"/>
        <v>-50</v>
      </c>
      <c r="E370" s="199">
        <v>0</v>
      </c>
      <c r="F370" s="200">
        <v>0</v>
      </c>
      <c r="G370" s="208" t="str">
        <f t="shared" si="36"/>
        <v/>
      </c>
      <c r="H370" s="205" t="str">
        <f t="shared" si="37"/>
        <v/>
      </c>
      <c r="I370" s="205" t="str">
        <f t="shared" si="38"/>
        <v/>
      </c>
      <c r="J370" s="199">
        <v>1</v>
      </c>
      <c r="K370" s="200">
        <v>2</v>
      </c>
      <c r="L370" s="208">
        <f t="shared" si="39"/>
        <v>-50</v>
      </c>
      <c r="M370" s="205">
        <f t="shared" si="40"/>
        <v>8.898380494749955E-4</v>
      </c>
      <c r="N370" s="206">
        <f t="shared" si="41"/>
        <v>1.6935661422256844E-3</v>
      </c>
    </row>
    <row r="371" spans="1:14" hidden="1" outlineLevel="1">
      <c r="A371" s="197"/>
      <c r="B371" s="207" t="s">
        <v>1155</v>
      </c>
      <c r="C371" s="203">
        <f t="shared" si="35"/>
        <v>0</v>
      </c>
      <c r="E371" s="199">
        <v>0</v>
      </c>
      <c r="F371" s="200">
        <v>1</v>
      </c>
      <c r="G371" s="208">
        <f t="shared" si="36"/>
        <v>-100</v>
      </c>
      <c r="H371" s="205" t="str">
        <f t="shared" si="37"/>
        <v/>
      </c>
      <c r="I371" s="205">
        <f t="shared" si="38"/>
        <v>3.7860144625752466E-3</v>
      </c>
      <c r="J371" s="199">
        <v>1</v>
      </c>
      <c r="K371" s="200">
        <v>1</v>
      </c>
      <c r="L371" s="208">
        <f t="shared" si="39"/>
        <v>0</v>
      </c>
      <c r="M371" s="205">
        <f t="shared" si="40"/>
        <v>8.898380494749955E-4</v>
      </c>
      <c r="N371" s="206">
        <f t="shared" si="41"/>
        <v>8.4678307111284222E-4</v>
      </c>
    </row>
    <row r="372" spans="1:14" hidden="1" outlineLevel="1">
      <c r="A372" s="197"/>
      <c r="B372" s="207" t="s">
        <v>1215</v>
      </c>
      <c r="C372" s="203">
        <f t="shared" si="35"/>
        <v>-100</v>
      </c>
      <c r="E372" s="199">
        <v>0</v>
      </c>
      <c r="F372" s="200">
        <v>0</v>
      </c>
      <c r="G372" s="208" t="str">
        <f t="shared" si="36"/>
        <v/>
      </c>
      <c r="H372" s="205" t="str">
        <f t="shared" si="37"/>
        <v/>
      </c>
      <c r="I372" s="205" t="str">
        <f t="shared" si="38"/>
        <v/>
      </c>
      <c r="J372" s="199">
        <v>0</v>
      </c>
      <c r="K372" s="200">
        <v>1</v>
      </c>
      <c r="L372" s="208">
        <f t="shared" si="39"/>
        <v>-100</v>
      </c>
      <c r="M372" s="205" t="str">
        <f t="shared" si="40"/>
        <v/>
      </c>
      <c r="N372" s="206">
        <f t="shared" si="41"/>
        <v>8.4678307111284222E-4</v>
      </c>
    </row>
    <row r="373" spans="1:14" collapsed="1">
      <c r="A373" s="197" t="s">
        <v>1219</v>
      </c>
      <c r="B373" s="196" t="s">
        <v>278</v>
      </c>
      <c r="C373" s="203">
        <f t="shared" si="35"/>
        <v>0</v>
      </c>
      <c r="E373" s="199">
        <v>4</v>
      </c>
      <c r="F373" s="200">
        <v>5</v>
      </c>
      <c r="G373" s="208">
        <f t="shared" si="36"/>
        <v>-20</v>
      </c>
      <c r="H373" s="205">
        <f t="shared" si="37"/>
        <v>1.4040014040014041E-2</v>
      </c>
      <c r="I373" s="205">
        <f t="shared" si="38"/>
        <v>1.8930072312876235E-2</v>
      </c>
      <c r="J373" s="199">
        <v>17</v>
      </c>
      <c r="K373" s="200">
        <v>17</v>
      </c>
      <c r="L373" s="208">
        <f t="shared" si="39"/>
        <v>0</v>
      </c>
      <c r="M373" s="205">
        <f t="shared" si="40"/>
        <v>1.5127246841074925E-2</v>
      </c>
      <c r="N373" s="206">
        <f t="shared" si="41"/>
        <v>1.4395312208918319E-2</v>
      </c>
    </row>
    <row r="374" spans="1:14" hidden="1" outlineLevel="1">
      <c r="A374" s="197"/>
      <c r="B374" s="207" t="s">
        <v>997</v>
      </c>
      <c r="C374" s="203">
        <f t="shared" si="35"/>
        <v>0</v>
      </c>
      <c r="E374" s="199">
        <v>4</v>
      </c>
      <c r="F374" s="200">
        <v>5</v>
      </c>
      <c r="G374" s="208">
        <f t="shared" si="36"/>
        <v>-20</v>
      </c>
      <c r="H374" s="205">
        <f t="shared" si="37"/>
        <v>1.4040014040014041E-2</v>
      </c>
      <c r="I374" s="205">
        <f t="shared" si="38"/>
        <v>1.8930072312876235E-2</v>
      </c>
      <c r="J374" s="199">
        <v>17</v>
      </c>
      <c r="K374" s="200">
        <v>17</v>
      </c>
      <c r="L374" s="208">
        <f t="shared" si="39"/>
        <v>0</v>
      </c>
      <c r="M374" s="205">
        <f t="shared" si="40"/>
        <v>1.5127246841074925E-2</v>
      </c>
      <c r="N374" s="206">
        <f t="shared" si="41"/>
        <v>1.4395312208918319E-2</v>
      </c>
    </row>
    <row r="375" spans="1:14" collapsed="1">
      <c r="A375" s="197" t="s">
        <v>1220</v>
      </c>
      <c r="B375" s="196" t="s">
        <v>269</v>
      </c>
      <c r="C375" s="203">
        <f t="shared" si="35"/>
        <v>30</v>
      </c>
      <c r="E375" s="199">
        <v>7</v>
      </c>
      <c r="F375" s="200">
        <v>2</v>
      </c>
      <c r="G375" s="208">
        <f t="shared" si="36"/>
        <v>250</v>
      </c>
      <c r="H375" s="205">
        <f t="shared" si="37"/>
        <v>2.4570024570024569E-2</v>
      </c>
      <c r="I375" s="205">
        <f t="shared" si="38"/>
        <v>7.5720289251504933E-3</v>
      </c>
      <c r="J375" s="199">
        <v>13</v>
      </c>
      <c r="K375" s="200">
        <v>10</v>
      </c>
      <c r="L375" s="208">
        <f t="shared" si="39"/>
        <v>30</v>
      </c>
      <c r="M375" s="205">
        <f t="shared" si="40"/>
        <v>1.1567894643174943E-2</v>
      </c>
      <c r="N375" s="206">
        <f t="shared" si="41"/>
        <v>8.4678307111284226E-3</v>
      </c>
    </row>
    <row r="376" spans="1:14" hidden="1" outlineLevel="1">
      <c r="A376" s="197"/>
      <c r="B376" s="207" t="s">
        <v>999</v>
      </c>
      <c r="C376" s="203">
        <f t="shared" si="35"/>
        <v>133.33333333333331</v>
      </c>
      <c r="E376" s="199">
        <v>3</v>
      </c>
      <c r="F376" s="200">
        <v>2</v>
      </c>
      <c r="G376" s="208">
        <f t="shared" si="36"/>
        <v>50</v>
      </c>
      <c r="H376" s="205">
        <f t="shared" si="37"/>
        <v>1.053001053001053E-2</v>
      </c>
      <c r="I376" s="205">
        <f t="shared" si="38"/>
        <v>7.5720289251504933E-3</v>
      </c>
      <c r="J376" s="199">
        <v>7</v>
      </c>
      <c r="K376" s="200">
        <v>3</v>
      </c>
      <c r="L376" s="208">
        <f t="shared" si="39"/>
        <v>133.33333333333331</v>
      </c>
      <c r="M376" s="205">
        <f t="shared" si="40"/>
        <v>6.2288663463249683E-3</v>
      </c>
      <c r="N376" s="206">
        <f t="shared" si="41"/>
        <v>2.5403492133385269E-3</v>
      </c>
    </row>
    <row r="377" spans="1:14" hidden="1" outlineLevel="1">
      <c r="A377" s="197"/>
      <c r="B377" s="207" t="s">
        <v>998</v>
      </c>
      <c r="C377" s="203">
        <f t="shared" si="35"/>
        <v>-14.285714285714285</v>
      </c>
      <c r="E377" s="199">
        <v>4</v>
      </c>
      <c r="F377" s="200">
        <v>0</v>
      </c>
      <c r="G377" s="208" t="str">
        <f t="shared" si="36"/>
        <v/>
      </c>
      <c r="H377" s="205">
        <f t="shared" si="37"/>
        <v>1.4040014040014041E-2</v>
      </c>
      <c r="I377" s="205" t="str">
        <f t="shared" si="38"/>
        <v/>
      </c>
      <c r="J377" s="199">
        <v>6</v>
      </c>
      <c r="K377" s="200">
        <v>7</v>
      </c>
      <c r="L377" s="208">
        <f t="shared" si="39"/>
        <v>-14.285714285714285</v>
      </c>
      <c r="M377" s="205">
        <f t="shared" si="40"/>
        <v>5.3390282968499734E-3</v>
      </c>
      <c r="N377" s="206">
        <f t="shared" si="41"/>
        <v>5.9274814977898962E-3</v>
      </c>
    </row>
    <row r="378" spans="1:14" collapsed="1">
      <c r="A378" s="197" t="s">
        <v>1290</v>
      </c>
      <c r="B378" s="196" t="s">
        <v>1000</v>
      </c>
      <c r="C378" s="203">
        <f t="shared" si="35"/>
        <v>10</v>
      </c>
      <c r="E378" s="199">
        <v>4</v>
      </c>
      <c r="F378" s="200">
        <v>2</v>
      </c>
      <c r="G378" s="208">
        <f t="shared" si="36"/>
        <v>100</v>
      </c>
      <c r="H378" s="205">
        <f t="shared" si="37"/>
        <v>1.4040014040014041E-2</v>
      </c>
      <c r="I378" s="205">
        <f t="shared" si="38"/>
        <v>7.5720289251504933E-3</v>
      </c>
      <c r="J378" s="199">
        <v>11</v>
      </c>
      <c r="K378" s="200">
        <v>10</v>
      </c>
      <c r="L378" s="208">
        <f t="shared" si="39"/>
        <v>10</v>
      </c>
      <c r="M378" s="205">
        <f t="shared" si="40"/>
        <v>9.7882185442249511E-3</v>
      </c>
      <c r="N378" s="206">
        <f t="shared" si="41"/>
        <v>8.4678307111284226E-3</v>
      </c>
    </row>
    <row r="379" spans="1:14" hidden="1" outlineLevel="1">
      <c r="A379" s="197"/>
      <c r="B379" s="207" t="s">
        <v>1000</v>
      </c>
      <c r="C379" s="203">
        <f t="shared" si="35"/>
        <v>10</v>
      </c>
      <c r="E379" s="199">
        <v>4</v>
      </c>
      <c r="F379" s="200">
        <v>2</v>
      </c>
      <c r="G379" s="208">
        <f t="shared" si="36"/>
        <v>100</v>
      </c>
      <c r="H379" s="205">
        <f t="shared" si="37"/>
        <v>1.4040014040014041E-2</v>
      </c>
      <c r="I379" s="205">
        <f t="shared" si="38"/>
        <v>7.5720289251504933E-3</v>
      </c>
      <c r="J379" s="199">
        <v>11</v>
      </c>
      <c r="K379" s="200">
        <v>10</v>
      </c>
      <c r="L379" s="208">
        <f t="shared" si="39"/>
        <v>10</v>
      </c>
      <c r="M379" s="205">
        <f t="shared" si="40"/>
        <v>9.7882185442249511E-3</v>
      </c>
      <c r="N379" s="206">
        <f t="shared" si="41"/>
        <v>8.4678307111284226E-3</v>
      </c>
    </row>
    <row r="380" spans="1:14" collapsed="1">
      <c r="A380" s="197" t="s">
        <v>1291</v>
      </c>
      <c r="B380" s="196" t="s">
        <v>698</v>
      </c>
      <c r="C380" s="203">
        <f t="shared" si="35"/>
        <v>250</v>
      </c>
      <c r="E380" s="199">
        <v>0</v>
      </c>
      <c r="F380" s="200">
        <v>1</v>
      </c>
      <c r="G380" s="208">
        <f t="shared" si="36"/>
        <v>-100</v>
      </c>
      <c r="H380" s="205" t="str">
        <f t="shared" si="37"/>
        <v/>
      </c>
      <c r="I380" s="205">
        <f t="shared" si="38"/>
        <v>3.7860144625752466E-3</v>
      </c>
      <c r="J380" s="199">
        <v>7</v>
      </c>
      <c r="K380" s="200">
        <v>2</v>
      </c>
      <c r="L380" s="208">
        <f t="shared" si="39"/>
        <v>250</v>
      </c>
      <c r="M380" s="205">
        <f t="shared" si="40"/>
        <v>6.2288663463249683E-3</v>
      </c>
      <c r="N380" s="206">
        <f t="shared" si="41"/>
        <v>1.6935661422256844E-3</v>
      </c>
    </row>
    <row r="381" spans="1:14" hidden="1" outlineLevel="1">
      <c r="A381" s="197"/>
      <c r="B381" s="207" t="s">
        <v>1002</v>
      </c>
      <c r="C381" s="203">
        <f t="shared" si="35"/>
        <v>600</v>
      </c>
      <c r="E381" s="199">
        <v>0</v>
      </c>
      <c r="F381" s="200">
        <v>0</v>
      </c>
      <c r="G381" s="208" t="str">
        <f t="shared" si="36"/>
        <v/>
      </c>
      <c r="H381" s="205" t="str">
        <f t="shared" si="37"/>
        <v/>
      </c>
      <c r="I381" s="205" t="str">
        <f t="shared" si="38"/>
        <v/>
      </c>
      <c r="J381" s="199">
        <v>7</v>
      </c>
      <c r="K381" s="200">
        <v>1</v>
      </c>
      <c r="L381" s="208">
        <f t="shared" si="39"/>
        <v>600</v>
      </c>
      <c r="M381" s="205">
        <f t="shared" si="40"/>
        <v>6.2288663463249683E-3</v>
      </c>
      <c r="N381" s="206">
        <f t="shared" si="41"/>
        <v>8.4678307111284222E-4</v>
      </c>
    </row>
    <row r="382" spans="1:14" hidden="1" outlineLevel="1">
      <c r="A382" s="197"/>
      <c r="B382" s="207" t="s">
        <v>1292</v>
      </c>
      <c r="C382" s="203">
        <f t="shared" si="35"/>
        <v>-100</v>
      </c>
      <c r="E382" s="199">
        <v>0</v>
      </c>
      <c r="F382" s="200">
        <v>1</v>
      </c>
      <c r="G382" s="208">
        <f t="shared" si="36"/>
        <v>-100</v>
      </c>
      <c r="H382" s="205" t="str">
        <f t="shared" si="37"/>
        <v/>
      </c>
      <c r="I382" s="205">
        <f t="shared" si="38"/>
        <v>3.7860144625752466E-3</v>
      </c>
      <c r="J382" s="199">
        <v>0</v>
      </c>
      <c r="K382" s="200">
        <v>1</v>
      </c>
      <c r="L382" s="208">
        <f t="shared" si="39"/>
        <v>-100</v>
      </c>
      <c r="M382" s="205" t="str">
        <f t="shared" si="40"/>
        <v/>
      </c>
      <c r="N382" s="206">
        <f t="shared" si="41"/>
        <v>8.4678307111284222E-4</v>
      </c>
    </row>
    <row r="383" spans="1:14" collapsed="1">
      <c r="A383" s="197" t="s">
        <v>1221</v>
      </c>
      <c r="B383" s="196" t="s">
        <v>1159</v>
      </c>
      <c r="C383" s="203" t="str">
        <f t="shared" si="35"/>
        <v/>
      </c>
      <c r="E383" s="199">
        <v>0</v>
      </c>
      <c r="F383" s="200">
        <v>0</v>
      </c>
      <c r="G383" s="208" t="str">
        <f t="shared" si="36"/>
        <v/>
      </c>
      <c r="H383" s="205" t="str">
        <f t="shared" si="37"/>
        <v/>
      </c>
      <c r="I383" s="205" t="str">
        <f t="shared" si="38"/>
        <v/>
      </c>
      <c r="J383" s="199">
        <v>5</v>
      </c>
      <c r="K383" s="200">
        <v>0</v>
      </c>
      <c r="L383" s="208" t="str">
        <f t="shared" si="39"/>
        <v/>
      </c>
      <c r="M383" s="205">
        <f t="shared" si="40"/>
        <v>4.4491902473749777E-3</v>
      </c>
      <c r="N383" s="206" t="str">
        <f t="shared" si="41"/>
        <v/>
      </c>
    </row>
    <row r="384" spans="1:14" hidden="1" outlineLevel="1">
      <c r="A384" s="197"/>
      <c r="B384" s="207" t="s">
        <v>1160</v>
      </c>
      <c r="C384" s="203" t="str">
        <f t="shared" si="35"/>
        <v/>
      </c>
      <c r="E384" s="199">
        <v>0</v>
      </c>
      <c r="F384" s="200">
        <v>0</v>
      </c>
      <c r="G384" s="208" t="str">
        <f t="shared" si="36"/>
        <v/>
      </c>
      <c r="H384" s="205" t="str">
        <f t="shared" si="37"/>
        <v/>
      </c>
      <c r="I384" s="205" t="str">
        <f t="shared" si="38"/>
        <v/>
      </c>
      <c r="J384" s="199">
        <v>5</v>
      </c>
      <c r="K384" s="200">
        <v>0</v>
      </c>
      <c r="L384" s="208" t="str">
        <f t="shared" si="39"/>
        <v/>
      </c>
      <c r="M384" s="205">
        <f t="shared" si="40"/>
        <v>4.4491902473749777E-3</v>
      </c>
      <c r="N384" s="206" t="str">
        <f t="shared" si="41"/>
        <v/>
      </c>
    </row>
    <row r="385" spans="1:14" collapsed="1">
      <c r="A385" s="197" t="s">
        <v>1293</v>
      </c>
      <c r="B385" s="196" t="s">
        <v>290</v>
      </c>
      <c r="C385" s="203">
        <f t="shared" si="35"/>
        <v>-60</v>
      </c>
      <c r="E385" s="199">
        <v>1</v>
      </c>
      <c r="F385" s="200">
        <v>4</v>
      </c>
      <c r="G385" s="208">
        <f t="shared" si="36"/>
        <v>-75</v>
      </c>
      <c r="H385" s="205">
        <f t="shared" si="37"/>
        <v>3.5100035100035102E-3</v>
      </c>
      <c r="I385" s="205">
        <f t="shared" si="38"/>
        <v>1.5144057850300987E-2</v>
      </c>
      <c r="J385" s="199">
        <v>4</v>
      </c>
      <c r="K385" s="200">
        <v>10</v>
      </c>
      <c r="L385" s="208">
        <f t="shared" si="39"/>
        <v>-60</v>
      </c>
      <c r="M385" s="205">
        <f t="shared" si="40"/>
        <v>3.559352197899982E-3</v>
      </c>
      <c r="N385" s="206">
        <f t="shared" si="41"/>
        <v>8.4678307111284226E-3</v>
      </c>
    </row>
    <row r="386" spans="1:14" hidden="1" outlineLevel="1">
      <c r="A386" s="197"/>
      <c r="B386" s="207" t="s">
        <v>290</v>
      </c>
      <c r="C386" s="203">
        <f t="shared" si="35"/>
        <v>-60</v>
      </c>
      <c r="E386" s="199">
        <v>1</v>
      </c>
      <c r="F386" s="200">
        <v>4</v>
      </c>
      <c r="G386" s="208">
        <f t="shared" si="36"/>
        <v>-75</v>
      </c>
      <c r="H386" s="205">
        <f t="shared" si="37"/>
        <v>3.5100035100035102E-3</v>
      </c>
      <c r="I386" s="205">
        <f t="shared" si="38"/>
        <v>1.5144057850300987E-2</v>
      </c>
      <c r="J386" s="199">
        <v>4</v>
      </c>
      <c r="K386" s="200">
        <v>10</v>
      </c>
      <c r="L386" s="208">
        <f t="shared" si="39"/>
        <v>-60</v>
      </c>
      <c r="M386" s="205">
        <f t="shared" si="40"/>
        <v>3.559352197899982E-3</v>
      </c>
      <c r="N386" s="206">
        <f t="shared" si="41"/>
        <v>8.4678307111284226E-3</v>
      </c>
    </row>
    <row r="387" spans="1:14" collapsed="1">
      <c r="A387" s="197" t="s">
        <v>1294</v>
      </c>
      <c r="B387" s="196" t="s">
        <v>1199</v>
      </c>
      <c r="C387" s="203">
        <f t="shared" si="35"/>
        <v>100</v>
      </c>
      <c r="E387" s="199">
        <v>1</v>
      </c>
      <c r="F387" s="200">
        <v>0</v>
      </c>
      <c r="G387" s="208" t="str">
        <f t="shared" si="36"/>
        <v/>
      </c>
      <c r="H387" s="205">
        <f t="shared" si="37"/>
        <v>3.5100035100035102E-3</v>
      </c>
      <c r="I387" s="205" t="str">
        <f t="shared" si="38"/>
        <v/>
      </c>
      <c r="J387" s="199">
        <v>2</v>
      </c>
      <c r="K387" s="200">
        <v>1</v>
      </c>
      <c r="L387" s="208">
        <f t="shared" si="39"/>
        <v>100</v>
      </c>
      <c r="M387" s="205">
        <f t="shared" si="40"/>
        <v>1.779676098949991E-3</v>
      </c>
      <c r="N387" s="206">
        <f t="shared" si="41"/>
        <v>8.4678307111284222E-4</v>
      </c>
    </row>
    <row r="388" spans="1:14" hidden="1" outlineLevel="1">
      <c r="A388" s="197"/>
      <c r="B388" s="207" t="s">
        <v>1199</v>
      </c>
      <c r="C388" s="203">
        <f t="shared" si="35"/>
        <v>100</v>
      </c>
      <c r="E388" s="199">
        <v>1</v>
      </c>
      <c r="F388" s="200">
        <v>0</v>
      </c>
      <c r="G388" s="208" t="str">
        <f t="shared" si="36"/>
        <v/>
      </c>
      <c r="H388" s="205">
        <f t="shared" si="37"/>
        <v>3.5100035100035102E-3</v>
      </c>
      <c r="I388" s="205" t="str">
        <f t="shared" si="38"/>
        <v/>
      </c>
      <c r="J388" s="199">
        <v>2</v>
      </c>
      <c r="K388" s="200">
        <v>1</v>
      </c>
      <c r="L388" s="208">
        <f t="shared" si="39"/>
        <v>100</v>
      </c>
      <c r="M388" s="205">
        <f t="shared" si="40"/>
        <v>1.779676098949991E-3</v>
      </c>
      <c r="N388" s="206">
        <f t="shared" si="41"/>
        <v>8.4678307111284222E-4</v>
      </c>
    </row>
    <row r="389" spans="1:14" collapsed="1">
      <c r="A389" s="197" t="s">
        <v>1295</v>
      </c>
      <c r="B389" s="196" t="s">
        <v>577</v>
      </c>
      <c r="C389" s="203">
        <f t="shared" si="35"/>
        <v>-66.666666666666657</v>
      </c>
      <c r="E389" s="199">
        <v>0</v>
      </c>
      <c r="F389" s="200">
        <v>0</v>
      </c>
      <c r="G389" s="208" t="str">
        <f t="shared" si="36"/>
        <v/>
      </c>
      <c r="H389" s="205" t="str">
        <f t="shared" si="37"/>
        <v/>
      </c>
      <c r="I389" s="205" t="str">
        <f t="shared" si="38"/>
        <v/>
      </c>
      <c r="J389" s="199">
        <v>2</v>
      </c>
      <c r="K389" s="200">
        <v>6</v>
      </c>
      <c r="L389" s="208">
        <f t="shared" si="39"/>
        <v>-66.666666666666657</v>
      </c>
      <c r="M389" s="205">
        <f t="shared" si="40"/>
        <v>1.779676098949991E-3</v>
      </c>
      <c r="N389" s="206">
        <f t="shared" si="41"/>
        <v>5.0806984266770537E-3</v>
      </c>
    </row>
    <row r="390" spans="1:14" hidden="1" outlineLevel="1">
      <c r="A390" s="197"/>
      <c r="B390" s="207" t="s">
        <v>1001</v>
      </c>
      <c r="C390" s="203">
        <f t="shared" si="35"/>
        <v>-66.666666666666657</v>
      </c>
      <c r="E390" s="199">
        <v>0</v>
      </c>
      <c r="F390" s="200">
        <v>0</v>
      </c>
      <c r="G390" s="208" t="str">
        <f t="shared" si="36"/>
        <v/>
      </c>
      <c r="H390" s="205" t="str">
        <f t="shared" si="37"/>
        <v/>
      </c>
      <c r="I390" s="205" t="str">
        <f t="shared" si="38"/>
        <v/>
      </c>
      <c r="J390" s="199">
        <v>2</v>
      </c>
      <c r="K390" s="200">
        <v>6</v>
      </c>
      <c r="L390" s="208">
        <f t="shared" si="39"/>
        <v>-66.666666666666657</v>
      </c>
      <c r="M390" s="205">
        <f t="shared" si="40"/>
        <v>1.779676098949991E-3</v>
      </c>
      <c r="N390" s="206">
        <f t="shared" si="41"/>
        <v>5.0806984266770537E-3</v>
      </c>
    </row>
    <row r="391" spans="1:14" collapsed="1">
      <c r="A391" s="197" t="s">
        <v>1296</v>
      </c>
      <c r="B391" s="196" t="s">
        <v>578</v>
      </c>
      <c r="C391" s="203">
        <f t="shared" si="35"/>
        <v>-66.666666666666657</v>
      </c>
      <c r="E391" s="199">
        <v>1</v>
      </c>
      <c r="F391" s="200">
        <v>0</v>
      </c>
      <c r="G391" s="208" t="str">
        <f t="shared" si="36"/>
        <v/>
      </c>
      <c r="H391" s="205">
        <f t="shared" si="37"/>
        <v>3.5100035100035102E-3</v>
      </c>
      <c r="I391" s="205" t="str">
        <f t="shared" si="38"/>
        <v/>
      </c>
      <c r="J391" s="199">
        <v>1</v>
      </c>
      <c r="K391" s="200">
        <v>3</v>
      </c>
      <c r="L391" s="208">
        <f t="shared" si="39"/>
        <v>-66.666666666666657</v>
      </c>
      <c r="M391" s="205">
        <f t="shared" si="40"/>
        <v>8.898380494749955E-4</v>
      </c>
      <c r="N391" s="206">
        <f t="shared" si="41"/>
        <v>2.5403492133385269E-3</v>
      </c>
    </row>
    <row r="392" spans="1:14" hidden="1" outlineLevel="1">
      <c r="A392" s="197"/>
      <c r="B392" s="207" t="s">
        <v>578</v>
      </c>
      <c r="C392" s="203">
        <f t="shared" si="35"/>
        <v>-66.666666666666657</v>
      </c>
      <c r="E392" s="199">
        <v>1</v>
      </c>
      <c r="F392" s="200">
        <v>0</v>
      </c>
      <c r="G392" s="208" t="str">
        <f t="shared" si="36"/>
        <v/>
      </c>
      <c r="H392" s="205">
        <f t="shared" si="37"/>
        <v>3.5100035100035102E-3</v>
      </c>
      <c r="I392" s="205" t="str">
        <f t="shared" si="38"/>
        <v/>
      </c>
      <c r="J392" s="199">
        <v>1</v>
      </c>
      <c r="K392" s="200">
        <v>3</v>
      </c>
      <c r="L392" s="208">
        <f t="shared" si="39"/>
        <v>-66.666666666666657</v>
      </c>
      <c r="M392" s="205">
        <f t="shared" si="40"/>
        <v>8.898380494749955E-4</v>
      </c>
      <c r="N392" s="206">
        <f t="shared" si="41"/>
        <v>2.5403492133385269E-3</v>
      </c>
    </row>
    <row r="393" spans="1:14" collapsed="1">
      <c r="A393" s="197" t="s">
        <v>1297</v>
      </c>
      <c r="B393" s="196" t="s">
        <v>1183</v>
      </c>
      <c r="C393" s="203">
        <f t="shared" si="35"/>
        <v>-66.666666666666657</v>
      </c>
      <c r="E393" s="199">
        <v>0</v>
      </c>
      <c r="F393" s="200">
        <v>2</v>
      </c>
      <c r="G393" s="208">
        <f t="shared" si="36"/>
        <v>-100</v>
      </c>
      <c r="H393" s="205" t="str">
        <f t="shared" si="37"/>
        <v/>
      </c>
      <c r="I393" s="205">
        <f t="shared" si="38"/>
        <v>7.5720289251504933E-3</v>
      </c>
      <c r="J393" s="199">
        <v>1</v>
      </c>
      <c r="K393" s="200">
        <v>3</v>
      </c>
      <c r="L393" s="208">
        <f t="shared" si="39"/>
        <v>-66.666666666666657</v>
      </c>
      <c r="M393" s="205">
        <f t="shared" si="40"/>
        <v>8.898380494749955E-4</v>
      </c>
      <c r="N393" s="206">
        <f t="shared" si="41"/>
        <v>2.5403492133385269E-3</v>
      </c>
    </row>
    <row r="394" spans="1:14" hidden="1" outlineLevel="1">
      <c r="A394" s="197"/>
      <c r="B394" s="207" t="s">
        <v>1184</v>
      </c>
      <c r="C394" s="203">
        <f t="shared" ref="C394:C399" si="42">IF(K394=0,"",SUM(((J394-K394)/K394)*100))</f>
        <v>-66.666666666666657</v>
      </c>
      <c r="E394" s="199">
        <v>0</v>
      </c>
      <c r="F394" s="200">
        <v>2</v>
      </c>
      <c r="G394" s="208">
        <f t="shared" ref="G394:G399" si="43">IF(F394=0,"",SUM(((E394-F394)/F394)*100))</f>
        <v>-100</v>
      </c>
      <c r="H394" s="205" t="str">
        <f t="shared" ref="H394:H399" si="44">IF(E394=0,"",SUM((E394/CntPeriod)*100))</f>
        <v/>
      </c>
      <c r="I394" s="205">
        <f t="shared" ref="I394:I399" si="45">IF(F394=0,"",SUM((F394/CntPeriodPrevYear)*100))</f>
        <v>7.5720289251504933E-3</v>
      </c>
      <c r="J394" s="199">
        <v>1</v>
      </c>
      <c r="K394" s="200">
        <v>3</v>
      </c>
      <c r="L394" s="208">
        <f t="shared" ref="L394:L399" si="46">IF(K394=0,"",SUM(((J394-K394)/K394)*100))</f>
        <v>-66.666666666666657</v>
      </c>
      <c r="M394" s="205">
        <f t="shared" ref="M394:M399" si="47">IF(J394=0,"",SUM((J394/CntYearAck)*100))</f>
        <v>8.898380494749955E-4</v>
      </c>
      <c r="N394" s="206">
        <f t="shared" ref="N394:N399" si="48">IF(K394=0,"",SUM((K394/CntPrevYearAck)*100))</f>
        <v>2.5403492133385269E-3</v>
      </c>
    </row>
    <row r="395" spans="1:14" collapsed="1">
      <c r="A395" s="197" t="s">
        <v>1298</v>
      </c>
      <c r="B395" s="196" t="s">
        <v>1200</v>
      </c>
      <c r="C395" s="203">
        <f t="shared" si="42"/>
        <v>-100</v>
      </c>
      <c r="E395" s="199">
        <v>0</v>
      </c>
      <c r="F395" s="200">
        <v>0</v>
      </c>
      <c r="G395" s="208" t="str">
        <f t="shared" si="43"/>
        <v/>
      </c>
      <c r="H395" s="205" t="str">
        <f t="shared" si="44"/>
        <v/>
      </c>
      <c r="I395" s="205" t="str">
        <f t="shared" si="45"/>
        <v/>
      </c>
      <c r="J395" s="199">
        <v>0</v>
      </c>
      <c r="K395" s="200">
        <v>7</v>
      </c>
      <c r="L395" s="208">
        <f t="shared" si="46"/>
        <v>-100</v>
      </c>
      <c r="M395" s="205" t="str">
        <f t="shared" si="47"/>
        <v/>
      </c>
      <c r="N395" s="206">
        <f t="shared" si="48"/>
        <v>5.9274814977898962E-3</v>
      </c>
    </row>
    <row r="396" spans="1:14" hidden="1" outlineLevel="1">
      <c r="A396" s="197"/>
      <c r="B396" s="207" t="s">
        <v>1222</v>
      </c>
      <c r="C396" s="203">
        <f t="shared" si="42"/>
        <v>-100</v>
      </c>
      <c r="E396" s="199">
        <v>0</v>
      </c>
      <c r="F396" s="200">
        <v>0</v>
      </c>
      <c r="G396" s="208" t="str">
        <f t="shared" si="43"/>
        <v/>
      </c>
      <c r="H396" s="205" t="str">
        <f t="shared" si="44"/>
        <v/>
      </c>
      <c r="I396" s="205" t="str">
        <f t="shared" si="45"/>
        <v/>
      </c>
      <c r="J396" s="199">
        <v>0</v>
      </c>
      <c r="K396" s="200">
        <v>5</v>
      </c>
      <c r="L396" s="208">
        <f t="shared" si="46"/>
        <v>-100</v>
      </c>
      <c r="M396" s="205" t="str">
        <f t="shared" si="47"/>
        <v/>
      </c>
      <c r="N396" s="206">
        <f t="shared" si="48"/>
        <v>4.2339153555642113E-3</v>
      </c>
    </row>
    <row r="397" spans="1:14" hidden="1" outlineLevel="1">
      <c r="A397" s="197"/>
      <c r="B397" s="207" t="s">
        <v>1223</v>
      </c>
      <c r="C397" s="203">
        <f t="shared" si="42"/>
        <v>-100</v>
      </c>
      <c r="E397" s="199">
        <v>0</v>
      </c>
      <c r="F397" s="200">
        <v>0</v>
      </c>
      <c r="G397" s="208" t="str">
        <f t="shared" si="43"/>
        <v/>
      </c>
      <c r="H397" s="205" t="str">
        <f t="shared" si="44"/>
        <v/>
      </c>
      <c r="I397" s="205" t="str">
        <f t="shared" si="45"/>
        <v/>
      </c>
      <c r="J397" s="199">
        <v>0</v>
      </c>
      <c r="K397" s="200">
        <v>2</v>
      </c>
      <c r="L397" s="208">
        <f t="shared" si="46"/>
        <v>-100</v>
      </c>
      <c r="M397" s="205" t="str">
        <f t="shared" si="47"/>
        <v/>
      </c>
      <c r="N397" s="206">
        <f t="shared" si="48"/>
        <v>1.6935661422256844E-3</v>
      </c>
    </row>
    <row r="398" spans="1:14" collapsed="1">
      <c r="A398" s="197"/>
      <c r="B398" s="196" t="s">
        <v>304</v>
      </c>
      <c r="C398" s="203">
        <f t="shared" si="42"/>
        <v>27.906976744186046</v>
      </c>
      <c r="E398" s="199">
        <v>54</v>
      </c>
      <c r="F398" s="200">
        <v>27</v>
      </c>
      <c r="G398" s="208">
        <f t="shared" si="43"/>
        <v>100</v>
      </c>
      <c r="H398" s="205">
        <f t="shared" si="44"/>
        <v>0.18954018954018953</v>
      </c>
      <c r="I398" s="205">
        <f t="shared" si="45"/>
        <v>0.10222239048953168</v>
      </c>
      <c r="J398" s="199">
        <v>110</v>
      </c>
      <c r="K398" s="200">
        <v>86</v>
      </c>
      <c r="L398" s="208">
        <f t="shared" si="46"/>
        <v>27.906976744186046</v>
      </c>
      <c r="M398" s="205">
        <f t="shared" si="47"/>
        <v>9.7882185442249511E-2</v>
      </c>
      <c r="N398" s="206">
        <f t="shared" si="48"/>
        <v>7.2823344115704444E-2</v>
      </c>
    </row>
    <row r="399" spans="1:14" hidden="1" outlineLevel="1">
      <c r="A399" s="197"/>
      <c r="B399" s="207" t="s">
        <v>484</v>
      </c>
      <c r="C399" s="203">
        <f t="shared" si="42"/>
        <v>27.906976744186046</v>
      </c>
      <c r="E399" s="199">
        <v>54</v>
      </c>
      <c r="F399" s="200">
        <v>27</v>
      </c>
      <c r="G399" s="208">
        <f t="shared" si="43"/>
        <v>100</v>
      </c>
      <c r="H399" s="205">
        <f t="shared" si="44"/>
        <v>0.18954018954018953</v>
      </c>
      <c r="I399" s="205">
        <f t="shared" si="45"/>
        <v>0.10222239048953168</v>
      </c>
      <c r="J399" s="199">
        <v>110</v>
      </c>
      <c r="K399" s="200">
        <v>86</v>
      </c>
      <c r="L399" s="208">
        <f t="shared" si="46"/>
        <v>27.906976744186046</v>
      </c>
      <c r="M399" s="205">
        <f t="shared" si="47"/>
        <v>9.7882185442249511E-2</v>
      </c>
      <c r="N399" s="206">
        <f t="shared" si="48"/>
        <v>7.2823344115704444E-2</v>
      </c>
    </row>
    <row r="400" spans="1:14">
      <c r="A400" s="197"/>
      <c r="B400" s="209"/>
      <c r="C400" s="203"/>
      <c r="E400" s="199"/>
      <c r="F400" s="200"/>
      <c r="G400" s="208"/>
      <c r="H400" s="205"/>
      <c r="I400" s="205"/>
      <c r="J400" s="199"/>
      <c r="K400" s="200"/>
      <c r="L400" s="208"/>
      <c r="M400" s="205"/>
      <c r="N400" s="206"/>
    </row>
    <row r="401" spans="2:14" ht="15" customHeight="1">
      <c r="B401" s="210" t="s">
        <v>1003</v>
      </c>
      <c r="C401" s="211"/>
      <c r="D401" s="212"/>
      <c r="E401" s="213">
        <f>SUM(E10 + E19 + E39 + E57 + E68 + E73 + E95 + E117 + E143 + E152 + E164 + E170 + E186 + E198 + E208 + E217 + E227 + E234 + E246 + E249 + E253 + E258 + E268 + E276 + E281 + E287 + E291 + E301 + E303 + E309 + E313 + E317 + E323 + E327 + E331 + E337 + E343 + E347 + E350 + E352 + E356 + E360 + E362 + E364 + E366 + E373 + E375 + E378 + E380 + E383 + E385 + E387 + E389 + E391 + E393 + E395 + E398)</f>
        <v>28490</v>
      </c>
      <c r="F401" s="213">
        <f>SUM(F10 + F19 + F39 + F57 + F68 + F73 + F95 + F117 + F143 + F152 + F164 + F170 + F186 + F198 + F208 + F217 + F227 + F234 + F246 + F249 + F253 + F258 + F268 + F276 + F281 + F287 + F291 + F301 + F303 + F309 + F313 + F317 + F323 + F327 + F331 + F337 + F343 + F347 + F350 + F352 + F356 + F360 + F362 + F364 + F366 + F373 + F375 + F378 + F380 + F383 + F385 + F387 + F389 + F391 + F393 + F395 + F398)</f>
        <v>26413</v>
      </c>
      <c r="G401" s="213"/>
      <c r="H401" s="214"/>
      <c r="I401" s="214"/>
      <c r="J401" s="213">
        <f>SUM(J10 + J19 + J39 + J57 + J68 + J73 + J95 + J117 + J143 + J152 + J164 + J170 + J186 + J198 + J208 + J217 + J227 + J234 + J246 + J249 + J253 + J258 + J268 + J276 + J281 + J287 + J291 + J301 + J303 + J309 + J313 + J317 + J323 + J327 + J331 + J337 + J343 + J347 + J350 + J352 + J356 + J360 + J362 + J364 + J366 + J373 + J375 + J378 + J380 + J383 + J385 + J387 + J389 + J391 + J393 + J395 + J398)</f>
        <v>112380</v>
      </c>
      <c r="K401" s="213">
        <f>SUM(K10 + K19 + K39 + K57 + K68 + K73 + K95 + K117 + K143 + K152 + K164 + K170 + K186 + K198 + K208 + K217 + K227 + K234 + K246 + K249 + K253 + K258 + K268 + K276 + K281 + K287 + K291 + K301 + K303 + K309 + K313 + K317 + K323 + K327 + K331 + K337 + K343 + K347 + K350 + K352 + K356 + K360 + K362 + K364 + K366 + K373 + K375 + K378 + K380 + K383 + K385 + K387 + K389 + K391 + K393 + K395 + K398)</f>
        <v>118094</v>
      </c>
      <c r="L401" s="213"/>
      <c r="M401" s="214"/>
      <c r="N401" s="210"/>
    </row>
    <row r="402" spans="2:14">
      <c r="B402" s="215" t="s">
        <v>1004</v>
      </c>
      <c r="C402" s="216"/>
      <c r="D402" s="212"/>
      <c r="E402" s="217">
        <f>CntPeriod-CntPeriodPrevYear</f>
        <v>2077</v>
      </c>
      <c r="F402" s="217"/>
      <c r="G402" s="218">
        <f>(CntPeriod/CntPeriodPrevYear)-100%</f>
        <v>7.8635520387687841E-2</v>
      </c>
      <c r="H402" s="219"/>
      <c r="I402" s="220"/>
      <c r="J402" s="221">
        <f>CntYearAck-CntPrevYearAck</f>
        <v>-5714</v>
      </c>
      <c r="K402" s="222"/>
      <c r="L402" s="223">
        <f>(CntYearAck/CntPrevYearAck)-100%</f>
        <v>-4.8385184683387816E-2</v>
      </c>
      <c r="M402" s="224"/>
      <c r="N402" s="224"/>
    </row>
    <row r="405" spans="2:14">
      <c r="B405" s="64" t="s">
        <v>1005</v>
      </c>
    </row>
    <row r="406" spans="2:14">
      <c r="B406" s="64" t="s">
        <v>1006</v>
      </c>
      <c r="C406" s="225"/>
      <c r="D406" s="226"/>
      <c r="E406" s="64"/>
      <c r="F406" s="64"/>
      <c r="G406" s="64"/>
      <c r="H406" s="64"/>
      <c r="I406" s="64"/>
      <c r="J406" s="64"/>
      <c r="K406" s="64"/>
      <c r="L406" s="64"/>
      <c r="M406" s="64"/>
    </row>
    <row r="407" spans="2:14">
      <c r="C407" s="225"/>
      <c r="D407" s="226"/>
      <c r="E407" s="64"/>
      <c r="F407" s="64"/>
      <c r="G407" s="64"/>
      <c r="H407" s="64"/>
      <c r="I407" s="64"/>
      <c r="J407" s="64"/>
      <c r="K407" s="64"/>
      <c r="L407" s="64"/>
      <c r="M407" s="64"/>
    </row>
    <row r="408" spans="2:14">
      <c r="C408" s="225"/>
      <c r="D408" s="226"/>
      <c r="E408" s="64"/>
      <c r="F408" s="64"/>
      <c r="G408" s="64"/>
      <c r="H408" s="64"/>
      <c r="I408" s="64"/>
      <c r="J408" s="64"/>
      <c r="K408" s="64"/>
      <c r="L408" s="64"/>
      <c r="M408" s="64"/>
    </row>
    <row r="409" spans="2:14">
      <c r="B409" s="64" t="s">
        <v>705</v>
      </c>
      <c r="C409" s="225"/>
      <c r="D409" s="226"/>
      <c r="E409" s="64"/>
      <c r="F409" s="64"/>
      <c r="G409" s="64"/>
      <c r="H409" s="64"/>
      <c r="I409" s="64"/>
      <c r="J409" s="64"/>
      <c r="K409" s="64"/>
      <c r="L409" s="64"/>
      <c r="M409" s="64"/>
    </row>
    <row r="410" spans="2:14">
      <c r="C410" s="225"/>
      <c r="D410" s="226"/>
      <c r="E410" s="64"/>
      <c r="F410" s="64"/>
      <c r="G410" s="64"/>
      <c r="H410" s="64"/>
      <c r="I410" s="64"/>
      <c r="J410" s="64"/>
      <c r="K410" s="64"/>
      <c r="L410" s="64"/>
      <c r="M410" s="64"/>
    </row>
  </sheetData>
  <mergeCells count="10">
    <mergeCell ref="A7:D7"/>
    <mergeCell ref="E7:I7"/>
    <mergeCell ref="J7:N7"/>
    <mergeCell ref="E8:F8"/>
    <mergeCell ref="H8:I8"/>
    <mergeCell ref="J8:K8"/>
    <mergeCell ref="M8:N8"/>
    <mergeCell ref="E1:N1"/>
    <mergeCell ref="E6:I6"/>
    <mergeCell ref="J6:N6"/>
  </mergeCells>
  <conditionalFormatting sqref="E402:H402 J402:L402">
    <cfRule type="cellIs" dxfId="9" priority="3" stopIfTrue="1" operator="lessThan">
      <formula>0</formula>
    </cfRule>
  </conditionalFormatting>
  <conditionalFormatting sqref="G10:G400 L10:L400">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2" id="{8FB330AB-EFCE-44C9-B179-06A2D844EC62}">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C411:C1048576 C1:C5 C8:C405</xm:sqref>
        </x14:conditionalFormatting>
        <x14:conditionalFormatting xmlns:xm="http://schemas.microsoft.com/office/excel/2006/main">
          <x14:cfRule type="iconSet" priority="1" id="{B2436D8F-A88F-468E-93A4-1D0724B26E04}">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C406:C410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8" activePane="bottomLeft" state="frozen"/>
      <selection activeCell="D49" sqref="D49"/>
      <selection pane="bottomLeft" activeCell="K19" sqref="K19"/>
    </sheetView>
  </sheetViews>
  <sheetFormatPr baseColWidth="10" defaultColWidth="8.83203125" defaultRowHeight="15"/>
  <cols>
    <col min="1" max="1" width="24.33203125" customWidth="1"/>
    <col min="2" max="5" width="13.6640625" style="5" customWidth="1"/>
    <col min="6" max="9" width="12.6640625" style="12" customWidth="1"/>
  </cols>
  <sheetData>
    <row r="1" spans="1:9">
      <c r="B1"/>
      <c r="C1"/>
      <c r="D1"/>
      <c r="E1"/>
      <c r="F1"/>
      <c r="G1"/>
      <c r="H1"/>
      <c r="I1"/>
    </row>
    <row r="2" spans="1:9" ht="19.25" customHeight="1" thickBot="1">
      <c r="B2" s="60" t="s">
        <v>477</v>
      </c>
      <c r="C2" s="60"/>
      <c r="D2" s="60"/>
      <c r="E2" s="60"/>
      <c r="F2" s="60"/>
      <c r="G2" s="60"/>
      <c r="H2"/>
      <c r="I2"/>
    </row>
    <row r="4" spans="1:9">
      <c r="A4" s="59" t="s">
        <v>478</v>
      </c>
      <c r="B4" s="24"/>
      <c r="C4" s="71"/>
      <c r="D4" s="71"/>
      <c r="E4" s="24"/>
      <c r="F4" s="245" t="s">
        <v>473</v>
      </c>
      <c r="G4" s="245"/>
      <c r="H4" s="245"/>
      <c r="I4" s="245"/>
    </row>
    <row r="5" spans="1:9">
      <c r="A5" s="117"/>
      <c r="B5" s="265" t="s">
        <v>560</v>
      </c>
      <c r="C5" s="266"/>
      <c r="D5" s="265" t="s">
        <v>560</v>
      </c>
      <c r="E5" s="266"/>
      <c r="F5" s="267" t="s">
        <v>561</v>
      </c>
      <c r="G5" s="268"/>
      <c r="H5" s="269" t="s">
        <v>562</v>
      </c>
      <c r="I5" s="270"/>
    </row>
    <row r="6" spans="1:9">
      <c r="A6" s="117" t="s">
        <v>587</v>
      </c>
      <c r="B6" s="118" t="str">
        <f>Innehåll!D79</f>
        <v xml:space="preserve"> 2023-05</v>
      </c>
      <c r="C6" s="118" t="str">
        <f>Innehåll!D80</f>
        <v xml:space="preserve"> 2022-05</v>
      </c>
      <c r="D6" s="118" t="str">
        <f>Innehåll!D81</f>
        <v>YTD  2023</v>
      </c>
      <c r="E6" s="118" t="str">
        <f>Innehåll!D82</f>
        <v>YTD  2022</v>
      </c>
      <c r="F6" s="119" t="str">
        <f>B6</f>
        <v xml:space="preserve"> 2023-05</v>
      </c>
      <c r="G6" s="120" t="str">
        <f>D6</f>
        <v>YTD  2023</v>
      </c>
      <c r="H6" s="121" t="str">
        <f>D6</f>
        <v>YTD  2023</v>
      </c>
      <c r="I6" s="121" t="str">
        <f>E6</f>
        <v>YTD  2022</v>
      </c>
    </row>
    <row r="7" spans="1:9" hidden="1">
      <c r="A7" s="182" t="s">
        <v>338</v>
      </c>
      <c r="B7" s="152" t="s">
        <v>317</v>
      </c>
      <c r="C7" s="152" t="s">
        <v>318</v>
      </c>
      <c r="D7" s="152" t="s">
        <v>319</v>
      </c>
      <c r="E7" s="152" t="s">
        <v>320</v>
      </c>
      <c r="F7" s="152" t="s">
        <v>333</v>
      </c>
      <c r="G7" s="152" t="s">
        <v>334</v>
      </c>
      <c r="H7" s="152" t="s">
        <v>321</v>
      </c>
      <c r="I7" s="152" t="s">
        <v>322</v>
      </c>
    </row>
    <row r="8" spans="1:9">
      <c r="A8" s="183" t="s">
        <v>1048</v>
      </c>
      <c r="B8" s="159">
        <v>371</v>
      </c>
      <c r="C8" s="159">
        <v>472</v>
      </c>
      <c r="D8" s="159">
        <v>1151</v>
      </c>
      <c r="E8" s="159">
        <v>1559</v>
      </c>
      <c r="F8" s="161">
        <v>-21.398305084745765</v>
      </c>
      <c r="G8" s="161">
        <v>-26.170622193713921</v>
      </c>
      <c r="H8" s="161">
        <v>1.02</v>
      </c>
      <c r="I8" s="161">
        <v>1.3299999999999998</v>
      </c>
    </row>
    <row r="9" spans="1:9">
      <c r="A9" s="184" t="s">
        <v>267</v>
      </c>
      <c r="B9" s="159">
        <v>35</v>
      </c>
      <c r="C9" s="159">
        <v>4</v>
      </c>
      <c r="D9" s="159">
        <v>165</v>
      </c>
      <c r="E9" s="159">
        <v>31</v>
      </c>
      <c r="F9" s="161">
        <v>775</v>
      </c>
      <c r="G9" s="161">
        <v>432.25806451612902</v>
      </c>
      <c r="H9" s="161">
        <v>0.15</v>
      </c>
      <c r="I9" s="161">
        <v>0.03</v>
      </c>
    </row>
    <row r="10" spans="1:9">
      <c r="A10" s="184" t="s">
        <v>274</v>
      </c>
      <c r="B10" s="159">
        <v>284</v>
      </c>
      <c r="C10" s="159">
        <v>424</v>
      </c>
      <c r="D10" s="159">
        <v>902</v>
      </c>
      <c r="E10" s="159">
        <v>1343</v>
      </c>
      <c r="F10" s="161">
        <v>-33.018867924528301</v>
      </c>
      <c r="G10" s="161">
        <v>-32.836932241250935</v>
      </c>
      <c r="H10" s="161">
        <v>0.8</v>
      </c>
      <c r="I10" s="161">
        <v>1.1399999999999999</v>
      </c>
    </row>
    <row r="11" spans="1:9">
      <c r="A11" s="184" t="s">
        <v>280</v>
      </c>
      <c r="B11" s="159">
        <v>52</v>
      </c>
      <c r="C11" s="159">
        <v>44</v>
      </c>
      <c r="D11" s="159">
        <v>84</v>
      </c>
      <c r="E11" s="159">
        <v>185</v>
      </c>
      <c r="F11" s="161">
        <v>18.181818181818183</v>
      </c>
      <c r="G11" s="161">
        <v>-54.594594594594589</v>
      </c>
      <c r="H11" s="161">
        <v>7.0000000000000007E-2</v>
      </c>
      <c r="I11" s="161">
        <v>0.16</v>
      </c>
    </row>
    <row r="12" spans="1:9">
      <c r="A12" s="183" t="s">
        <v>323</v>
      </c>
      <c r="B12" s="159">
        <v>30</v>
      </c>
      <c r="C12" s="159">
        <v>102</v>
      </c>
      <c r="D12" s="159">
        <v>175</v>
      </c>
      <c r="E12" s="159">
        <v>290</v>
      </c>
      <c r="F12" s="161">
        <v>-70.588235294117652</v>
      </c>
      <c r="G12" s="161">
        <v>-39.655172413793103</v>
      </c>
      <c r="H12" s="161">
        <v>0.15</v>
      </c>
      <c r="I12" s="161">
        <v>0.24</v>
      </c>
    </row>
    <row r="13" spans="1:9">
      <c r="A13" s="184" t="s">
        <v>279</v>
      </c>
      <c r="B13" s="159">
        <v>1</v>
      </c>
      <c r="C13" s="159">
        <v>35</v>
      </c>
      <c r="D13" s="159">
        <v>27</v>
      </c>
      <c r="E13" s="159">
        <v>61</v>
      </c>
      <c r="F13" s="161">
        <v>-97.142857142857139</v>
      </c>
      <c r="G13" s="161">
        <v>-55.737704918032783</v>
      </c>
      <c r="H13" s="161">
        <v>0.02</v>
      </c>
      <c r="I13" s="161">
        <v>0.05</v>
      </c>
    </row>
    <row r="14" spans="1:9">
      <c r="A14" s="184" t="s">
        <v>283</v>
      </c>
      <c r="B14" s="159">
        <v>29</v>
      </c>
      <c r="C14" s="159">
        <v>67</v>
      </c>
      <c r="D14" s="159">
        <v>148</v>
      </c>
      <c r="E14" s="159">
        <v>229</v>
      </c>
      <c r="F14" s="161">
        <v>-56.71641791044776</v>
      </c>
      <c r="G14" s="161">
        <v>-35.37117903930131</v>
      </c>
      <c r="H14" s="161">
        <v>0.13</v>
      </c>
      <c r="I14" s="161">
        <v>0.19</v>
      </c>
    </row>
    <row r="15" spans="1:9">
      <c r="A15" s="183" t="s">
        <v>324</v>
      </c>
      <c r="B15" s="159">
        <v>1638</v>
      </c>
      <c r="C15" s="159">
        <v>1750</v>
      </c>
      <c r="D15" s="159">
        <v>7399</v>
      </c>
      <c r="E15" s="159">
        <v>8689</v>
      </c>
      <c r="F15" s="161">
        <v>-6.4</v>
      </c>
      <c r="G15" s="161">
        <v>-14.846357463459547</v>
      </c>
      <c r="H15" s="161">
        <v>6.58</v>
      </c>
      <c r="I15" s="161">
        <v>7.36</v>
      </c>
    </row>
    <row r="16" spans="1:9">
      <c r="A16" s="184" t="s">
        <v>270</v>
      </c>
      <c r="B16" s="159">
        <v>1434</v>
      </c>
      <c r="C16" s="159">
        <v>1401</v>
      </c>
      <c r="D16" s="159">
        <v>6506</v>
      </c>
      <c r="E16" s="159">
        <v>7519</v>
      </c>
      <c r="F16" s="161">
        <v>2.3554603854389722</v>
      </c>
      <c r="G16" s="161">
        <v>-13.47253624152148</v>
      </c>
      <c r="H16" s="161">
        <v>5.79</v>
      </c>
      <c r="I16" s="161">
        <v>6.37</v>
      </c>
    </row>
    <row r="17" spans="1:9">
      <c r="A17" s="184" t="s">
        <v>288</v>
      </c>
      <c r="B17" s="159">
        <v>204</v>
      </c>
      <c r="C17" s="159">
        <v>349</v>
      </c>
      <c r="D17" s="159">
        <v>893</v>
      </c>
      <c r="E17" s="159">
        <v>1170</v>
      </c>
      <c r="F17" s="161">
        <v>-41.54727793696275</v>
      </c>
      <c r="G17" s="161">
        <v>-23.675213675213673</v>
      </c>
      <c r="H17" s="161">
        <v>0.79</v>
      </c>
      <c r="I17" s="161">
        <v>0.99</v>
      </c>
    </row>
    <row r="18" spans="1:9">
      <c r="A18" s="183" t="s">
        <v>1101</v>
      </c>
      <c r="B18" s="159">
        <v>0</v>
      </c>
      <c r="C18" s="159">
        <v>1</v>
      </c>
      <c r="D18" s="159">
        <v>7</v>
      </c>
      <c r="E18" s="159">
        <v>2</v>
      </c>
      <c r="F18" s="161">
        <v>-100</v>
      </c>
      <c r="G18" s="161">
        <v>250</v>
      </c>
      <c r="H18" s="161">
        <v>0.01</v>
      </c>
      <c r="I18" s="161">
        <v>0</v>
      </c>
    </row>
    <row r="19" spans="1:9">
      <c r="A19" s="184" t="s">
        <v>698</v>
      </c>
      <c r="B19" s="159">
        <v>0</v>
      </c>
      <c r="C19" s="159">
        <v>1</v>
      </c>
      <c r="D19" s="159">
        <v>7</v>
      </c>
      <c r="E19" s="159">
        <v>2</v>
      </c>
      <c r="F19" s="161">
        <v>-100</v>
      </c>
      <c r="G19" s="161">
        <v>250</v>
      </c>
      <c r="H19" s="161">
        <v>0.01</v>
      </c>
      <c r="I19" s="161">
        <v>0</v>
      </c>
    </row>
    <row r="20" spans="1:9">
      <c r="A20" s="183" t="s">
        <v>1089</v>
      </c>
      <c r="B20" s="159">
        <v>2713</v>
      </c>
      <c r="C20" s="159">
        <v>2689</v>
      </c>
      <c r="D20" s="159">
        <v>9988</v>
      </c>
      <c r="E20" s="159">
        <v>10632</v>
      </c>
      <c r="F20" s="161">
        <v>0.89252510226850124</v>
      </c>
      <c r="G20" s="161">
        <v>-6.0571858540255832</v>
      </c>
      <c r="H20" s="161">
        <v>8.8899999999999988</v>
      </c>
      <c r="I20" s="161">
        <v>9.01</v>
      </c>
    </row>
    <row r="21" spans="1:9">
      <c r="A21" s="184" t="s">
        <v>273</v>
      </c>
      <c r="B21" s="159">
        <v>249</v>
      </c>
      <c r="C21" s="159">
        <v>257</v>
      </c>
      <c r="D21" s="159">
        <v>1289</v>
      </c>
      <c r="E21" s="159">
        <v>1310</v>
      </c>
      <c r="F21" s="161">
        <v>-3.1128404669260701</v>
      </c>
      <c r="G21" s="161">
        <v>-1.6030534351145038</v>
      </c>
      <c r="H21" s="161">
        <v>1.1499999999999999</v>
      </c>
      <c r="I21" s="161">
        <v>1.1100000000000001</v>
      </c>
    </row>
    <row r="22" spans="1:9">
      <c r="A22" s="184" t="s">
        <v>275</v>
      </c>
      <c r="B22" s="159">
        <v>786</v>
      </c>
      <c r="C22" s="159">
        <v>1290</v>
      </c>
      <c r="D22" s="159">
        <v>2981</v>
      </c>
      <c r="E22" s="159">
        <v>4479</v>
      </c>
      <c r="F22" s="161">
        <v>-39.069767441860463</v>
      </c>
      <c r="G22" s="161">
        <v>-33.444965394061178</v>
      </c>
      <c r="H22" s="161">
        <v>2.65</v>
      </c>
      <c r="I22" s="161">
        <v>3.79</v>
      </c>
    </row>
    <row r="23" spans="1:9">
      <c r="A23" s="184" t="s">
        <v>295</v>
      </c>
      <c r="B23" s="159">
        <v>473</v>
      </c>
      <c r="C23" s="159">
        <v>388</v>
      </c>
      <c r="D23" s="159">
        <v>2150</v>
      </c>
      <c r="E23" s="159">
        <v>2468</v>
      </c>
      <c r="F23" s="161">
        <v>21.907216494845361</v>
      </c>
      <c r="G23" s="161">
        <v>-12.884927066450565</v>
      </c>
      <c r="H23" s="161">
        <v>1.91</v>
      </c>
      <c r="I23" s="161">
        <v>2.09</v>
      </c>
    </row>
    <row r="24" spans="1:9">
      <c r="A24" s="184" t="s">
        <v>577</v>
      </c>
      <c r="B24" s="159">
        <v>0</v>
      </c>
      <c r="C24" s="159">
        <v>0</v>
      </c>
      <c r="D24" s="159">
        <v>2</v>
      </c>
      <c r="E24" s="159">
        <v>6</v>
      </c>
      <c r="F24" s="161">
        <v>0</v>
      </c>
      <c r="G24" s="161">
        <v>-66.666666666666657</v>
      </c>
      <c r="H24" s="161">
        <v>0</v>
      </c>
      <c r="I24" s="161">
        <v>0.01</v>
      </c>
    </row>
    <row r="25" spans="1:9">
      <c r="A25" s="184" t="s">
        <v>616</v>
      </c>
      <c r="B25" s="159">
        <v>1056</v>
      </c>
      <c r="C25" s="159">
        <v>754</v>
      </c>
      <c r="D25" s="159">
        <v>3122</v>
      </c>
      <c r="E25" s="159">
        <v>2369</v>
      </c>
      <c r="F25" s="161">
        <v>40.053050397877982</v>
      </c>
      <c r="G25" s="161">
        <v>31.785563528915155</v>
      </c>
      <c r="H25" s="161">
        <v>2.78</v>
      </c>
      <c r="I25" s="161">
        <v>2.0099999999999998</v>
      </c>
    </row>
    <row r="26" spans="1:9">
      <c r="A26" s="184" t="s">
        <v>701</v>
      </c>
      <c r="B26" s="159">
        <v>145</v>
      </c>
      <c r="C26" s="159">
        <v>0</v>
      </c>
      <c r="D26" s="159">
        <v>415</v>
      </c>
      <c r="E26" s="159">
        <v>0</v>
      </c>
      <c r="F26" s="161">
        <v>0</v>
      </c>
      <c r="G26" s="161">
        <v>0</v>
      </c>
      <c r="H26" s="161">
        <v>0.37</v>
      </c>
      <c r="I26" s="161">
        <v>0</v>
      </c>
    </row>
    <row r="27" spans="1:9">
      <c r="A27" s="184" t="s">
        <v>1086</v>
      </c>
      <c r="B27" s="159">
        <v>4</v>
      </c>
      <c r="C27" s="159">
        <v>0</v>
      </c>
      <c r="D27" s="159">
        <v>29</v>
      </c>
      <c r="E27" s="159">
        <v>0</v>
      </c>
      <c r="F27" s="161">
        <v>0</v>
      </c>
      <c r="G27" s="161">
        <v>0</v>
      </c>
      <c r="H27" s="161">
        <v>0.03</v>
      </c>
      <c r="I27" s="161">
        <v>0</v>
      </c>
    </row>
    <row r="28" spans="1:9">
      <c r="A28" s="183" t="s">
        <v>325</v>
      </c>
      <c r="B28" s="159">
        <v>61</v>
      </c>
      <c r="C28" s="159">
        <v>180</v>
      </c>
      <c r="D28" s="159">
        <v>266</v>
      </c>
      <c r="E28" s="159">
        <v>630</v>
      </c>
      <c r="F28" s="161">
        <v>-66.111111111111114</v>
      </c>
      <c r="G28" s="161">
        <v>-57.777777777777771</v>
      </c>
      <c r="H28" s="161">
        <v>0.24</v>
      </c>
      <c r="I28" s="161">
        <v>0.53</v>
      </c>
    </row>
    <row r="29" spans="1:9">
      <c r="A29" s="184" t="s">
        <v>276</v>
      </c>
      <c r="B29" s="159">
        <v>61</v>
      </c>
      <c r="C29" s="159">
        <v>180</v>
      </c>
      <c r="D29" s="159">
        <v>266</v>
      </c>
      <c r="E29" s="159">
        <v>630</v>
      </c>
      <c r="F29" s="161">
        <v>-66.111111111111114</v>
      </c>
      <c r="G29" s="161">
        <v>-57.777777777777771</v>
      </c>
      <c r="H29" s="161">
        <v>0.24</v>
      </c>
      <c r="I29" s="161">
        <v>0.53</v>
      </c>
    </row>
    <row r="30" spans="1:9">
      <c r="A30" s="183" t="s">
        <v>481</v>
      </c>
      <c r="B30" s="159">
        <v>459</v>
      </c>
      <c r="C30" s="159">
        <v>552</v>
      </c>
      <c r="D30" s="159">
        <v>2114</v>
      </c>
      <c r="E30" s="159">
        <v>2488</v>
      </c>
      <c r="F30" s="161">
        <v>-16.847826086956523</v>
      </c>
      <c r="G30" s="161">
        <v>-15.032154340836012</v>
      </c>
      <c r="H30" s="161">
        <v>1.88</v>
      </c>
      <c r="I30" s="161">
        <v>2.11</v>
      </c>
    </row>
    <row r="31" spans="1:9">
      <c r="A31" s="184" t="s">
        <v>277</v>
      </c>
      <c r="B31" s="159">
        <v>459</v>
      </c>
      <c r="C31" s="159">
        <v>552</v>
      </c>
      <c r="D31" s="159">
        <v>2114</v>
      </c>
      <c r="E31" s="159">
        <v>2488</v>
      </c>
      <c r="F31" s="161">
        <v>-16.847826086956523</v>
      </c>
      <c r="G31" s="161">
        <v>-15.032154340836012</v>
      </c>
      <c r="H31" s="161">
        <v>1.88</v>
      </c>
      <c r="I31" s="161">
        <v>2.11</v>
      </c>
    </row>
    <row r="32" spans="1:9">
      <c r="A32" s="183" t="s">
        <v>1060</v>
      </c>
      <c r="B32" s="159">
        <v>272</v>
      </c>
      <c r="C32" s="159">
        <v>248</v>
      </c>
      <c r="D32" s="159">
        <v>1202</v>
      </c>
      <c r="E32" s="159">
        <v>994</v>
      </c>
      <c r="F32" s="161">
        <v>9.67741935483871</v>
      </c>
      <c r="G32" s="161">
        <v>20.925553319919519</v>
      </c>
      <c r="H32" s="161">
        <v>1.07</v>
      </c>
      <c r="I32" s="161">
        <v>0.84</v>
      </c>
    </row>
    <row r="33" spans="1:9">
      <c r="A33" s="184" t="s">
        <v>298</v>
      </c>
      <c r="B33" s="159">
        <v>260</v>
      </c>
      <c r="C33" s="159">
        <v>248</v>
      </c>
      <c r="D33" s="159">
        <v>1150</v>
      </c>
      <c r="E33" s="159">
        <v>994</v>
      </c>
      <c r="F33" s="161">
        <v>4.838709677419355</v>
      </c>
      <c r="G33" s="161">
        <v>15.694164989939638</v>
      </c>
      <c r="H33" s="161">
        <v>1.02</v>
      </c>
      <c r="I33" s="161">
        <v>0.84</v>
      </c>
    </row>
    <row r="34" spans="1:9">
      <c r="A34" s="184" t="s">
        <v>1073</v>
      </c>
      <c r="B34" s="159">
        <v>12</v>
      </c>
      <c r="C34" s="159">
        <v>0</v>
      </c>
      <c r="D34" s="159">
        <v>52</v>
      </c>
      <c r="E34" s="159">
        <v>0</v>
      </c>
      <c r="F34" s="161">
        <v>0</v>
      </c>
      <c r="G34" s="161">
        <v>0</v>
      </c>
      <c r="H34" s="161">
        <v>0.05</v>
      </c>
      <c r="I34" s="161">
        <v>0</v>
      </c>
    </row>
    <row r="35" spans="1:9">
      <c r="A35" s="183" t="s">
        <v>278</v>
      </c>
      <c r="B35" s="159">
        <v>4</v>
      </c>
      <c r="C35" s="159">
        <v>5</v>
      </c>
      <c r="D35" s="159">
        <v>17</v>
      </c>
      <c r="E35" s="159">
        <v>17</v>
      </c>
      <c r="F35" s="161">
        <v>-20</v>
      </c>
      <c r="G35" s="161">
        <v>0</v>
      </c>
      <c r="H35" s="161">
        <v>0.02</v>
      </c>
      <c r="I35" s="161">
        <v>0.01</v>
      </c>
    </row>
    <row r="36" spans="1:9">
      <c r="A36" s="184" t="s">
        <v>278</v>
      </c>
      <c r="B36" s="159">
        <v>4</v>
      </c>
      <c r="C36" s="159">
        <v>5</v>
      </c>
      <c r="D36" s="159">
        <v>17</v>
      </c>
      <c r="E36" s="159">
        <v>17</v>
      </c>
      <c r="F36" s="161">
        <v>-20</v>
      </c>
      <c r="G36" s="161">
        <v>0</v>
      </c>
      <c r="H36" s="161">
        <v>0.02</v>
      </c>
      <c r="I36" s="161">
        <v>0.01</v>
      </c>
    </row>
    <row r="37" spans="1:9">
      <c r="A37" s="183" t="s">
        <v>579</v>
      </c>
      <c r="B37" s="159">
        <v>2065</v>
      </c>
      <c r="C37" s="159">
        <v>2825</v>
      </c>
      <c r="D37" s="159">
        <v>9306</v>
      </c>
      <c r="E37" s="159">
        <v>13445</v>
      </c>
      <c r="F37" s="161">
        <v>-26.902654867256636</v>
      </c>
      <c r="G37" s="161">
        <v>-30.784678319077724</v>
      </c>
      <c r="H37" s="161">
        <v>8.2799999999999994</v>
      </c>
      <c r="I37" s="161">
        <v>11.38</v>
      </c>
    </row>
    <row r="38" spans="1:9">
      <c r="A38" s="184" t="s">
        <v>281</v>
      </c>
      <c r="B38" s="159">
        <v>2065</v>
      </c>
      <c r="C38" s="159">
        <v>2825</v>
      </c>
      <c r="D38" s="159">
        <v>9306</v>
      </c>
      <c r="E38" s="159">
        <v>13445</v>
      </c>
      <c r="F38" s="161">
        <v>-26.902654867256636</v>
      </c>
      <c r="G38" s="161">
        <v>-30.784678319077724</v>
      </c>
      <c r="H38" s="161">
        <v>8.2799999999999994</v>
      </c>
      <c r="I38" s="161">
        <v>11.38</v>
      </c>
    </row>
    <row r="39" spans="1:9">
      <c r="A39" s="183" t="s">
        <v>480</v>
      </c>
      <c r="B39" s="159">
        <v>1518</v>
      </c>
      <c r="C39" s="159">
        <v>1725</v>
      </c>
      <c r="D39" s="159">
        <v>5963</v>
      </c>
      <c r="E39" s="159">
        <v>6582</v>
      </c>
      <c r="F39" s="161">
        <v>-12</v>
      </c>
      <c r="G39" s="161">
        <v>-9.4044363415375276</v>
      </c>
      <c r="H39" s="161">
        <v>5.31</v>
      </c>
      <c r="I39" s="161">
        <v>5.57</v>
      </c>
    </row>
    <row r="40" spans="1:9">
      <c r="A40" s="184" t="s">
        <v>272</v>
      </c>
      <c r="B40" s="159">
        <v>312</v>
      </c>
      <c r="C40" s="159">
        <v>547</v>
      </c>
      <c r="D40" s="159">
        <v>1361</v>
      </c>
      <c r="E40" s="159">
        <v>1393</v>
      </c>
      <c r="F40" s="161">
        <v>-42.961608775137108</v>
      </c>
      <c r="G40" s="161">
        <v>-2.2972002871500359</v>
      </c>
      <c r="H40" s="161">
        <v>1.21</v>
      </c>
      <c r="I40" s="161">
        <v>1.18</v>
      </c>
    </row>
    <row r="41" spans="1:9">
      <c r="A41" s="184" t="s">
        <v>305</v>
      </c>
      <c r="B41" s="159">
        <v>77</v>
      </c>
      <c r="C41" s="159">
        <v>63</v>
      </c>
      <c r="D41" s="159">
        <v>200</v>
      </c>
      <c r="E41" s="159">
        <v>230</v>
      </c>
      <c r="F41" s="161">
        <v>22.222222222222221</v>
      </c>
      <c r="G41" s="161">
        <v>-13.043478260869565</v>
      </c>
      <c r="H41" s="161">
        <v>0.18</v>
      </c>
      <c r="I41" s="161">
        <v>0.19</v>
      </c>
    </row>
    <row r="42" spans="1:9">
      <c r="A42" s="184" t="s">
        <v>292</v>
      </c>
      <c r="B42" s="159">
        <v>392</v>
      </c>
      <c r="C42" s="159">
        <v>123</v>
      </c>
      <c r="D42" s="159">
        <v>1123</v>
      </c>
      <c r="E42" s="159">
        <v>1485</v>
      </c>
      <c r="F42" s="161">
        <v>218.69918699186991</v>
      </c>
      <c r="G42" s="161">
        <v>-24.377104377104377</v>
      </c>
      <c r="H42" s="161">
        <v>1</v>
      </c>
      <c r="I42" s="161">
        <v>1.26</v>
      </c>
    </row>
    <row r="43" spans="1:9">
      <c r="A43" s="184" t="s">
        <v>293</v>
      </c>
      <c r="B43" s="159">
        <v>737</v>
      </c>
      <c r="C43" s="159">
        <v>992</v>
      </c>
      <c r="D43" s="159">
        <v>3279</v>
      </c>
      <c r="E43" s="159">
        <v>3474</v>
      </c>
      <c r="F43" s="161">
        <v>-25.705645161290324</v>
      </c>
      <c r="G43" s="161">
        <v>-5.6131260794473237</v>
      </c>
      <c r="H43" s="161">
        <v>2.92</v>
      </c>
      <c r="I43" s="161">
        <v>2.94</v>
      </c>
    </row>
    <row r="44" spans="1:9">
      <c r="A44" s="183" t="s">
        <v>657</v>
      </c>
      <c r="B44" s="159">
        <v>67</v>
      </c>
      <c r="C44" s="159">
        <v>55</v>
      </c>
      <c r="D44" s="159">
        <v>277</v>
      </c>
      <c r="E44" s="159">
        <v>272</v>
      </c>
      <c r="F44" s="161">
        <v>21.818181818181817</v>
      </c>
      <c r="G44" s="161">
        <v>1.8382352941176472</v>
      </c>
      <c r="H44" s="161">
        <v>0.25</v>
      </c>
      <c r="I44" s="161">
        <v>0.23</v>
      </c>
    </row>
    <row r="45" spans="1:9">
      <c r="A45" s="184" t="s">
        <v>289</v>
      </c>
      <c r="B45" s="159">
        <v>67</v>
      </c>
      <c r="C45" s="159">
        <v>55</v>
      </c>
      <c r="D45" s="159">
        <v>277</v>
      </c>
      <c r="E45" s="159">
        <v>272</v>
      </c>
      <c r="F45" s="161">
        <v>21.818181818181817</v>
      </c>
      <c r="G45" s="161">
        <v>1.8382352941176472</v>
      </c>
      <c r="H45" s="161">
        <v>0.25</v>
      </c>
      <c r="I45" s="161">
        <v>0.23</v>
      </c>
    </row>
    <row r="46" spans="1:9">
      <c r="A46" s="183" t="s">
        <v>1139</v>
      </c>
      <c r="B46" s="159">
        <v>0</v>
      </c>
      <c r="C46" s="159">
        <v>2</v>
      </c>
      <c r="D46" s="159">
        <v>1</v>
      </c>
      <c r="E46" s="159">
        <v>3</v>
      </c>
      <c r="F46" s="161">
        <v>-100</v>
      </c>
      <c r="G46" s="161">
        <v>-66.666666666666657</v>
      </c>
      <c r="H46" s="161">
        <v>0</v>
      </c>
      <c r="I46" s="161">
        <v>0</v>
      </c>
    </row>
    <row r="47" spans="1:9">
      <c r="A47" s="184" t="s">
        <v>1139</v>
      </c>
      <c r="B47" s="159">
        <v>0</v>
      </c>
      <c r="C47" s="159">
        <v>2</v>
      </c>
      <c r="D47" s="159">
        <v>1</v>
      </c>
      <c r="E47" s="159">
        <v>3</v>
      </c>
      <c r="F47" s="161">
        <v>-100</v>
      </c>
      <c r="G47" s="161">
        <v>-66.666666666666657</v>
      </c>
      <c r="H47" s="161">
        <v>0</v>
      </c>
      <c r="I47" s="161">
        <v>0</v>
      </c>
    </row>
    <row r="48" spans="1:9">
      <c r="A48" s="183" t="s">
        <v>326</v>
      </c>
      <c r="B48" s="159">
        <v>118</v>
      </c>
      <c r="C48" s="159">
        <v>173</v>
      </c>
      <c r="D48" s="159">
        <v>426</v>
      </c>
      <c r="E48" s="159">
        <v>854</v>
      </c>
      <c r="F48" s="161">
        <v>-31.79190751445087</v>
      </c>
      <c r="G48" s="161">
        <v>-50.11709601873536</v>
      </c>
      <c r="H48" s="161">
        <v>0.38</v>
      </c>
      <c r="I48" s="161">
        <v>0.72</v>
      </c>
    </row>
    <row r="49" spans="1:9">
      <c r="A49" s="184" t="s">
        <v>299</v>
      </c>
      <c r="B49" s="159">
        <v>118</v>
      </c>
      <c r="C49" s="159">
        <v>173</v>
      </c>
      <c r="D49" s="159">
        <v>426</v>
      </c>
      <c r="E49" s="159">
        <v>854</v>
      </c>
      <c r="F49" s="161">
        <v>-31.79190751445087</v>
      </c>
      <c r="G49" s="161">
        <v>-50.11709601873536</v>
      </c>
      <c r="H49" s="161">
        <v>0.38</v>
      </c>
      <c r="I49" s="161">
        <v>0.72</v>
      </c>
    </row>
    <row r="50" spans="1:9">
      <c r="A50" s="183" t="s">
        <v>599</v>
      </c>
      <c r="B50" s="159">
        <v>206</v>
      </c>
      <c r="C50" s="159">
        <v>296</v>
      </c>
      <c r="D50" s="159">
        <v>786</v>
      </c>
      <c r="E50" s="159">
        <v>958</v>
      </c>
      <c r="F50" s="161">
        <v>-30.405405405405407</v>
      </c>
      <c r="G50" s="161">
        <v>-17.954070981210858</v>
      </c>
      <c r="H50" s="161">
        <v>0.7</v>
      </c>
      <c r="I50" s="161">
        <v>0.81</v>
      </c>
    </row>
    <row r="51" spans="1:9">
      <c r="A51" s="184" t="s">
        <v>599</v>
      </c>
      <c r="B51" s="159">
        <v>206</v>
      </c>
      <c r="C51" s="159">
        <v>296</v>
      </c>
      <c r="D51" s="159">
        <v>786</v>
      </c>
      <c r="E51" s="159">
        <v>958</v>
      </c>
      <c r="F51" s="161">
        <v>-30.405405405405407</v>
      </c>
      <c r="G51" s="161">
        <v>-17.954070981210858</v>
      </c>
      <c r="H51" s="161">
        <v>0.7</v>
      </c>
      <c r="I51" s="161">
        <v>0.81</v>
      </c>
    </row>
    <row r="52" spans="1:9">
      <c r="A52" s="183" t="s">
        <v>327</v>
      </c>
      <c r="B52" s="159">
        <v>129</v>
      </c>
      <c r="C52" s="159">
        <v>199</v>
      </c>
      <c r="D52" s="159">
        <v>1778</v>
      </c>
      <c r="E52" s="159">
        <v>648</v>
      </c>
      <c r="F52" s="161">
        <v>-35.175879396984925</v>
      </c>
      <c r="G52" s="161">
        <v>174.38271604938271</v>
      </c>
      <c r="H52" s="161">
        <v>1.58</v>
      </c>
      <c r="I52" s="161">
        <v>0.55000000000000004</v>
      </c>
    </row>
    <row r="53" spans="1:9">
      <c r="A53" s="184" t="s">
        <v>286</v>
      </c>
      <c r="B53" s="159">
        <v>129</v>
      </c>
      <c r="C53" s="159">
        <v>199</v>
      </c>
      <c r="D53" s="159">
        <v>1778</v>
      </c>
      <c r="E53" s="159">
        <v>648</v>
      </c>
      <c r="F53" s="161">
        <v>-35.175879396984925</v>
      </c>
      <c r="G53" s="161">
        <v>174.38271604938271</v>
      </c>
      <c r="H53" s="161">
        <v>1.58</v>
      </c>
      <c r="I53" s="161">
        <v>0.55000000000000004</v>
      </c>
    </row>
    <row r="54" spans="1:9">
      <c r="A54" s="183" t="s">
        <v>369</v>
      </c>
      <c r="B54" s="159">
        <v>1277</v>
      </c>
      <c r="C54" s="159">
        <v>1466</v>
      </c>
      <c r="D54" s="159">
        <v>5722</v>
      </c>
      <c r="E54" s="159">
        <v>6045</v>
      </c>
      <c r="F54" s="161">
        <v>-12.892223738062755</v>
      </c>
      <c r="G54" s="161">
        <v>-5.3432588916459887</v>
      </c>
      <c r="H54" s="161">
        <v>5.09</v>
      </c>
      <c r="I54" s="161">
        <v>5.12</v>
      </c>
    </row>
    <row r="55" spans="1:9">
      <c r="A55" s="184" t="s">
        <v>397</v>
      </c>
      <c r="B55" s="159">
        <v>1260</v>
      </c>
      <c r="C55" s="159">
        <v>1452</v>
      </c>
      <c r="D55" s="159">
        <v>5657</v>
      </c>
      <c r="E55" s="159">
        <v>6010</v>
      </c>
      <c r="F55" s="161">
        <v>-13.223140495867769</v>
      </c>
      <c r="G55" s="161">
        <v>-5.8735440931780367</v>
      </c>
      <c r="H55" s="161">
        <v>5.03</v>
      </c>
      <c r="I55" s="161">
        <v>5.09</v>
      </c>
    </row>
    <row r="56" spans="1:9">
      <c r="A56" s="184" t="s">
        <v>287</v>
      </c>
      <c r="B56" s="159">
        <v>16</v>
      </c>
      <c r="C56" s="159">
        <v>14</v>
      </c>
      <c r="D56" s="159">
        <v>63</v>
      </c>
      <c r="E56" s="159">
        <v>34</v>
      </c>
      <c r="F56" s="161">
        <v>14.285714285714285</v>
      </c>
      <c r="G56" s="161">
        <v>85.294117647058826</v>
      </c>
      <c r="H56" s="161">
        <v>0.06</v>
      </c>
      <c r="I56" s="161">
        <v>0.03</v>
      </c>
    </row>
    <row r="57" spans="1:9">
      <c r="A57" s="184" t="s">
        <v>1199</v>
      </c>
      <c r="B57" s="159">
        <v>1</v>
      </c>
      <c r="C57" s="159">
        <v>0</v>
      </c>
      <c r="D57" s="159">
        <v>2</v>
      </c>
      <c r="E57" s="159">
        <v>1</v>
      </c>
      <c r="F57" s="161">
        <v>0</v>
      </c>
      <c r="G57" s="161">
        <v>100</v>
      </c>
      <c r="H57" s="161">
        <v>0</v>
      </c>
      <c r="I57" s="161">
        <v>0</v>
      </c>
    </row>
    <row r="58" spans="1:9">
      <c r="A58" s="183" t="s">
        <v>1102</v>
      </c>
      <c r="B58" s="159">
        <v>20</v>
      </c>
      <c r="C58" s="159">
        <v>0</v>
      </c>
      <c r="D58" s="159">
        <v>75</v>
      </c>
      <c r="E58" s="159">
        <v>0</v>
      </c>
      <c r="F58" s="161">
        <v>0</v>
      </c>
      <c r="G58" s="161">
        <v>0</v>
      </c>
      <c r="H58" s="161">
        <v>7.0000000000000007E-2</v>
      </c>
      <c r="I58" s="161">
        <v>0</v>
      </c>
    </row>
    <row r="59" spans="1:9">
      <c r="A59" s="184" t="s">
        <v>1099</v>
      </c>
      <c r="B59" s="159">
        <v>20</v>
      </c>
      <c r="C59" s="159">
        <v>0</v>
      </c>
      <c r="D59" s="159">
        <v>75</v>
      </c>
      <c r="E59" s="159">
        <v>0</v>
      </c>
      <c r="F59" s="161">
        <v>0</v>
      </c>
      <c r="G59" s="161">
        <v>0</v>
      </c>
      <c r="H59" s="161">
        <v>7.0000000000000007E-2</v>
      </c>
      <c r="I59" s="161">
        <v>0</v>
      </c>
    </row>
    <row r="60" spans="1:9">
      <c r="A60" s="183" t="s">
        <v>328</v>
      </c>
      <c r="B60" s="159">
        <v>322</v>
      </c>
      <c r="C60" s="159">
        <v>429</v>
      </c>
      <c r="D60" s="159">
        <v>1904</v>
      </c>
      <c r="E60" s="159">
        <v>2477</v>
      </c>
      <c r="F60" s="161">
        <v>-24.941724941724942</v>
      </c>
      <c r="G60" s="161">
        <v>-23.132821962050869</v>
      </c>
      <c r="H60" s="161">
        <v>1.69</v>
      </c>
      <c r="I60" s="161">
        <v>2.1</v>
      </c>
    </row>
    <row r="61" spans="1:9">
      <c r="A61" s="184" t="s">
        <v>291</v>
      </c>
      <c r="B61" s="159">
        <v>322</v>
      </c>
      <c r="C61" s="159">
        <v>429</v>
      </c>
      <c r="D61" s="159">
        <v>1904</v>
      </c>
      <c r="E61" s="159">
        <v>2477</v>
      </c>
      <c r="F61" s="161">
        <v>-24.941724941724942</v>
      </c>
      <c r="G61" s="161">
        <v>-23.132821962050869</v>
      </c>
      <c r="H61" s="161">
        <v>1.69</v>
      </c>
      <c r="I61" s="161">
        <v>2.1</v>
      </c>
    </row>
    <row r="62" spans="1:9">
      <c r="A62" s="183" t="s">
        <v>427</v>
      </c>
      <c r="B62" s="159">
        <v>695</v>
      </c>
      <c r="C62" s="159">
        <v>315</v>
      </c>
      <c r="D62" s="159">
        <v>1339</v>
      </c>
      <c r="E62" s="159">
        <v>1999</v>
      </c>
      <c r="F62" s="161">
        <v>120.63492063492063</v>
      </c>
      <c r="G62" s="161">
        <v>-33.016508254127061</v>
      </c>
      <c r="H62" s="161">
        <v>1.19</v>
      </c>
      <c r="I62" s="161">
        <v>1.69</v>
      </c>
    </row>
    <row r="63" spans="1:9">
      <c r="A63" s="184" t="s">
        <v>332</v>
      </c>
      <c r="B63" s="159">
        <v>695</v>
      </c>
      <c r="C63" s="159">
        <v>315</v>
      </c>
      <c r="D63" s="159">
        <v>1339</v>
      </c>
      <c r="E63" s="159">
        <v>1999</v>
      </c>
      <c r="F63" s="161">
        <v>120.63492063492063</v>
      </c>
      <c r="G63" s="161">
        <v>-33.016508254127061</v>
      </c>
      <c r="H63" s="161">
        <v>1.19</v>
      </c>
      <c r="I63" s="161">
        <v>1.69</v>
      </c>
    </row>
    <row r="64" spans="1:9">
      <c r="A64" s="183" t="s">
        <v>460</v>
      </c>
      <c r="B64" s="159">
        <v>7</v>
      </c>
      <c r="C64" s="159">
        <v>23</v>
      </c>
      <c r="D64" s="159">
        <v>71</v>
      </c>
      <c r="E64" s="159">
        <v>40</v>
      </c>
      <c r="F64" s="161">
        <v>-69.565217391304344</v>
      </c>
      <c r="G64" s="161">
        <v>77.5</v>
      </c>
      <c r="H64" s="161">
        <v>0.06</v>
      </c>
      <c r="I64" s="161">
        <v>0.03</v>
      </c>
    </row>
    <row r="65" spans="1:9">
      <c r="A65" s="184" t="s">
        <v>435</v>
      </c>
      <c r="B65" s="159">
        <v>7</v>
      </c>
      <c r="C65" s="159">
        <v>23</v>
      </c>
      <c r="D65" s="159">
        <v>71</v>
      </c>
      <c r="E65" s="159">
        <v>40</v>
      </c>
      <c r="F65" s="161">
        <v>-69.565217391304344</v>
      </c>
      <c r="G65" s="161">
        <v>77.5</v>
      </c>
      <c r="H65" s="161">
        <v>0.06</v>
      </c>
      <c r="I65" s="161">
        <v>0.03</v>
      </c>
    </row>
    <row r="66" spans="1:9">
      <c r="A66" s="183" t="s">
        <v>602</v>
      </c>
      <c r="B66" s="159">
        <v>2477</v>
      </c>
      <c r="C66" s="159">
        <v>312</v>
      </c>
      <c r="D66" s="159">
        <v>7902</v>
      </c>
      <c r="E66" s="159">
        <v>3454</v>
      </c>
      <c r="F66" s="161">
        <v>693.91025641025635</v>
      </c>
      <c r="G66" s="161">
        <v>128.77822814128547</v>
      </c>
      <c r="H66" s="161">
        <v>7.03</v>
      </c>
      <c r="I66" s="161">
        <v>2.92</v>
      </c>
    </row>
    <row r="67" spans="1:9">
      <c r="A67" s="184" t="s">
        <v>300</v>
      </c>
      <c r="B67" s="159">
        <v>2477</v>
      </c>
      <c r="C67" s="159">
        <v>312</v>
      </c>
      <c r="D67" s="159">
        <v>7902</v>
      </c>
      <c r="E67" s="159">
        <v>3454</v>
      </c>
      <c r="F67" s="161">
        <v>693.91025641025635</v>
      </c>
      <c r="G67" s="161">
        <v>128.77822814128547</v>
      </c>
      <c r="H67" s="161">
        <v>7.03</v>
      </c>
      <c r="I67" s="161">
        <v>2.92</v>
      </c>
    </row>
    <row r="68" spans="1:9">
      <c r="A68" s="183" t="s">
        <v>329</v>
      </c>
      <c r="B68" s="159">
        <v>2486</v>
      </c>
      <c r="C68" s="159">
        <v>2315</v>
      </c>
      <c r="D68" s="159">
        <v>10426</v>
      </c>
      <c r="E68" s="159">
        <v>10468</v>
      </c>
      <c r="F68" s="161">
        <v>7.3866090712742984</v>
      </c>
      <c r="G68" s="161">
        <v>-0.40122277416889568</v>
      </c>
      <c r="H68" s="161">
        <v>9.2800000000000011</v>
      </c>
      <c r="I68" s="161">
        <v>8.870000000000001</v>
      </c>
    </row>
    <row r="69" spans="1:9">
      <c r="A69" s="184" t="s">
        <v>284</v>
      </c>
      <c r="B69" s="159">
        <v>234</v>
      </c>
      <c r="C69" s="159">
        <v>98</v>
      </c>
      <c r="D69" s="159">
        <v>884</v>
      </c>
      <c r="E69" s="159">
        <v>455</v>
      </c>
      <c r="F69" s="161">
        <v>138.77551020408163</v>
      </c>
      <c r="G69" s="161">
        <v>94.285714285714278</v>
      </c>
      <c r="H69" s="161">
        <v>0.79</v>
      </c>
      <c r="I69" s="161">
        <v>0.39</v>
      </c>
    </row>
    <row r="70" spans="1:9">
      <c r="A70" s="184" t="s">
        <v>301</v>
      </c>
      <c r="B70" s="159">
        <v>2252</v>
      </c>
      <c r="C70" s="159">
        <v>2217</v>
      </c>
      <c r="D70" s="159">
        <v>9542</v>
      </c>
      <c r="E70" s="159">
        <v>10013</v>
      </c>
      <c r="F70" s="161">
        <v>1.5787099684258006</v>
      </c>
      <c r="G70" s="161">
        <v>-4.7038849495655652</v>
      </c>
      <c r="H70" s="161">
        <v>8.49</v>
      </c>
      <c r="I70" s="161">
        <v>8.48</v>
      </c>
    </row>
    <row r="71" spans="1:9">
      <c r="A71" s="183" t="s">
        <v>330</v>
      </c>
      <c r="B71" s="159">
        <v>6914</v>
      </c>
      <c r="C71" s="159">
        <v>6553</v>
      </c>
      <c r="D71" s="159">
        <v>26930</v>
      </c>
      <c r="E71" s="159">
        <v>25917</v>
      </c>
      <c r="F71" s="161">
        <v>5.5089272089119481</v>
      </c>
      <c r="G71" s="161">
        <v>3.9086314002392251</v>
      </c>
      <c r="H71" s="161">
        <v>23.959999999999997</v>
      </c>
      <c r="I71" s="161">
        <v>21.94</v>
      </c>
    </row>
    <row r="72" spans="1:9">
      <c r="A72" s="184" t="s">
        <v>268</v>
      </c>
      <c r="B72" s="159">
        <v>1673</v>
      </c>
      <c r="C72" s="159">
        <v>1263</v>
      </c>
      <c r="D72" s="159">
        <v>6791</v>
      </c>
      <c r="E72" s="159">
        <v>5491</v>
      </c>
      <c r="F72" s="161">
        <v>32.462391132224859</v>
      </c>
      <c r="G72" s="161">
        <v>23.675104716809326</v>
      </c>
      <c r="H72" s="161">
        <v>6.04</v>
      </c>
      <c r="I72" s="161">
        <v>4.6500000000000004</v>
      </c>
    </row>
    <row r="73" spans="1:9">
      <c r="A73" s="184" t="s">
        <v>294</v>
      </c>
      <c r="B73" s="159">
        <v>336</v>
      </c>
      <c r="C73" s="159">
        <v>223</v>
      </c>
      <c r="D73" s="159">
        <v>1429</v>
      </c>
      <c r="E73" s="159">
        <v>1160</v>
      </c>
      <c r="F73" s="161">
        <v>50.672645739910315</v>
      </c>
      <c r="G73" s="161">
        <v>23.189655172413794</v>
      </c>
      <c r="H73" s="161">
        <v>1.27</v>
      </c>
      <c r="I73" s="161">
        <v>0.98</v>
      </c>
    </row>
    <row r="74" spans="1:9">
      <c r="A74" s="184" t="s">
        <v>296</v>
      </c>
      <c r="B74" s="159">
        <v>184</v>
      </c>
      <c r="C74" s="159">
        <v>679</v>
      </c>
      <c r="D74" s="159">
        <v>1082</v>
      </c>
      <c r="E74" s="159">
        <v>2118</v>
      </c>
      <c r="F74" s="161">
        <v>-72.901325478645063</v>
      </c>
      <c r="G74" s="161">
        <v>-48.914069877242682</v>
      </c>
      <c r="H74" s="161">
        <v>0.96</v>
      </c>
      <c r="I74" s="161">
        <v>1.79</v>
      </c>
    </row>
    <row r="75" spans="1:9">
      <c r="A75" s="184" t="s">
        <v>297</v>
      </c>
      <c r="B75" s="159">
        <v>1437</v>
      </c>
      <c r="C75" s="159">
        <v>1040</v>
      </c>
      <c r="D75" s="159">
        <v>5087</v>
      </c>
      <c r="E75" s="159">
        <v>4478</v>
      </c>
      <c r="F75" s="161">
        <v>38.17307692307692</v>
      </c>
      <c r="G75" s="161">
        <v>13.599821348816436</v>
      </c>
      <c r="H75" s="161">
        <v>4.53</v>
      </c>
      <c r="I75" s="161">
        <v>3.79</v>
      </c>
    </row>
    <row r="76" spans="1:9">
      <c r="A76" s="184" t="s">
        <v>302</v>
      </c>
      <c r="B76" s="159">
        <v>3004</v>
      </c>
      <c r="C76" s="159">
        <v>3348</v>
      </c>
      <c r="D76" s="159">
        <v>11557</v>
      </c>
      <c r="E76" s="159">
        <v>12670</v>
      </c>
      <c r="F76" s="161">
        <v>-10.27479091995221</v>
      </c>
      <c r="G76" s="161">
        <v>-8.7845303867403324</v>
      </c>
      <c r="H76" s="161">
        <v>10.28</v>
      </c>
      <c r="I76" s="161">
        <v>10.73</v>
      </c>
    </row>
    <row r="77" spans="1:9">
      <c r="A77" s="184" t="s">
        <v>1098</v>
      </c>
      <c r="B77" s="159">
        <v>280</v>
      </c>
      <c r="C77" s="159">
        <v>0</v>
      </c>
      <c r="D77" s="159">
        <v>984</v>
      </c>
      <c r="E77" s="159">
        <v>0</v>
      </c>
      <c r="F77" s="161">
        <v>0</v>
      </c>
      <c r="G77" s="161">
        <v>0</v>
      </c>
      <c r="H77" s="161">
        <v>0.88</v>
      </c>
      <c r="I77" s="161">
        <v>0</v>
      </c>
    </row>
    <row r="78" spans="1:9">
      <c r="A78" s="183" t="s">
        <v>331</v>
      </c>
      <c r="B78" s="159">
        <v>4549</v>
      </c>
      <c r="C78" s="159">
        <v>3670</v>
      </c>
      <c r="D78" s="159">
        <v>16925</v>
      </c>
      <c r="E78" s="159">
        <v>19438</v>
      </c>
      <c r="F78" s="161">
        <v>23.950953678474114</v>
      </c>
      <c r="G78" s="161">
        <v>-12.928284802963269</v>
      </c>
      <c r="H78" s="161">
        <v>15.06</v>
      </c>
      <c r="I78" s="161">
        <v>16.46</v>
      </c>
    </row>
    <row r="79" spans="1:9">
      <c r="A79" s="184" t="s">
        <v>332</v>
      </c>
      <c r="B79" s="159">
        <v>0</v>
      </c>
      <c r="C79" s="159">
        <v>0</v>
      </c>
      <c r="D79" s="159">
        <v>0</v>
      </c>
      <c r="E79" s="159">
        <v>5</v>
      </c>
      <c r="F79" s="161">
        <v>0</v>
      </c>
      <c r="G79" s="161">
        <v>-100</v>
      </c>
      <c r="H79" s="161">
        <v>0</v>
      </c>
      <c r="I79" s="161">
        <v>0</v>
      </c>
    </row>
    <row r="80" spans="1:9">
      <c r="A80" s="184" t="s">
        <v>303</v>
      </c>
      <c r="B80" s="159">
        <v>4549</v>
      </c>
      <c r="C80" s="159">
        <v>3670</v>
      </c>
      <c r="D80" s="159">
        <v>16925</v>
      </c>
      <c r="E80" s="159">
        <v>19433</v>
      </c>
      <c r="F80" s="161">
        <v>23.950953678474114</v>
      </c>
      <c r="G80" s="161">
        <v>-12.905881747542839</v>
      </c>
      <c r="H80" s="161">
        <v>15.06</v>
      </c>
      <c r="I80" s="161">
        <v>16.46</v>
      </c>
    </row>
    <row r="81" spans="1:9">
      <c r="A81" s="183" t="s">
        <v>1201</v>
      </c>
      <c r="B81" s="159">
        <v>0</v>
      </c>
      <c r="C81" s="159">
        <v>0</v>
      </c>
      <c r="D81" s="159">
        <v>0</v>
      </c>
      <c r="E81" s="159">
        <v>7</v>
      </c>
      <c r="F81" s="161">
        <v>0</v>
      </c>
      <c r="G81" s="161">
        <v>-100</v>
      </c>
      <c r="H81" s="161">
        <v>0</v>
      </c>
      <c r="I81" s="161">
        <v>0.01</v>
      </c>
    </row>
    <row r="82" spans="1:9">
      <c r="A82" s="184" t="s">
        <v>1200</v>
      </c>
      <c r="B82" s="159">
        <v>0</v>
      </c>
      <c r="C82" s="159">
        <v>0</v>
      </c>
      <c r="D82" s="159">
        <v>0</v>
      </c>
      <c r="E82" s="159">
        <v>7</v>
      </c>
      <c r="F82" s="161">
        <v>0</v>
      </c>
      <c r="G82" s="161">
        <v>-100</v>
      </c>
      <c r="H82" s="161">
        <v>0</v>
      </c>
      <c r="I82" s="161">
        <v>0.01</v>
      </c>
    </row>
    <row r="83" spans="1:9">
      <c r="A83" s="183" t="s">
        <v>217</v>
      </c>
      <c r="B83" s="159">
        <v>92</v>
      </c>
      <c r="C83" s="159">
        <v>56</v>
      </c>
      <c r="D83" s="159">
        <v>230</v>
      </c>
      <c r="E83" s="159">
        <v>186</v>
      </c>
      <c r="F83" s="161">
        <v>64.285714285714292</v>
      </c>
      <c r="G83" s="161">
        <v>23.655913978494624</v>
      </c>
      <c r="H83" s="161">
        <v>0.2</v>
      </c>
      <c r="I83" s="161">
        <v>0.16</v>
      </c>
    </row>
    <row r="84" spans="1:9">
      <c r="A84" s="184" t="s">
        <v>304</v>
      </c>
      <c r="B84" s="159">
        <v>92</v>
      </c>
      <c r="C84" s="159">
        <v>56</v>
      </c>
      <c r="D84" s="159">
        <v>230</v>
      </c>
      <c r="E84" s="159">
        <v>186</v>
      </c>
      <c r="F84" s="161">
        <v>64.285714285714292</v>
      </c>
      <c r="G84" s="161">
        <v>23.655913978494624</v>
      </c>
      <c r="H84" s="161">
        <v>0.2</v>
      </c>
      <c r="I84" s="161">
        <v>0.16</v>
      </c>
    </row>
    <row r="85" spans="1:9">
      <c r="A85" s="183" t="s">
        <v>475</v>
      </c>
      <c r="B85" s="159">
        <v>28490</v>
      </c>
      <c r="C85" s="159">
        <v>26413</v>
      </c>
      <c r="D85" s="159">
        <v>112380</v>
      </c>
      <c r="E85" s="159">
        <v>118094</v>
      </c>
      <c r="F85" s="161">
        <v>7.8635520387687885</v>
      </c>
      <c r="G85" s="161">
        <v>-4.8385184683387807</v>
      </c>
      <c r="H85" s="161">
        <v>99.990000000000009</v>
      </c>
      <c r="I85" s="161">
        <v>99.990000000000023</v>
      </c>
    </row>
    <row r="86" spans="1:9">
      <c r="B86"/>
      <c r="C86"/>
      <c r="D86"/>
      <c r="E86"/>
      <c r="F86"/>
      <c r="G86"/>
      <c r="H86"/>
      <c r="I86"/>
    </row>
    <row r="87" spans="1:9">
      <c r="B87"/>
      <c r="C87"/>
      <c r="D87"/>
      <c r="E87"/>
      <c r="F87"/>
      <c r="G87"/>
      <c r="H87"/>
      <c r="I87"/>
    </row>
    <row r="88" spans="1:9">
      <c r="A88" s="27" t="s">
        <v>705</v>
      </c>
      <c r="B88" s="59"/>
      <c r="C88" s="59"/>
      <c r="D88"/>
      <c r="E88"/>
      <c r="F88"/>
      <c r="G88"/>
      <c r="H88"/>
      <c r="I88"/>
    </row>
    <row r="89" spans="1:9">
      <c r="A89" s="59"/>
      <c r="B89" s="59"/>
      <c r="C89" s="59"/>
      <c r="D89"/>
      <c r="E89"/>
      <c r="F89"/>
      <c r="G89"/>
      <c r="H89"/>
      <c r="I89"/>
    </row>
    <row r="90" spans="1:9">
      <c r="A90" s="59"/>
      <c r="B90" s="59"/>
      <c r="C90" s="59"/>
      <c r="D90"/>
      <c r="E90"/>
      <c r="F90"/>
      <c r="G90"/>
      <c r="H90"/>
      <c r="I90"/>
    </row>
    <row r="91" spans="1:9">
      <c r="A91" s="59"/>
      <c r="B91" s="59"/>
      <c r="C91" s="59"/>
      <c r="D91"/>
      <c r="E91"/>
      <c r="F91"/>
      <c r="G91"/>
      <c r="H91"/>
      <c r="I91"/>
    </row>
    <row r="92" spans="1:9">
      <c r="A92" s="22" t="s">
        <v>1082</v>
      </c>
      <c r="B92" s="59"/>
      <c r="C92" s="59"/>
      <c r="D92"/>
      <c r="E92"/>
      <c r="F92"/>
      <c r="G92"/>
      <c r="H92"/>
      <c r="I92"/>
    </row>
    <row r="93" spans="1:9">
      <c r="A93" s="59" t="s">
        <v>1075</v>
      </c>
      <c r="B93" s="59" t="s">
        <v>701</v>
      </c>
      <c r="C93" s="59"/>
      <c r="D93"/>
      <c r="E93"/>
      <c r="F93"/>
      <c r="G93"/>
      <c r="H93"/>
      <c r="I93"/>
    </row>
    <row r="94" spans="1:9">
      <c r="A94" s="59" t="s">
        <v>628</v>
      </c>
      <c r="B94" s="59" t="s">
        <v>616</v>
      </c>
      <c r="C94" s="59"/>
      <c r="D94"/>
      <c r="E94"/>
      <c r="F94"/>
      <c r="G94"/>
      <c r="H94"/>
      <c r="I94"/>
    </row>
    <row r="95" spans="1:9">
      <c r="A95" s="59" t="s">
        <v>479</v>
      </c>
      <c r="B95" s="59" t="s">
        <v>1083</v>
      </c>
      <c r="C95" s="59"/>
    </row>
    <row r="96" spans="1:9">
      <c r="A96" s="59" t="s">
        <v>727</v>
      </c>
      <c r="B96" s="59" t="s">
        <v>1084</v>
      </c>
      <c r="C96" s="59"/>
    </row>
    <row r="97" spans="1:3">
      <c r="A97" s="59" t="s">
        <v>1085</v>
      </c>
      <c r="B97" s="59" t="s">
        <v>1086</v>
      </c>
      <c r="C97" s="59"/>
    </row>
    <row r="98" spans="1:3">
      <c r="A98" s="59" t="s">
        <v>1087</v>
      </c>
      <c r="B98" s="59" t="s">
        <v>1088</v>
      </c>
      <c r="C98" s="59"/>
    </row>
    <row r="99" spans="1:3">
      <c r="A99" s="59" t="s">
        <v>1161</v>
      </c>
      <c r="B99" s="59" t="s">
        <v>1162</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2" sqref="L12"/>
    </sheetView>
  </sheetViews>
  <sheetFormatPr baseColWidth="10" defaultColWidth="8.83203125" defaultRowHeight="15"/>
  <cols>
    <col min="1" max="1" width="17.1640625" customWidth="1"/>
    <col min="2" max="7" width="13.6640625" customWidth="1"/>
    <col min="8" max="8" width="13.6640625" style="12" customWidth="1"/>
    <col min="9" max="9" width="13.6640625" customWidth="1"/>
    <col min="10" max="10" width="13.6640625" style="9" customWidth="1"/>
    <col min="11" max="11" width="10.5" customWidth="1"/>
    <col min="12" max="12" width="15.33203125" customWidth="1"/>
    <col min="18" max="18" width="11.33203125" customWidth="1"/>
  </cols>
  <sheetData>
    <row r="2" spans="1:13" ht="19.25" customHeight="1" thickBot="1">
      <c r="C2" s="60" t="s">
        <v>341</v>
      </c>
      <c r="D2" s="60"/>
      <c r="E2" s="60"/>
      <c r="F2" s="60"/>
    </row>
    <row r="3" spans="1:13" ht="14" customHeight="1"/>
    <row r="4" spans="1:13">
      <c r="F4" s="274" t="s">
        <v>473</v>
      </c>
      <c r="G4" s="274"/>
      <c r="H4" s="274"/>
      <c r="I4" s="274"/>
    </row>
    <row r="5" spans="1:13">
      <c r="A5" s="110"/>
      <c r="B5" s="271" t="s">
        <v>560</v>
      </c>
      <c r="C5" s="272"/>
      <c r="D5" s="273" t="s">
        <v>562</v>
      </c>
      <c r="E5" s="272"/>
      <c r="F5" s="271" t="s">
        <v>560</v>
      </c>
      <c r="G5" s="272"/>
      <c r="H5" s="273" t="s">
        <v>562</v>
      </c>
      <c r="I5" s="272"/>
      <c r="J5" s="125" t="s">
        <v>561</v>
      </c>
    </row>
    <row r="6" spans="1:13">
      <c r="A6" s="122" t="s">
        <v>494</v>
      </c>
      <c r="B6" s="123" t="str">
        <f>Innehåll!D79</f>
        <v xml:space="preserve"> 2023-05</v>
      </c>
      <c r="C6" s="123" t="str">
        <f>Innehåll!D80</f>
        <v xml:space="preserve"> 2022-05</v>
      </c>
      <c r="D6" s="123" t="str">
        <f>B6</f>
        <v xml:space="preserve"> 2023-05</v>
      </c>
      <c r="E6" s="124" t="str">
        <f>C6</f>
        <v xml:space="preserve"> 2022-05</v>
      </c>
      <c r="F6" s="123" t="str">
        <f>Innehåll!D81</f>
        <v>YTD  2023</v>
      </c>
      <c r="G6" s="123" t="str">
        <f>Innehåll!D82</f>
        <v>YTD  2022</v>
      </c>
      <c r="H6" s="125" t="str">
        <f>F6</f>
        <v>YTD  2023</v>
      </c>
      <c r="I6" s="126" t="str">
        <f>G6</f>
        <v>YTD  2022</v>
      </c>
      <c r="J6" s="125" t="str">
        <f>Innehåll!D81</f>
        <v>YTD  2023</v>
      </c>
    </row>
    <row r="7" spans="1:13" ht="15" hidden="1" customHeight="1">
      <c r="A7" s="73" t="s">
        <v>342</v>
      </c>
      <c r="B7" s="74" t="s">
        <v>35</v>
      </c>
      <c r="C7" s="75" t="s">
        <v>308</v>
      </c>
      <c r="D7" s="27" t="s">
        <v>343</v>
      </c>
      <c r="E7" s="27" t="s">
        <v>344</v>
      </c>
      <c r="F7" s="27" t="s">
        <v>309</v>
      </c>
      <c r="G7" s="27" t="s">
        <v>310</v>
      </c>
      <c r="H7" s="27" t="s">
        <v>345</v>
      </c>
      <c r="I7" s="27" t="s">
        <v>346</v>
      </c>
      <c r="J7" s="63" t="s">
        <v>347</v>
      </c>
    </row>
    <row r="8" spans="1:13">
      <c r="A8" s="45" t="s">
        <v>24</v>
      </c>
      <c r="B8" s="66">
        <v>11657</v>
      </c>
      <c r="C8" s="66">
        <v>6383</v>
      </c>
      <c r="D8" s="63">
        <f>IF(getAggPBFuelTypes[[#This Row],[antalPerioden]]&gt;0,((B8/getAggPBFuelTypes[[#Totals],[antalPerioden]]) * 100),0)</f>
        <v>40.916110916110917</v>
      </c>
      <c r="E8" s="63">
        <f>((C8/getAggPBFuelTypes[[#Totals],[antalPeriodenFG]]) * 100)</f>
        <v>24.166130314617799</v>
      </c>
      <c r="F8" s="66">
        <v>41485</v>
      </c>
      <c r="G8" s="66">
        <v>31518</v>
      </c>
      <c r="H8" s="63">
        <f>((F8/getAggPBFuelTypes[[#Totals],[antalAret]]) * 100)</f>
        <v>36.914931482470195</v>
      </c>
      <c r="I8" s="63">
        <f>((G8/getAggPBFuelTypes[[#Totals],[antalAretFG]]) * 100)</f>
        <v>26.688908835334562</v>
      </c>
      <c r="J8" s="46">
        <f t="shared" ref="J8:J15" si="0">IF(G8 = 0,0,(F8-G8)/G8)</f>
        <v>0.31623199441588934</v>
      </c>
    </row>
    <row r="9" spans="1:13">
      <c r="A9" s="45" t="s">
        <v>23</v>
      </c>
      <c r="B9" s="66">
        <v>5975</v>
      </c>
      <c r="C9" s="66">
        <v>6138</v>
      </c>
      <c r="D9" s="63">
        <f>IF(getAggPBFuelTypes[[#This Row],[antalPerioden]]&gt;0,((B9/getAggPBFuelTypes[[#Totals],[antalPerioden]]) * 100),0)</f>
        <v>20.972270972270973</v>
      </c>
      <c r="E9" s="63">
        <f>((C9/getAggPBFuelTypes[[#Totals],[antalPeriodenFG]]) * 100)</f>
        <v>23.238556771286866</v>
      </c>
      <c r="F9" s="66">
        <v>23330</v>
      </c>
      <c r="G9" s="66">
        <v>28951</v>
      </c>
      <c r="H9" s="63">
        <f>((F9/getAggPBFuelTypes[[#Totals],[antalAret]]) * 100)</f>
        <v>20.759921694251645</v>
      </c>
      <c r="I9" s="63">
        <f>((G9/getAggPBFuelTypes[[#Totals],[antalAretFG]]) * 100)</f>
        <v>24.515216691787899</v>
      </c>
      <c r="J9" s="46">
        <f t="shared" si="0"/>
        <v>-0.19415564229214879</v>
      </c>
    </row>
    <row r="10" spans="1:13">
      <c r="A10" s="45" t="s">
        <v>20</v>
      </c>
      <c r="B10" s="66">
        <v>5835</v>
      </c>
      <c r="C10" s="66">
        <v>7248</v>
      </c>
      <c r="D10" s="63">
        <f>IF(getAggPBFuelTypes[[#This Row],[antalPerioden]]&gt;0,((B10/getAggPBFuelTypes[[#Totals],[antalPerioden]]) * 100),0)</f>
        <v>20.480870480870479</v>
      </c>
      <c r="E10" s="63">
        <f>((C10/getAggPBFuelTypes[[#Totals],[antalPeriodenFG]]) * 100)</f>
        <v>27.441032824745392</v>
      </c>
      <c r="F10" s="66">
        <v>24587</v>
      </c>
      <c r="G10" s="66">
        <v>29196</v>
      </c>
      <c r="H10" s="63">
        <f>((F10/getAggPBFuelTypes[[#Totals],[antalAret]]) * 100)</f>
        <v>21.878448122441714</v>
      </c>
      <c r="I10" s="63">
        <f>((G10/getAggPBFuelTypes[[#Totals],[antalAretFG]]) * 100)</f>
        <v>24.722678544210545</v>
      </c>
      <c r="J10" s="46">
        <f t="shared" si="0"/>
        <v>-0.15786409097136594</v>
      </c>
    </row>
    <row r="11" spans="1:13">
      <c r="A11" s="45" t="s">
        <v>21</v>
      </c>
      <c r="B11" s="66">
        <v>2390</v>
      </c>
      <c r="C11" s="66">
        <v>3973</v>
      </c>
      <c r="D11" s="63">
        <f>IF(getAggPBFuelTypes[[#This Row],[antalPerioden]]&gt;0,((B11/getAggPBFuelTypes[[#Totals],[antalPerioden]]) * 100),0)</f>
        <v>8.3889083889083889</v>
      </c>
      <c r="E11" s="63">
        <f>((C11/getAggPBFuelTypes[[#Totals],[antalPeriodenFG]]) * 100)</f>
        <v>15.041835459811455</v>
      </c>
      <c r="F11" s="66">
        <v>10429</v>
      </c>
      <c r="G11" s="66">
        <v>15974</v>
      </c>
      <c r="H11" s="63">
        <f>((F11/getAggPBFuelTypes[[#Totals],[antalAret]]) * 100)</f>
        <v>9.2801210179747287</v>
      </c>
      <c r="I11" s="63">
        <f>((G11/getAggPBFuelTypes[[#Totals],[antalAretFG]]) * 100)</f>
        <v>13.526512777956542</v>
      </c>
      <c r="J11" s="46">
        <f t="shared" si="0"/>
        <v>-0.34712658069362712</v>
      </c>
    </row>
    <row r="12" spans="1:13">
      <c r="A12" s="45" t="s">
        <v>22</v>
      </c>
      <c r="B12" s="66">
        <v>2038</v>
      </c>
      <c r="C12" s="66">
        <v>2358</v>
      </c>
      <c r="D12" s="63">
        <f>IF(getAggPBFuelTypes[[#This Row],[antalPerioden]]&gt;0,((B12/getAggPBFuelTypes[[#Totals],[antalPerioden]]) * 100),0)</f>
        <v>7.1533871533871531</v>
      </c>
      <c r="E12" s="63">
        <f>((C12/getAggPBFuelTypes[[#Totals],[antalPeriodenFG]]) * 100)</f>
        <v>8.9274221027524323</v>
      </c>
      <c r="F12" s="66">
        <v>9806</v>
      </c>
      <c r="G12" s="66">
        <v>11011</v>
      </c>
      <c r="H12" s="63">
        <f>((F12/getAggPBFuelTypes[[#Totals],[antalAret]]) * 100)</f>
        <v>8.7257519131518073</v>
      </c>
      <c r="I12" s="63">
        <f>((G12/getAggPBFuelTypes[[#Totals],[antalAretFG]]) * 100)</f>
        <v>9.323928396023506</v>
      </c>
      <c r="J12" s="46">
        <f t="shared" si="0"/>
        <v>-0.10943601852692762</v>
      </c>
    </row>
    <row r="13" spans="1:13">
      <c r="A13" s="45" t="s">
        <v>26</v>
      </c>
      <c r="B13" s="66">
        <v>363</v>
      </c>
      <c r="C13" s="66">
        <v>227</v>
      </c>
      <c r="D13" s="63">
        <f>IF(getAggPBFuelTypes[[#This Row],[antalPerioden]]&gt;0,((B13/getAggPBFuelTypes[[#Totals],[antalPerioden]]) * 100),0)</f>
        <v>1.2741312741312742</v>
      </c>
      <c r="E13" s="63">
        <f>((C13/getAggPBFuelTypes[[#Totals],[antalPeriodenFG]]) * 100)</f>
        <v>0.85942528300458099</v>
      </c>
      <c r="F13" s="66">
        <v>2014</v>
      </c>
      <c r="G13" s="66">
        <v>953</v>
      </c>
      <c r="H13" s="63">
        <f>((F13/getAggPBFuelTypes[[#Totals],[antalAret]]) * 100)</f>
        <v>1.7921338316426412</v>
      </c>
      <c r="I13" s="63">
        <f>((G13/getAggPBFuelTypes[[#Totals],[antalAretFG]]) * 100)</f>
        <v>0.80698426677053869</v>
      </c>
      <c r="J13" s="46">
        <f t="shared" si="0"/>
        <v>1.1133263378803777</v>
      </c>
    </row>
    <row r="14" spans="1:13">
      <c r="A14" s="76" t="s">
        <v>25</v>
      </c>
      <c r="B14" s="77">
        <v>232</v>
      </c>
      <c r="C14" s="78">
        <v>84</v>
      </c>
      <c r="D14" s="63">
        <f>IF(getAggPBFuelTypes[[#This Row],[antalPerioden]]&gt;0,((B14/getAggPBFuelTypes[[#Totals],[antalPerioden]]) * 100),0)</f>
        <v>0.81432081432081438</v>
      </c>
      <c r="E14" s="63">
        <f>((C14/getAggPBFuelTypes[[#Totals],[antalPeriodenFG]]) * 100)</f>
        <v>0.31802521485632074</v>
      </c>
      <c r="F14" s="66">
        <v>729</v>
      </c>
      <c r="G14" s="66">
        <v>489</v>
      </c>
      <c r="H14" s="63">
        <f>((F14/getAggPBFuelTypes[[#Totals],[antalAret]]) * 100)</f>
        <v>0.64869193806727177</v>
      </c>
      <c r="I14" s="63">
        <f>((G14/getAggPBFuelTypes[[#Totals],[antalAretFG]]) * 100)</f>
        <v>0.41407692177417993</v>
      </c>
      <c r="J14" s="46">
        <f t="shared" si="0"/>
        <v>0.49079754601226994</v>
      </c>
    </row>
    <row r="15" spans="1:13">
      <c r="A15" s="171" t="s">
        <v>1236</v>
      </c>
      <c r="B15" s="163">
        <v>0</v>
      </c>
      <c r="C15" s="163">
        <v>2</v>
      </c>
      <c r="D15" s="164">
        <f>IF(getAggPBFuelTypes[[#This Row],[antalPerioden]]&gt;0,((B15/getAggPBFuelTypes[[#Totals],[antalPerioden]]) * 100),0)</f>
        <v>0</v>
      </c>
      <c r="E15" s="164">
        <f>((C15/getAggPBFuelTypes[[#Totals],[antalPeriodenFG]]) * 100)</f>
        <v>7.5720289251504933E-3</v>
      </c>
      <c r="F15" s="163">
        <v>0</v>
      </c>
      <c r="G15" s="163">
        <v>2</v>
      </c>
      <c r="H15" s="164">
        <f>((F15/getAggPBFuelTypes[[#Totals],[antalAret]]) * 100)</f>
        <v>0</v>
      </c>
      <c r="I15" s="164">
        <f>((G15/getAggPBFuelTypes[[#Totals],[antalAretFG]]) * 100)</f>
        <v>1.6935661422256844E-3</v>
      </c>
      <c r="J15" s="242">
        <f t="shared" si="0"/>
        <v>-1</v>
      </c>
      <c r="M15" s="9"/>
    </row>
    <row r="16" spans="1:13">
      <c r="A16" s="156" t="s">
        <v>475</v>
      </c>
      <c r="B16" s="157">
        <f>SUBTOTAL(109,getAggPBFuelTypes[antalPerioden])</f>
        <v>28490</v>
      </c>
      <c r="C16" s="157">
        <f>SUBTOTAL(109,getAggPBFuelTypes[antalPeriodenFG])</f>
        <v>26413</v>
      </c>
      <c r="D16" s="158">
        <f>SUBTOTAL(109,getAggPBFuelTypes[Column1])</f>
        <v>100</v>
      </c>
      <c r="E16" s="158">
        <f>SUBTOTAL(109,getAggPBFuelTypes[Column1])</f>
        <v>100</v>
      </c>
      <c r="F16" s="157">
        <f>SUBTOTAL(109,getAggPBFuelTypes[antalAret])</f>
        <v>112380</v>
      </c>
      <c r="G16" s="157">
        <f>SUBTOTAL(109,getAggPBFuelTypes[antalAretFG])</f>
        <v>118094</v>
      </c>
      <c r="H16" s="158">
        <f>SUBTOTAL(109,getAggPBFuelTypes[Column1])</f>
        <v>100</v>
      </c>
      <c r="I16" s="158">
        <f>SUBTOTAL(109,getAggPBFuelTypes[Column1])</f>
        <v>100</v>
      </c>
      <c r="J16" s="238"/>
      <c r="K16" s="228"/>
      <c r="L16" s="234"/>
    </row>
    <row r="17" spans="1:16">
      <c r="A17" s="27"/>
      <c r="B17" s="27"/>
      <c r="C17" s="27"/>
      <c r="D17" s="63"/>
      <c r="E17" s="63"/>
      <c r="F17" s="27"/>
      <c r="G17" s="27"/>
      <c r="H17" s="63"/>
      <c r="I17" s="63"/>
    </row>
    <row r="18" spans="1:16">
      <c r="A18" s="59" t="s">
        <v>707</v>
      </c>
      <c r="B18" s="27"/>
      <c r="C18" s="27"/>
      <c r="D18" s="27"/>
      <c r="E18" s="27"/>
      <c r="F18" s="27"/>
      <c r="G18" s="27"/>
      <c r="H18" s="65"/>
      <c r="I18" s="27"/>
    </row>
    <row r="19" spans="1:16">
      <c r="A19" s="8" t="s">
        <v>708</v>
      </c>
      <c r="B19" s="27"/>
      <c r="C19" s="27"/>
      <c r="D19" s="27"/>
      <c r="E19" s="27"/>
      <c r="F19" s="27"/>
      <c r="G19" s="27"/>
      <c r="H19" s="65"/>
      <c r="I19" s="27"/>
    </row>
    <row r="20" spans="1:16">
      <c r="A20" s="59" t="s">
        <v>709</v>
      </c>
      <c r="B20" s="27"/>
      <c r="C20" s="27"/>
      <c r="D20" s="27"/>
      <c r="E20" s="27"/>
      <c r="F20" s="27"/>
      <c r="G20" s="27"/>
      <c r="H20" s="65"/>
      <c r="I20" s="27"/>
    </row>
    <row r="21" spans="1:16">
      <c r="A21" s="59" t="s">
        <v>710</v>
      </c>
      <c r="B21" s="27"/>
      <c r="C21" s="27"/>
      <c r="D21" s="27"/>
      <c r="E21" s="27"/>
      <c r="F21" s="27"/>
      <c r="G21" s="27"/>
      <c r="H21" s="65"/>
      <c r="I21" s="27"/>
    </row>
    <row r="22" spans="1:16">
      <c r="A22" s="59" t="s">
        <v>711</v>
      </c>
      <c r="B22" s="27"/>
      <c r="C22" s="27"/>
      <c r="D22" s="27"/>
      <c r="E22" s="27"/>
      <c r="F22" s="27"/>
      <c r="G22" s="27"/>
      <c r="H22" s="65"/>
      <c r="I22" s="27"/>
    </row>
    <row r="23" spans="1:16">
      <c r="A23" s="59" t="s">
        <v>461</v>
      </c>
      <c r="B23" s="27"/>
      <c r="C23" s="27"/>
      <c r="D23" s="27"/>
      <c r="E23" s="27"/>
      <c r="F23" s="27"/>
      <c r="G23" s="27"/>
      <c r="H23" s="65"/>
      <c r="I23" s="27"/>
    </row>
    <row r="28" spans="1:16" ht="20" thickBot="1">
      <c r="L28" s="72" t="s">
        <v>233</v>
      </c>
      <c r="M28" s="72"/>
      <c r="N28" s="72"/>
      <c r="O28" s="72"/>
      <c r="P28" s="127"/>
    </row>
    <row r="29" spans="1:16">
      <c r="L29" s="27"/>
      <c r="M29" s="27"/>
      <c r="N29" s="27"/>
      <c r="O29" s="27"/>
      <c r="P29" s="27"/>
    </row>
    <row r="30" spans="1:16" ht="16" thickBot="1">
      <c r="L30" s="80" t="str">
        <f>Innehåll!D85</f>
        <v>Jan - maj 2023</v>
      </c>
      <c r="M30" s="81" t="s">
        <v>563</v>
      </c>
      <c r="N30" s="27"/>
      <c r="O30" s="27"/>
      <c r="P30" s="27"/>
    </row>
    <row r="31" spans="1:16">
      <c r="L31" s="27"/>
      <c r="M31" s="27"/>
      <c r="N31" s="27"/>
      <c r="O31" s="27"/>
      <c r="P31" s="27"/>
    </row>
    <row r="32" spans="1:16">
      <c r="L32" s="63" t="str">
        <f>A8</f>
        <v>El</v>
      </c>
      <c r="M32" s="63">
        <f t="shared" ref="M32:M38" si="1">INDEX($H$8:$H$16,MATCH(L32,$A$8:$A$16,0))</f>
        <v>36.914931482470195</v>
      </c>
      <c r="N32" s="27"/>
      <c r="P32" s="27"/>
    </row>
    <row r="33" spans="12:16">
      <c r="L33" s="63" t="str">
        <f t="shared" ref="L33:L38" si="2">A9</f>
        <v>Laddhybrid</v>
      </c>
      <c r="M33" s="63">
        <f t="shared" si="1"/>
        <v>20.759921694251645</v>
      </c>
      <c r="N33" s="27"/>
      <c r="P33" s="27"/>
    </row>
    <row r="34" spans="12:16">
      <c r="L34" s="63" t="str">
        <f t="shared" si="2"/>
        <v>Bensin</v>
      </c>
      <c r="M34" s="63">
        <f t="shared" si="1"/>
        <v>21.878448122441714</v>
      </c>
      <c r="N34" s="27"/>
      <c r="P34" s="27"/>
    </row>
    <row r="35" spans="12:16">
      <c r="L35" s="63" t="str">
        <f t="shared" si="2"/>
        <v>Diesel</v>
      </c>
      <c r="M35" s="63">
        <f t="shared" si="1"/>
        <v>9.2801210179747287</v>
      </c>
      <c r="N35" s="27"/>
      <c r="P35" s="27"/>
    </row>
    <row r="36" spans="12:16">
      <c r="L36" s="63" t="str">
        <f t="shared" si="2"/>
        <v>Elhybrid</v>
      </c>
      <c r="M36" s="63">
        <f t="shared" si="1"/>
        <v>8.7257519131518073</v>
      </c>
      <c r="N36" s="27"/>
      <c r="P36" s="27"/>
    </row>
    <row r="37" spans="12:16">
      <c r="L37" s="63" t="str">
        <f t="shared" si="2"/>
        <v>Etanol</v>
      </c>
      <c r="M37" s="63">
        <f t="shared" si="1"/>
        <v>1.7921338316426412</v>
      </c>
      <c r="N37" s="27"/>
      <c r="P37" s="27"/>
    </row>
    <row r="38" spans="12:16">
      <c r="L38" s="63" t="str">
        <f t="shared" si="2"/>
        <v>Gas</v>
      </c>
      <c r="M38" s="63">
        <f t="shared" si="1"/>
        <v>0.64869193806727177</v>
      </c>
      <c r="N38" s="27"/>
      <c r="P38" s="27"/>
    </row>
    <row r="39" spans="12:16">
      <c r="L39" s="27"/>
      <c r="M39" s="63"/>
      <c r="N39" s="27"/>
      <c r="O39" s="27"/>
      <c r="P39" s="27"/>
    </row>
    <row r="40" spans="12:16">
      <c r="M40" s="9"/>
    </row>
    <row r="43" spans="12:16" ht="15" hidden="1" customHeight="1"/>
    <row r="60" spans="1:1">
      <c r="A60" s="27" t="s">
        <v>705</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2"/>
  <sheetViews>
    <sheetView showZeros="0" workbookViewId="0">
      <selection activeCell="A11" sqref="A11"/>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10"/>
      <c r="O2" s="72" t="s">
        <v>501</v>
      </c>
      <c r="P2" s="72"/>
      <c r="Q2" s="72"/>
      <c r="R2" s="72"/>
      <c r="S2" s="72"/>
      <c r="T2" s="72"/>
      <c r="U2" s="127"/>
    </row>
    <row r="3" spans="1:21" ht="15" customHeight="1">
      <c r="A3" s="10"/>
      <c r="O3" s="27" t="s">
        <v>500</v>
      </c>
      <c r="P3" s="27"/>
      <c r="Q3" s="27"/>
      <c r="R3" s="27"/>
      <c r="S3" s="27"/>
      <c r="T3" s="27"/>
      <c r="U3" s="27"/>
    </row>
    <row r="4" spans="1:21" ht="15" customHeight="1">
      <c r="A4" s="10"/>
      <c r="O4" s="7"/>
      <c r="P4" s="7"/>
      <c r="Q4" s="17"/>
      <c r="R4" s="17"/>
      <c r="S4" s="17"/>
      <c r="T4" s="17"/>
      <c r="U4" s="27"/>
    </row>
    <row r="5" spans="1:21" ht="15" customHeight="1" thickBot="1">
      <c r="A5" s="10"/>
      <c r="O5" s="20" t="s">
        <v>476</v>
      </c>
      <c r="P5" s="20">
        <v>2021</v>
      </c>
      <c r="Q5" s="20">
        <v>2022</v>
      </c>
      <c r="R5" s="20">
        <v>2023</v>
      </c>
      <c r="S5" s="27"/>
      <c r="T5" s="27"/>
      <c r="U5" s="27"/>
    </row>
    <row r="6" spans="1:21" ht="15" customHeight="1">
      <c r="A6" s="10"/>
      <c r="O6" s="17" t="s">
        <v>2</v>
      </c>
      <c r="P6" s="82">
        <v>33.5</v>
      </c>
      <c r="Q6" s="82">
        <v>52.9</v>
      </c>
      <c r="R6" s="82">
        <v>52.1</v>
      </c>
      <c r="S6" s="27"/>
      <c r="T6" s="27"/>
      <c r="U6" s="27"/>
    </row>
    <row r="7" spans="1:21" ht="15" customHeight="1">
      <c r="A7" s="10"/>
      <c r="O7" s="17" t="s">
        <v>3</v>
      </c>
      <c r="P7" s="82">
        <v>34.200000000000003</v>
      </c>
      <c r="Q7" s="82">
        <v>51.6</v>
      </c>
      <c r="R7" s="82">
        <v>54</v>
      </c>
      <c r="S7" s="27"/>
      <c r="T7" s="27"/>
      <c r="U7" s="27"/>
    </row>
    <row r="8" spans="1:21" ht="15" customHeight="1">
      <c r="A8" s="10"/>
      <c r="O8" s="17" t="s">
        <v>4</v>
      </c>
      <c r="P8" s="82">
        <v>37</v>
      </c>
      <c r="Q8" s="82">
        <v>55.6</v>
      </c>
      <c r="R8" s="82">
        <v>59.9</v>
      </c>
      <c r="S8" s="27"/>
      <c r="T8" s="27"/>
      <c r="U8" s="27"/>
    </row>
    <row r="9" spans="1:21" ht="15" customHeight="1">
      <c r="A9" s="10"/>
      <c r="O9" s="17" t="s">
        <v>5</v>
      </c>
      <c r="P9" s="82">
        <v>43.2</v>
      </c>
      <c r="Q9" s="82">
        <v>48.2</v>
      </c>
      <c r="R9" s="82">
        <v>55.8</v>
      </c>
      <c r="S9" s="27"/>
      <c r="T9" s="27"/>
      <c r="U9" s="27"/>
    </row>
    <row r="10" spans="1:21" ht="15" customHeight="1">
      <c r="A10" s="10"/>
      <c r="O10" s="17" t="s">
        <v>6</v>
      </c>
      <c r="P10" s="82">
        <v>39</v>
      </c>
      <c r="Q10" s="82">
        <v>47.4</v>
      </c>
      <c r="R10" s="82">
        <v>61.9</v>
      </c>
      <c r="S10" s="27"/>
      <c r="T10" s="27"/>
      <c r="U10" s="27"/>
    </row>
    <row r="11" spans="1:21" ht="15" customHeight="1">
      <c r="A11" s="10"/>
      <c r="O11" s="17" t="s">
        <v>7</v>
      </c>
      <c r="P11" s="82">
        <v>49.4</v>
      </c>
      <c r="Q11" s="82">
        <v>55</v>
      </c>
      <c r="R11" s="82"/>
      <c r="S11" s="27"/>
      <c r="T11" s="27"/>
      <c r="U11" s="27"/>
    </row>
    <row r="12" spans="1:21" ht="15" customHeight="1">
      <c r="A12" s="10"/>
      <c r="O12" s="17" t="s">
        <v>8</v>
      </c>
      <c r="P12" s="82">
        <v>37.6</v>
      </c>
      <c r="Q12" s="82">
        <v>49.9</v>
      </c>
      <c r="R12" s="82"/>
      <c r="S12" s="27"/>
      <c r="T12" s="27"/>
      <c r="U12" s="27"/>
    </row>
    <row r="13" spans="1:21" ht="15" customHeight="1">
      <c r="A13" s="10"/>
      <c r="O13" s="17" t="s">
        <v>9</v>
      </c>
      <c r="P13" s="82">
        <v>47.1</v>
      </c>
      <c r="Q13" s="82">
        <v>45.9</v>
      </c>
      <c r="R13" s="82"/>
      <c r="S13" s="27"/>
      <c r="T13" s="27"/>
      <c r="U13" s="27"/>
    </row>
    <row r="14" spans="1:21" ht="15" customHeight="1">
      <c r="A14" s="10"/>
      <c r="O14" s="17" t="s">
        <v>10</v>
      </c>
      <c r="P14" s="82">
        <v>53.9</v>
      </c>
      <c r="Q14" s="82">
        <v>55.1</v>
      </c>
      <c r="R14" s="82"/>
      <c r="S14" s="27"/>
      <c r="T14" s="27"/>
      <c r="U14" s="27"/>
    </row>
    <row r="15" spans="1:21" ht="15" customHeight="1">
      <c r="A15" s="10"/>
      <c r="O15" s="17" t="s">
        <v>11</v>
      </c>
      <c r="P15" s="82">
        <v>50.9</v>
      </c>
      <c r="Q15" s="82">
        <v>59.4</v>
      </c>
      <c r="R15" s="82"/>
      <c r="S15" s="27"/>
      <c r="T15" s="27"/>
      <c r="U15" s="27"/>
    </row>
    <row r="16" spans="1:21" ht="15" customHeight="1">
      <c r="A16" s="10"/>
      <c r="O16" s="17" t="s">
        <v>12</v>
      </c>
      <c r="P16" s="82">
        <v>54.3</v>
      </c>
      <c r="Q16" s="82">
        <v>64.599999999999994</v>
      </c>
      <c r="R16" s="82"/>
      <c r="S16" s="27"/>
      <c r="T16" s="27"/>
      <c r="U16" s="27"/>
    </row>
    <row r="17" spans="1:21" ht="15" customHeight="1">
      <c r="A17" s="10"/>
      <c r="O17" s="28" t="s">
        <v>13</v>
      </c>
      <c r="P17" s="83">
        <v>60.7</v>
      </c>
      <c r="Q17" s="83">
        <v>74.599999999999994</v>
      </c>
      <c r="R17" s="83"/>
      <c r="S17" s="27"/>
      <c r="T17" s="27"/>
      <c r="U17" s="27"/>
    </row>
    <row r="18" spans="1:21" ht="15" customHeight="1">
      <c r="A18" s="10"/>
      <c r="O18" s="7" t="s">
        <v>559</v>
      </c>
      <c r="P18" s="25">
        <f>IF(getAggModelsPB[[#Totals],[antalFGAr]] &gt; 0,getAggRechargeModels[[#Totals],[antalFGAr]]  / getAggModelsPB[[#Totals],[antalFGAr]] * 100,0)</f>
        <v>51.205819093264694</v>
      </c>
      <c r="Q18" s="25">
        <f>IF(getAggModelsPB[[#Totals],[antalÅret]] &gt; 0,getAggRechargeModels[[#Totals],[antalÅret]]  / getAggModelsPB[[#Totals],[antalÅret]] * 100,0)</f>
        <v>57.683751557216588</v>
      </c>
      <c r="R18" s="25">
        <f>IF(getAggModelsPB[[#Totals],[antalÅret]] &gt; 0,getAggRechargeModels[[#Totals],[antalÅret]]  / getAggModelsPB[[#Totals],[antalÅret]] * 100,0)</f>
        <v>57.683751557216588</v>
      </c>
      <c r="S18" s="27"/>
      <c r="T18" s="27"/>
      <c r="U18" s="27"/>
    </row>
    <row r="19" spans="1:21" ht="15" customHeight="1">
      <c r="A19" s="10"/>
      <c r="O19" s="7" t="s">
        <v>558</v>
      </c>
      <c r="P19" s="25">
        <v>45</v>
      </c>
      <c r="Q19" s="25">
        <v>56.1</v>
      </c>
      <c r="R19" s="27"/>
      <c r="S19" s="27"/>
      <c r="T19" s="27"/>
      <c r="U19" s="27"/>
    </row>
    <row r="20" spans="1:21" ht="15" customHeight="1">
      <c r="A20" s="10"/>
    </row>
    <row r="21" spans="1:21" ht="15" customHeight="1">
      <c r="A21" s="10"/>
    </row>
    <row r="22" spans="1:21" ht="15" customHeight="1">
      <c r="A22" s="10"/>
    </row>
    <row r="23" spans="1:21" ht="15" customHeight="1">
      <c r="A23" s="10"/>
    </row>
    <row r="24" spans="1:21" ht="15" customHeight="1">
      <c r="A24" s="10"/>
    </row>
    <row r="25" spans="1:21" ht="15" customHeight="1">
      <c r="A25" s="10"/>
    </row>
    <row r="26" spans="1:21" ht="15" customHeight="1">
      <c r="A26" s="10"/>
    </row>
    <row r="27" spans="1:21" ht="15" customHeight="1">
      <c r="A27" s="10"/>
    </row>
    <row r="28" spans="1:21" ht="15" customHeight="1">
      <c r="A28" s="10"/>
    </row>
    <row r="29" spans="1:21" ht="15" customHeight="1">
      <c r="A29" s="10"/>
    </row>
    <row r="30" spans="1:21" ht="15" customHeight="1">
      <c r="A30" s="10"/>
    </row>
    <row r="31" spans="1:21" ht="15" customHeight="1">
      <c r="A31" s="10"/>
    </row>
    <row r="32" spans="1:21" ht="15" customHeight="1">
      <c r="A32" s="10"/>
    </row>
    <row r="33" spans="1:14" ht="15" customHeight="1">
      <c r="A33" s="10"/>
    </row>
    <row r="34" spans="1:14" ht="15" customHeight="1">
      <c r="A34" s="10"/>
    </row>
    <row r="35" spans="1:14" ht="15" customHeight="1">
      <c r="A35" s="10"/>
    </row>
    <row r="36" spans="1:14" ht="19.25" customHeight="1" thickBot="1">
      <c r="A36" s="72" t="s">
        <v>482</v>
      </c>
      <c r="B36" s="72"/>
      <c r="C36" s="72"/>
    </row>
    <row r="37" spans="1:14" ht="15" customHeight="1">
      <c r="A37" s="10"/>
    </row>
    <row r="38" spans="1:14">
      <c r="A38" s="8" t="s">
        <v>472</v>
      </c>
      <c r="B38" s="59"/>
      <c r="C38" s="59"/>
      <c r="D38" s="59"/>
      <c r="E38" s="59"/>
      <c r="F38" s="59"/>
      <c r="G38" s="59"/>
      <c r="H38" s="275" t="s">
        <v>473</v>
      </c>
      <c r="I38" s="275"/>
      <c r="J38" s="275"/>
      <c r="K38" s="275"/>
      <c r="L38" s="275"/>
      <c r="M38" s="275"/>
      <c r="N38" s="59"/>
    </row>
    <row r="39" spans="1:14">
      <c r="A39" s="117"/>
      <c r="B39" s="128"/>
      <c r="C39" s="128"/>
      <c r="D39" s="276" t="s">
        <v>560</v>
      </c>
      <c r="E39" s="277"/>
      <c r="F39" s="278" t="s">
        <v>560</v>
      </c>
      <c r="G39" s="279"/>
      <c r="H39" s="278" t="s">
        <v>561</v>
      </c>
      <c r="I39" s="279"/>
      <c r="J39" s="278" t="s">
        <v>562</v>
      </c>
      <c r="K39" s="279"/>
      <c r="L39" s="278" t="s">
        <v>562</v>
      </c>
      <c r="M39" s="279"/>
      <c r="N39" s="59"/>
    </row>
    <row r="40" spans="1:14">
      <c r="A40" s="117"/>
      <c r="B40" s="129" t="s">
        <v>474</v>
      </c>
      <c r="C40" s="130" t="s">
        <v>564</v>
      </c>
      <c r="D40" s="131" t="str">
        <f>Innehåll!D79</f>
        <v xml:space="preserve"> 2023-05</v>
      </c>
      <c r="E40" s="131" t="str">
        <f>Innehåll!D80</f>
        <v xml:space="preserve"> 2022-05</v>
      </c>
      <c r="F40" s="131" t="str">
        <f>Innehåll!D81</f>
        <v>YTD  2023</v>
      </c>
      <c r="G40" s="131" t="str">
        <f>Innehåll!D82</f>
        <v>YTD  2022</v>
      </c>
      <c r="H40" s="131" t="str">
        <f>D40</f>
        <v xml:space="preserve"> 2023-05</v>
      </c>
      <c r="I40" s="132" t="str">
        <f>F40</f>
        <v>YTD  2023</v>
      </c>
      <c r="J40" s="131" t="str">
        <f>D40</f>
        <v xml:space="preserve"> 2023-05</v>
      </c>
      <c r="K40" s="133" t="str">
        <f>F40</f>
        <v>YTD  2023</v>
      </c>
      <c r="L40" s="134" t="str">
        <f>E40</f>
        <v xml:space="preserve"> 2022-05</v>
      </c>
      <c r="M40" s="134" t="str">
        <f>G40</f>
        <v>YTD  2022</v>
      </c>
      <c r="N40" s="59"/>
    </row>
    <row r="41" spans="1:14" ht="15" hidden="1" customHeight="1">
      <c r="A41" s="59" t="s">
        <v>33</v>
      </c>
      <c r="B41" s="59" t="s">
        <v>235</v>
      </c>
      <c r="C41" s="59" t="s">
        <v>236</v>
      </c>
      <c r="D41" s="59" t="s">
        <v>35</v>
      </c>
      <c r="E41" s="59" t="s">
        <v>36</v>
      </c>
      <c r="F41" s="59" t="s">
        <v>37</v>
      </c>
      <c r="G41" s="59" t="s">
        <v>38</v>
      </c>
      <c r="H41" s="59" t="s">
        <v>39</v>
      </c>
      <c r="I41" s="59" t="s">
        <v>40</v>
      </c>
      <c r="J41" s="59" t="s">
        <v>41</v>
      </c>
      <c r="K41" s="59" t="s">
        <v>42</v>
      </c>
      <c r="L41" s="59" t="s">
        <v>43</v>
      </c>
      <c r="M41" s="59" t="s">
        <v>44</v>
      </c>
      <c r="N41" s="59"/>
    </row>
    <row r="42" spans="1:14">
      <c r="A42" s="59">
        <v>1</v>
      </c>
      <c r="B42" s="59" t="s">
        <v>627</v>
      </c>
      <c r="C42" s="59" t="s">
        <v>24</v>
      </c>
      <c r="D42" s="24">
        <v>1903</v>
      </c>
      <c r="E42" s="24">
        <v>312</v>
      </c>
      <c r="F42" s="24">
        <v>6165</v>
      </c>
      <c r="G42" s="24">
        <v>2271</v>
      </c>
      <c r="H42" s="59">
        <v>509.94</v>
      </c>
      <c r="I42" s="59">
        <v>171.47</v>
      </c>
      <c r="J42" s="59">
        <v>10.79</v>
      </c>
      <c r="K42" s="59">
        <v>9.51</v>
      </c>
      <c r="L42" s="59">
        <v>2.4900000000000002</v>
      </c>
      <c r="M42" s="59">
        <v>3.76</v>
      </c>
      <c r="N42" s="59"/>
    </row>
    <row r="43" spans="1:14">
      <c r="A43" s="59">
        <v>2</v>
      </c>
      <c r="B43" s="59" t="s">
        <v>443</v>
      </c>
      <c r="C43" s="59" t="s">
        <v>24</v>
      </c>
      <c r="D43" s="24">
        <v>1041</v>
      </c>
      <c r="E43" s="24">
        <v>318</v>
      </c>
      <c r="F43" s="24">
        <v>4483</v>
      </c>
      <c r="G43" s="24">
        <v>2131</v>
      </c>
      <c r="H43" s="59">
        <v>227.36</v>
      </c>
      <c r="I43" s="59">
        <v>110.37</v>
      </c>
      <c r="J43" s="59">
        <v>5.9</v>
      </c>
      <c r="K43" s="59">
        <v>6.92</v>
      </c>
      <c r="L43" s="59">
        <v>2.54</v>
      </c>
      <c r="M43" s="59">
        <v>3.52</v>
      </c>
      <c r="N43" s="59"/>
    </row>
    <row r="44" spans="1:14">
      <c r="A44" s="59">
        <v>3</v>
      </c>
      <c r="B44" s="59" t="s">
        <v>413</v>
      </c>
      <c r="C44" s="59" t="s">
        <v>23</v>
      </c>
      <c r="D44" s="24">
        <v>944</v>
      </c>
      <c r="E44" s="24">
        <v>365</v>
      </c>
      <c r="F44" s="24">
        <v>3521</v>
      </c>
      <c r="G44" s="24">
        <v>2942</v>
      </c>
      <c r="H44" s="59">
        <v>158.63</v>
      </c>
      <c r="I44" s="59">
        <v>19.68</v>
      </c>
      <c r="J44" s="59">
        <v>5.35</v>
      </c>
      <c r="K44" s="59">
        <v>5.43</v>
      </c>
      <c r="L44" s="59">
        <v>2.92</v>
      </c>
      <c r="M44" s="59">
        <v>4.87</v>
      </c>
      <c r="N44" s="59"/>
    </row>
    <row r="45" spans="1:14">
      <c r="A45" s="59">
        <v>4</v>
      </c>
      <c r="B45" s="59" t="s">
        <v>503</v>
      </c>
      <c r="C45" s="59" t="s">
        <v>24</v>
      </c>
      <c r="D45" s="24">
        <v>837</v>
      </c>
      <c r="E45" s="24">
        <v>658</v>
      </c>
      <c r="F45" s="24">
        <v>3390</v>
      </c>
      <c r="G45" s="24">
        <v>3100</v>
      </c>
      <c r="H45" s="59">
        <v>27.2</v>
      </c>
      <c r="I45" s="59">
        <v>9.35</v>
      </c>
      <c r="J45" s="59">
        <v>4.75</v>
      </c>
      <c r="K45" s="59">
        <v>5.23</v>
      </c>
      <c r="L45" s="59">
        <v>5.26</v>
      </c>
      <c r="M45" s="59">
        <v>5.13</v>
      </c>
      <c r="N45" s="59"/>
    </row>
    <row r="46" spans="1:14">
      <c r="A46" s="59">
        <v>5</v>
      </c>
      <c r="B46" s="59" t="s">
        <v>655</v>
      </c>
      <c r="C46" s="59" t="s">
        <v>24</v>
      </c>
      <c r="D46" s="24">
        <v>387</v>
      </c>
      <c r="E46" s="24">
        <v>296</v>
      </c>
      <c r="F46" s="24">
        <v>1997</v>
      </c>
      <c r="G46" s="24">
        <v>1489</v>
      </c>
      <c r="H46" s="59">
        <v>30.74</v>
      </c>
      <c r="I46" s="59">
        <v>34.119999999999997</v>
      </c>
      <c r="J46" s="59">
        <v>2.19</v>
      </c>
      <c r="K46" s="59">
        <v>3.08</v>
      </c>
      <c r="L46" s="59">
        <v>2.36</v>
      </c>
      <c r="M46" s="59">
        <v>2.46</v>
      </c>
      <c r="N46" s="59"/>
    </row>
    <row r="47" spans="1:14">
      <c r="A47" s="59">
        <v>6</v>
      </c>
      <c r="B47" s="59" t="s">
        <v>663</v>
      </c>
      <c r="C47" s="59" t="s">
        <v>24</v>
      </c>
      <c r="D47" s="24">
        <v>556</v>
      </c>
      <c r="E47" s="24">
        <v>50</v>
      </c>
      <c r="F47" s="24">
        <v>1658</v>
      </c>
      <c r="G47" s="24">
        <v>343</v>
      </c>
      <c r="H47" s="59">
        <v>1012</v>
      </c>
      <c r="I47" s="59">
        <v>383.38</v>
      </c>
      <c r="J47" s="59">
        <v>3.15</v>
      </c>
      <c r="K47" s="59">
        <v>2.56</v>
      </c>
      <c r="L47" s="59">
        <v>0.4</v>
      </c>
      <c r="M47" s="59">
        <v>0.56999999999999995</v>
      </c>
      <c r="N47" s="59"/>
    </row>
    <row r="48" spans="1:14">
      <c r="A48" s="59">
        <v>7</v>
      </c>
      <c r="B48" s="59" t="s">
        <v>715</v>
      </c>
      <c r="C48" s="59" t="s">
        <v>23</v>
      </c>
      <c r="D48" s="24">
        <v>336</v>
      </c>
      <c r="E48" s="24">
        <v>337</v>
      </c>
      <c r="F48" s="24">
        <v>1560</v>
      </c>
      <c r="G48" s="24">
        <v>767</v>
      </c>
      <c r="H48" s="59">
        <v>-0.3</v>
      </c>
      <c r="I48" s="59">
        <v>103.39</v>
      </c>
      <c r="J48" s="59">
        <v>1.91</v>
      </c>
      <c r="K48" s="59">
        <v>2.41</v>
      </c>
      <c r="L48" s="59">
        <v>2.69</v>
      </c>
      <c r="M48" s="59">
        <v>1.27</v>
      </c>
      <c r="N48" s="59"/>
    </row>
    <row r="49" spans="1:14">
      <c r="A49" s="59">
        <v>8</v>
      </c>
      <c r="B49" s="59" t="s">
        <v>592</v>
      </c>
      <c r="C49" s="59" t="s">
        <v>24</v>
      </c>
      <c r="D49" s="24">
        <v>438</v>
      </c>
      <c r="E49" s="24">
        <v>391</v>
      </c>
      <c r="F49" s="24">
        <v>1520</v>
      </c>
      <c r="G49" s="24">
        <v>1190</v>
      </c>
      <c r="H49" s="59">
        <v>12.02</v>
      </c>
      <c r="I49" s="59">
        <v>27.73</v>
      </c>
      <c r="J49" s="59">
        <v>2.48</v>
      </c>
      <c r="K49" s="59">
        <v>2.34</v>
      </c>
      <c r="L49" s="59">
        <v>3.12</v>
      </c>
      <c r="M49" s="59">
        <v>1.97</v>
      </c>
      <c r="N49" s="59"/>
    </row>
    <row r="50" spans="1:14">
      <c r="A50" s="59">
        <v>9</v>
      </c>
      <c r="B50" s="59" t="s">
        <v>239</v>
      </c>
      <c r="C50" s="59" t="s">
        <v>24</v>
      </c>
      <c r="D50" s="24">
        <v>349</v>
      </c>
      <c r="E50" s="24">
        <v>564</v>
      </c>
      <c r="F50" s="24">
        <v>1517</v>
      </c>
      <c r="G50" s="24">
        <v>3714</v>
      </c>
      <c r="H50" s="59">
        <v>-38.119999999999997</v>
      </c>
      <c r="I50" s="59">
        <v>-59.15</v>
      </c>
      <c r="J50" s="59">
        <v>1.98</v>
      </c>
      <c r="K50" s="59">
        <v>2.34</v>
      </c>
      <c r="L50" s="59">
        <v>4.5</v>
      </c>
      <c r="M50" s="59">
        <v>6.14</v>
      </c>
      <c r="N50" s="59"/>
    </row>
    <row r="51" spans="1:14">
      <c r="A51" s="59">
        <v>10</v>
      </c>
      <c r="B51" s="59" t="s">
        <v>391</v>
      </c>
      <c r="C51" s="59" t="s">
        <v>23</v>
      </c>
      <c r="D51" s="24">
        <v>298</v>
      </c>
      <c r="E51" s="24">
        <v>721</v>
      </c>
      <c r="F51" s="24">
        <v>1421</v>
      </c>
      <c r="G51" s="24">
        <v>2472</v>
      </c>
      <c r="H51" s="59">
        <v>-58.67</v>
      </c>
      <c r="I51" s="59">
        <v>-42.52</v>
      </c>
      <c r="J51" s="59">
        <v>1.69</v>
      </c>
      <c r="K51" s="59">
        <v>2.19</v>
      </c>
      <c r="L51" s="59">
        <v>5.76</v>
      </c>
      <c r="M51" s="59">
        <v>4.09</v>
      </c>
      <c r="N51" s="59"/>
    </row>
    <row r="52" spans="1:14">
      <c r="A52" s="59">
        <v>11</v>
      </c>
      <c r="B52" s="59" t="s">
        <v>424</v>
      </c>
      <c r="C52" s="59" t="s">
        <v>24</v>
      </c>
      <c r="D52" s="24">
        <v>695</v>
      </c>
      <c r="E52" s="24">
        <v>315</v>
      </c>
      <c r="F52" s="24">
        <v>1339</v>
      </c>
      <c r="G52" s="24">
        <v>1999</v>
      </c>
      <c r="H52" s="59">
        <v>120.63</v>
      </c>
      <c r="I52" s="59">
        <v>-33.020000000000003</v>
      </c>
      <c r="J52" s="59">
        <v>3.94</v>
      </c>
      <c r="K52" s="59">
        <v>2.0699999999999998</v>
      </c>
      <c r="L52" s="59">
        <v>2.52</v>
      </c>
      <c r="M52" s="59">
        <v>3.31</v>
      </c>
      <c r="N52" s="59"/>
    </row>
    <row r="53" spans="1:14">
      <c r="A53" s="59">
        <v>12</v>
      </c>
      <c r="B53" s="59" t="s">
        <v>64</v>
      </c>
      <c r="C53" s="59" t="s">
        <v>24</v>
      </c>
      <c r="D53" s="24">
        <v>188</v>
      </c>
      <c r="E53" s="24">
        <v>0</v>
      </c>
      <c r="F53" s="24">
        <v>1254</v>
      </c>
      <c r="G53" s="24">
        <v>1183</v>
      </c>
      <c r="H53" s="59">
        <v>0</v>
      </c>
      <c r="I53" s="59">
        <v>6</v>
      </c>
      <c r="J53" s="59">
        <v>1.07</v>
      </c>
      <c r="K53" s="59">
        <v>1.93</v>
      </c>
      <c r="L53" s="59">
        <v>0</v>
      </c>
      <c r="M53" s="59">
        <v>1.96</v>
      </c>
      <c r="N53" s="59"/>
    </row>
    <row r="54" spans="1:14">
      <c r="A54" s="59">
        <v>13</v>
      </c>
      <c r="B54" s="59" t="s">
        <v>437</v>
      </c>
      <c r="C54" s="59" t="s">
        <v>24</v>
      </c>
      <c r="D54" s="24">
        <v>337</v>
      </c>
      <c r="E54" s="24">
        <v>135</v>
      </c>
      <c r="F54" s="24">
        <v>1229</v>
      </c>
      <c r="G54" s="24">
        <v>621</v>
      </c>
      <c r="H54" s="59">
        <v>149.63</v>
      </c>
      <c r="I54" s="59">
        <v>97.91</v>
      </c>
      <c r="J54" s="59">
        <v>1.91</v>
      </c>
      <c r="K54" s="59">
        <v>1.9</v>
      </c>
      <c r="L54" s="59">
        <v>1.08</v>
      </c>
      <c r="M54" s="59">
        <v>1.03</v>
      </c>
      <c r="N54" s="59"/>
    </row>
    <row r="55" spans="1:14">
      <c r="A55" s="59">
        <v>14</v>
      </c>
      <c r="B55" s="59" t="s">
        <v>720</v>
      </c>
      <c r="C55" s="59" t="s">
        <v>24</v>
      </c>
      <c r="D55" s="24">
        <v>277</v>
      </c>
      <c r="E55" s="24">
        <v>61</v>
      </c>
      <c r="F55" s="24">
        <v>1155</v>
      </c>
      <c r="G55" s="24">
        <v>163</v>
      </c>
      <c r="H55" s="59">
        <v>354.1</v>
      </c>
      <c r="I55" s="59">
        <v>608.59</v>
      </c>
      <c r="J55" s="59">
        <v>1.57</v>
      </c>
      <c r="K55" s="59">
        <v>1.78</v>
      </c>
      <c r="L55" s="59">
        <v>0.49</v>
      </c>
      <c r="M55" s="59">
        <v>0.27</v>
      </c>
      <c r="N55" s="59"/>
    </row>
    <row r="56" spans="1:14">
      <c r="A56" s="59">
        <v>15</v>
      </c>
      <c r="B56" s="59" t="s">
        <v>619</v>
      </c>
      <c r="C56" s="59" t="s">
        <v>24</v>
      </c>
      <c r="D56" s="24">
        <v>387</v>
      </c>
      <c r="E56" s="24">
        <v>212</v>
      </c>
      <c r="F56" s="24">
        <v>1141</v>
      </c>
      <c r="G56" s="24">
        <v>990</v>
      </c>
      <c r="H56" s="59">
        <v>82.55</v>
      </c>
      <c r="I56" s="59">
        <v>15.25</v>
      </c>
      <c r="J56" s="59">
        <v>2.19</v>
      </c>
      <c r="K56" s="59">
        <v>1.76</v>
      </c>
      <c r="L56" s="59">
        <v>1.69</v>
      </c>
      <c r="M56" s="59">
        <v>1.64</v>
      </c>
      <c r="N56" s="59"/>
    </row>
    <row r="57" spans="1:14">
      <c r="A57" s="59">
        <v>16</v>
      </c>
      <c r="B57" s="59" t="s">
        <v>395</v>
      </c>
      <c r="C57" s="59" t="s">
        <v>23</v>
      </c>
      <c r="D57" s="24">
        <v>396</v>
      </c>
      <c r="E57" s="24">
        <v>717</v>
      </c>
      <c r="F57" s="24">
        <v>1019</v>
      </c>
      <c r="G57" s="24">
        <v>1775</v>
      </c>
      <c r="H57" s="59">
        <v>-44.77</v>
      </c>
      <c r="I57" s="59">
        <v>-42.59</v>
      </c>
      <c r="J57" s="59">
        <v>2.25</v>
      </c>
      <c r="K57" s="59">
        <v>1.57</v>
      </c>
      <c r="L57" s="59">
        <v>5.73</v>
      </c>
      <c r="M57" s="59">
        <v>2.94</v>
      </c>
      <c r="N57" s="59"/>
    </row>
    <row r="58" spans="1:14">
      <c r="A58" s="59">
        <v>17</v>
      </c>
      <c r="B58" s="59" t="s">
        <v>414</v>
      </c>
      <c r="C58" s="59" t="s">
        <v>23</v>
      </c>
      <c r="D58" s="24">
        <v>283</v>
      </c>
      <c r="E58" s="24">
        <v>129</v>
      </c>
      <c r="F58" s="24">
        <v>928</v>
      </c>
      <c r="G58" s="24">
        <v>1008</v>
      </c>
      <c r="H58" s="59">
        <v>119.38</v>
      </c>
      <c r="I58" s="59">
        <v>-7.94</v>
      </c>
      <c r="J58" s="59">
        <v>1.61</v>
      </c>
      <c r="K58" s="59">
        <v>1.43</v>
      </c>
      <c r="L58" s="59">
        <v>1.03</v>
      </c>
      <c r="M58" s="59">
        <v>1.67</v>
      </c>
      <c r="N58" s="59"/>
    </row>
    <row r="59" spans="1:14">
      <c r="A59" s="59">
        <v>18</v>
      </c>
      <c r="B59" s="59" t="s">
        <v>241</v>
      </c>
      <c r="C59" s="59" t="s">
        <v>23</v>
      </c>
      <c r="D59" s="24">
        <v>300</v>
      </c>
      <c r="E59" s="24">
        <v>56</v>
      </c>
      <c r="F59" s="24">
        <v>857</v>
      </c>
      <c r="G59" s="24">
        <v>537</v>
      </c>
      <c r="H59" s="59">
        <v>435.71</v>
      </c>
      <c r="I59" s="59">
        <v>59.59</v>
      </c>
      <c r="J59" s="59">
        <v>1.7</v>
      </c>
      <c r="K59" s="59">
        <v>1.32</v>
      </c>
      <c r="L59" s="59">
        <v>0.45</v>
      </c>
      <c r="M59" s="59">
        <v>0.89</v>
      </c>
      <c r="N59" s="59"/>
    </row>
    <row r="60" spans="1:14">
      <c r="A60" s="59">
        <v>19</v>
      </c>
      <c r="B60" s="59" t="s">
        <v>429</v>
      </c>
      <c r="C60" s="59" t="s">
        <v>23</v>
      </c>
      <c r="D60" s="24">
        <v>105</v>
      </c>
      <c r="E60" s="24">
        <v>605</v>
      </c>
      <c r="F60" s="24">
        <v>834</v>
      </c>
      <c r="G60" s="24">
        <v>2063</v>
      </c>
      <c r="H60" s="59">
        <v>-82.64</v>
      </c>
      <c r="I60" s="59">
        <v>-59.57</v>
      </c>
      <c r="J60" s="59">
        <v>0.6</v>
      </c>
      <c r="K60" s="59">
        <v>1.29</v>
      </c>
      <c r="L60" s="59">
        <v>4.83</v>
      </c>
      <c r="M60" s="59">
        <v>3.41</v>
      </c>
      <c r="N60" s="59"/>
    </row>
    <row r="61" spans="1:14">
      <c r="A61" s="59">
        <v>20</v>
      </c>
      <c r="B61" s="59" t="s">
        <v>597</v>
      </c>
      <c r="C61" s="59" t="s">
        <v>23</v>
      </c>
      <c r="D61" s="24">
        <v>206</v>
      </c>
      <c r="E61" s="24">
        <v>294</v>
      </c>
      <c r="F61" s="24">
        <v>786</v>
      </c>
      <c r="G61" s="24">
        <v>848</v>
      </c>
      <c r="H61" s="59">
        <v>-29.93</v>
      </c>
      <c r="I61" s="59">
        <v>-7.31</v>
      </c>
      <c r="J61" s="59">
        <v>1.17</v>
      </c>
      <c r="K61" s="59">
        <v>1.21</v>
      </c>
      <c r="L61" s="59">
        <v>2.35</v>
      </c>
      <c r="M61" s="59">
        <v>1.4</v>
      </c>
      <c r="N61" s="59"/>
    </row>
    <row r="62" spans="1:14">
      <c r="A62" s="59">
        <v>21</v>
      </c>
      <c r="B62" s="59" t="s">
        <v>664</v>
      </c>
      <c r="C62" s="59" t="s">
        <v>24</v>
      </c>
      <c r="D62" s="24">
        <v>406</v>
      </c>
      <c r="E62" s="24">
        <v>278</v>
      </c>
      <c r="F62" s="24">
        <v>747</v>
      </c>
      <c r="G62" s="24">
        <v>463</v>
      </c>
      <c r="H62" s="59">
        <v>46.04</v>
      </c>
      <c r="I62" s="59">
        <v>61.34</v>
      </c>
      <c r="J62" s="59">
        <v>2.2999999999999998</v>
      </c>
      <c r="K62" s="59">
        <v>1.1499999999999999</v>
      </c>
      <c r="L62" s="59">
        <v>2.2200000000000002</v>
      </c>
      <c r="M62" s="59">
        <v>0.77</v>
      </c>
      <c r="N62" s="59"/>
    </row>
    <row r="63" spans="1:14">
      <c r="A63" s="59">
        <v>22</v>
      </c>
      <c r="B63" s="59" t="s">
        <v>1011</v>
      </c>
      <c r="C63" s="59" t="s">
        <v>23</v>
      </c>
      <c r="D63" s="24">
        <v>41</v>
      </c>
      <c r="E63" s="24">
        <v>0</v>
      </c>
      <c r="F63" s="24">
        <v>706</v>
      </c>
      <c r="G63" s="24">
        <v>0</v>
      </c>
      <c r="H63" s="59">
        <v>0</v>
      </c>
      <c r="I63" s="59">
        <v>0</v>
      </c>
      <c r="J63" s="59">
        <v>0.23</v>
      </c>
      <c r="K63" s="59">
        <v>1.0900000000000001</v>
      </c>
      <c r="L63" s="59">
        <v>0</v>
      </c>
      <c r="M63" s="59">
        <v>0</v>
      </c>
      <c r="N63" s="59"/>
    </row>
    <row r="64" spans="1:14">
      <c r="A64" s="59">
        <v>23</v>
      </c>
      <c r="B64" s="59" t="s">
        <v>103</v>
      </c>
      <c r="C64" s="59" t="s">
        <v>24</v>
      </c>
      <c r="D64" s="24">
        <v>134</v>
      </c>
      <c r="E64" s="24">
        <v>231</v>
      </c>
      <c r="F64" s="24">
        <v>700</v>
      </c>
      <c r="G64" s="24">
        <v>1450</v>
      </c>
      <c r="H64" s="59">
        <v>-41.99</v>
      </c>
      <c r="I64" s="59">
        <v>-51.72</v>
      </c>
      <c r="J64" s="59">
        <v>0.76</v>
      </c>
      <c r="K64" s="59">
        <v>1.08</v>
      </c>
      <c r="L64" s="59">
        <v>1.84</v>
      </c>
      <c r="M64" s="59">
        <v>2.4</v>
      </c>
      <c r="N64" s="59"/>
    </row>
    <row r="65" spans="1:14">
      <c r="A65" s="59">
        <v>24</v>
      </c>
      <c r="B65" s="59" t="s">
        <v>1057</v>
      </c>
      <c r="C65" s="59" t="s">
        <v>24</v>
      </c>
      <c r="D65" s="24">
        <v>173</v>
      </c>
      <c r="E65" s="24">
        <v>0</v>
      </c>
      <c r="F65" s="24">
        <v>669</v>
      </c>
      <c r="G65" s="24">
        <v>0</v>
      </c>
      <c r="H65" s="59">
        <v>0</v>
      </c>
      <c r="I65" s="59">
        <v>0</v>
      </c>
      <c r="J65" s="59">
        <v>0.98</v>
      </c>
      <c r="K65" s="59">
        <v>1.03</v>
      </c>
      <c r="L65" s="59">
        <v>0</v>
      </c>
      <c r="M65" s="59">
        <v>0</v>
      </c>
      <c r="N65" s="59"/>
    </row>
    <row r="66" spans="1:14">
      <c r="A66" s="59">
        <v>25</v>
      </c>
      <c r="B66" s="59" t="s">
        <v>1038</v>
      </c>
      <c r="C66" s="59" t="s">
        <v>24</v>
      </c>
      <c r="D66" s="24">
        <v>276</v>
      </c>
      <c r="E66" s="24">
        <v>0</v>
      </c>
      <c r="F66" s="24">
        <v>663</v>
      </c>
      <c r="G66" s="24">
        <v>0</v>
      </c>
      <c r="H66" s="59">
        <v>0</v>
      </c>
      <c r="I66" s="59">
        <v>0</v>
      </c>
      <c r="J66" s="59">
        <v>1.57</v>
      </c>
      <c r="K66" s="59">
        <v>1.02</v>
      </c>
      <c r="L66" s="59">
        <v>0</v>
      </c>
      <c r="M66" s="59">
        <v>0</v>
      </c>
      <c r="N66" s="59"/>
    </row>
    <row r="67" spans="1:14">
      <c r="A67" s="59">
        <v>26</v>
      </c>
      <c r="B67" s="59" t="s">
        <v>717</v>
      </c>
      <c r="C67" s="59" t="s">
        <v>24</v>
      </c>
      <c r="D67" s="24">
        <v>64</v>
      </c>
      <c r="E67" s="24">
        <v>1</v>
      </c>
      <c r="F67" s="24">
        <v>651</v>
      </c>
      <c r="G67" s="24">
        <v>8</v>
      </c>
      <c r="H67" s="59">
        <v>6300</v>
      </c>
      <c r="I67" s="59">
        <v>8037.5</v>
      </c>
      <c r="J67" s="59">
        <v>0.36</v>
      </c>
      <c r="K67" s="59">
        <v>1</v>
      </c>
      <c r="L67" s="59">
        <v>0.01</v>
      </c>
      <c r="M67" s="59">
        <v>0.01</v>
      </c>
      <c r="N67" s="59"/>
    </row>
    <row r="68" spans="1:14">
      <c r="A68" s="59">
        <v>27</v>
      </c>
      <c r="B68" s="59" t="s">
        <v>420</v>
      </c>
      <c r="C68" s="59" t="s">
        <v>23</v>
      </c>
      <c r="D68" s="24">
        <v>89</v>
      </c>
      <c r="E68" s="24">
        <v>87</v>
      </c>
      <c r="F68" s="24">
        <v>623</v>
      </c>
      <c r="G68" s="24">
        <v>718</v>
      </c>
      <c r="H68" s="59">
        <v>2.2999999999999998</v>
      </c>
      <c r="I68" s="59">
        <v>-13.23</v>
      </c>
      <c r="J68" s="59">
        <v>0.5</v>
      </c>
      <c r="K68" s="59">
        <v>0.96</v>
      </c>
      <c r="L68" s="59">
        <v>0.69</v>
      </c>
      <c r="M68" s="59">
        <v>1.19</v>
      </c>
      <c r="N68" s="59"/>
    </row>
    <row r="69" spans="1:14">
      <c r="A69" s="59">
        <v>28</v>
      </c>
      <c r="B69" s="59" t="s">
        <v>415</v>
      </c>
      <c r="C69" s="59" t="s">
        <v>23</v>
      </c>
      <c r="D69" s="24">
        <v>311</v>
      </c>
      <c r="E69" s="24">
        <v>111</v>
      </c>
      <c r="F69" s="24">
        <v>618</v>
      </c>
      <c r="G69" s="24">
        <v>1055</v>
      </c>
      <c r="H69" s="59">
        <v>180.18</v>
      </c>
      <c r="I69" s="59">
        <v>-41.42</v>
      </c>
      <c r="J69" s="59">
        <v>1.76</v>
      </c>
      <c r="K69" s="59">
        <v>0.95</v>
      </c>
      <c r="L69" s="59">
        <v>0.89</v>
      </c>
      <c r="M69" s="59">
        <v>1.74</v>
      </c>
      <c r="N69" s="59"/>
    </row>
    <row r="70" spans="1:14">
      <c r="A70" s="59">
        <v>29</v>
      </c>
      <c r="B70" s="59" t="s">
        <v>716</v>
      </c>
      <c r="C70" s="59" t="s">
        <v>24</v>
      </c>
      <c r="D70" s="24">
        <v>152</v>
      </c>
      <c r="E70" s="24">
        <v>46</v>
      </c>
      <c r="F70" s="24">
        <v>614</v>
      </c>
      <c r="G70" s="24">
        <v>98</v>
      </c>
      <c r="H70" s="59">
        <v>230.43</v>
      </c>
      <c r="I70" s="59">
        <v>526.53</v>
      </c>
      <c r="J70" s="59">
        <v>0.86</v>
      </c>
      <c r="K70" s="59">
        <v>0.95</v>
      </c>
      <c r="L70" s="59">
        <v>0.37</v>
      </c>
      <c r="M70" s="59">
        <v>0.16</v>
      </c>
      <c r="N70" s="59"/>
    </row>
    <row r="71" spans="1:14">
      <c r="A71" s="59">
        <v>30</v>
      </c>
      <c r="B71" s="59" t="s">
        <v>146</v>
      </c>
      <c r="C71" s="59" t="s">
        <v>24</v>
      </c>
      <c r="D71" s="24">
        <v>139</v>
      </c>
      <c r="E71" s="24">
        <v>253</v>
      </c>
      <c r="F71" s="24">
        <v>584</v>
      </c>
      <c r="G71" s="24">
        <v>725</v>
      </c>
      <c r="H71" s="59">
        <v>-45.06</v>
      </c>
      <c r="I71" s="59">
        <v>-19.45</v>
      </c>
      <c r="J71" s="59">
        <v>0.79</v>
      </c>
      <c r="K71" s="59">
        <v>0.9</v>
      </c>
      <c r="L71" s="59">
        <v>2.02</v>
      </c>
      <c r="M71" s="59">
        <v>1.2</v>
      </c>
      <c r="N71" s="59"/>
    </row>
    <row r="72" spans="1:14">
      <c r="A72" s="59">
        <v>31</v>
      </c>
      <c r="B72" s="59" t="s">
        <v>672</v>
      </c>
      <c r="C72" s="59" t="s">
        <v>24</v>
      </c>
      <c r="D72" s="24">
        <v>179</v>
      </c>
      <c r="E72" s="24">
        <v>109</v>
      </c>
      <c r="F72" s="24">
        <v>584</v>
      </c>
      <c r="G72" s="24">
        <v>187</v>
      </c>
      <c r="H72" s="59">
        <v>64.22</v>
      </c>
      <c r="I72" s="59">
        <v>212.3</v>
      </c>
      <c r="J72" s="59">
        <v>1.02</v>
      </c>
      <c r="K72" s="59">
        <v>0.9</v>
      </c>
      <c r="L72" s="59">
        <v>0.87</v>
      </c>
      <c r="M72" s="59">
        <v>0.31</v>
      </c>
      <c r="N72" s="59"/>
    </row>
    <row r="73" spans="1:14">
      <c r="A73" s="59">
        <v>32</v>
      </c>
      <c r="B73" s="59" t="s">
        <v>670</v>
      </c>
      <c r="C73" s="59" t="s">
        <v>23</v>
      </c>
      <c r="D73" s="24">
        <v>84</v>
      </c>
      <c r="E73" s="24">
        <v>108</v>
      </c>
      <c r="F73" s="24">
        <v>569</v>
      </c>
      <c r="G73" s="24">
        <v>349</v>
      </c>
      <c r="H73" s="59">
        <v>-22.22</v>
      </c>
      <c r="I73" s="59">
        <v>63.04</v>
      </c>
      <c r="J73" s="59">
        <v>0.48</v>
      </c>
      <c r="K73" s="59">
        <v>0.88</v>
      </c>
      <c r="L73" s="59">
        <v>0.86</v>
      </c>
      <c r="M73" s="59">
        <v>0.57999999999999996</v>
      </c>
      <c r="N73" s="59"/>
    </row>
    <row r="74" spans="1:14">
      <c r="A74" s="59">
        <v>33</v>
      </c>
      <c r="B74" s="59" t="s">
        <v>237</v>
      </c>
      <c r="C74" s="59" t="s">
        <v>23</v>
      </c>
      <c r="D74" s="24">
        <v>203</v>
      </c>
      <c r="E74" s="24">
        <v>100</v>
      </c>
      <c r="F74" s="24">
        <v>561</v>
      </c>
      <c r="G74" s="24">
        <v>878</v>
      </c>
      <c r="H74" s="59">
        <v>103</v>
      </c>
      <c r="I74" s="59">
        <v>-36.1</v>
      </c>
      <c r="J74" s="59">
        <v>1.1499999999999999</v>
      </c>
      <c r="K74" s="59">
        <v>0.87</v>
      </c>
      <c r="L74" s="59">
        <v>0.8</v>
      </c>
      <c r="M74" s="59">
        <v>1.45</v>
      </c>
      <c r="N74" s="59"/>
    </row>
    <row r="75" spans="1:14">
      <c r="A75" s="59">
        <v>34</v>
      </c>
      <c r="B75" s="59" t="s">
        <v>722</v>
      </c>
      <c r="C75" s="59" t="s">
        <v>24</v>
      </c>
      <c r="D75" s="24">
        <v>138</v>
      </c>
      <c r="E75" s="24">
        <v>53</v>
      </c>
      <c r="F75" s="24">
        <v>554</v>
      </c>
      <c r="G75" s="24">
        <v>73</v>
      </c>
      <c r="H75" s="59">
        <v>160.38</v>
      </c>
      <c r="I75" s="59">
        <v>658.9</v>
      </c>
      <c r="J75" s="59">
        <v>0.78</v>
      </c>
      <c r="K75" s="59">
        <v>0.85</v>
      </c>
      <c r="L75" s="59">
        <v>0.42</v>
      </c>
      <c r="M75" s="59">
        <v>0.12</v>
      </c>
      <c r="N75" s="59"/>
    </row>
    <row r="76" spans="1:14">
      <c r="A76" s="59">
        <v>35</v>
      </c>
      <c r="B76" s="59" t="s">
        <v>1163</v>
      </c>
      <c r="C76" s="59" t="s">
        <v>24</v>
      </c>
      <c r="D76" s="24">
        <v>306</v>
      </c>
      <c r="E76" s="24">
        <v>0</v>
      </c>
      <c r="F76" s="24">
        <v>540</v>
      </c>
      <c r="G76" s="24">
        <v>0</v>
      </c>
      <c r="H76" s="59">
        <v>0</v>
      </c>
      <c r="I76" s="59">
        <v>0</v>
      </c>
      <c r="J76" s="59">
        <v>1.74</v>
      </c>
      <c r="K76" s="59">
        <v>0.83</v>
      </c>
      <c r="L76" s="59">
        <v>0</v>
      </c>
      <c r="M76" s="59">
        <v>0</v>
      </c>
      <c r="N76" s="59"/>
    </row>
    <row r="77" spans="1:14">
      <c r="A77" s="59">
        <v>36</v>
      </c>
      <c r="B77" s="59" t="s">
        <v>432</v>
      </c>
      <c r="C77" s="59" t="s">
        <v>23</v>
      </c>
      <c r="D77" s="24">
        <v>50</v>
      </c>
      <c r="E77" s="24">
        <v>135</v>
      </c>
      <c r="F77" s="24">
        <v>539</v>
      </c>
      <c r="G77" s="24">
        <v>766</v>
      </c>
      <c r="H77" s="59">
        <v>-62.96</v>
      </c>
      <c r="I77" s="59">
        <v>-29.63</v>
      </c>
      <c r="J77" s="59">
        <v>0.28000000000000003</v>
      </c>
      <c r="K77" s="59">
        <v>0.83</v>
      </c>
      <c r="L77" s="59">
        <v>1.08</v>
      </c>
      <c r="M77" s="59">
        <v>1.27</v>
      </c>
      <c r="N77" s="59"/>
    </row>
    <row r="78" spans="1:14">
      <c r="A78" s="59">
        <v>37</v>
      </c>
      <c r="B78" s="59" t="s">
        <v>444</v>
      </c>
      <c r="C78" s="59" t="s">
        <v>23</v>
      </c>
      <c r="D78" s="24">
        <v>233</v>
      </c>
      <c r="E78" s="24">
        <v>158</v>
      </c>
      <c r="F78" s="24">
        <v>503</v>
      </c>
      <c r="G78" s="24">
        <v>1003</v>
      </c>
      <c r="H78" s="59">
        <v>47.47</v>
      </c>
      <c r="I78" s="59">
        <v>-49.85</v>
      </c>
      <c r="J78" s="59">
        <v>1.32</v>
      </c>
      <c r="K78" s="59">
        <v>0.78</v>
      </c>
      <c r="L78" s="59">
        <v>1.26</v>
      </c>
      <c r="M78" s="59">
        <v>1.66</v>
      </c>
      <c r="N78" s="59"/>
    </row>
    <row r="79" spans="1:14">
      <c r="A79" s="59">
        <v>38</v>
      </c>
      <c r="B79" s="59" t="s">
        <v>401</v>
      </c>
      <c r="C79" s="59" t="s">
        <v>23</v>
      </c>
      <c r="D79" s="24">
        <v>57</v>
      </c>
      <c r="E79" s="24">
        <v>273</v>
      </c>
      <c r="F79" s="24">
        <v>494</v>
      </c>
      <c r="G79" s="24">
        <v>1008</v>
      </c>
      <c r="H79" s="59">
        <v>-79.12</v>
      </c>
      <c r="I79" s="59">
        <v>-50.99</v>
      </c>
      <c r="J79" s="59">
        <v>0.32</v>
      </c>
      <c r="K79" s="59">
        <v>0.76</v>
      </c>
      <c r="L79" s="59">
        <v>2.1800000000000002</v>
      </c>
      <c r="M79" s="59">
        <v>1.67</v>
      </c>
      <c r="N79" s="59"/>
    </row>
    <row r="80" spans="1:14">
      <c r="A80" s="59">
        <v>39</v>
      </c>
      <c r="B80" s="59" t="s">
        <v>665</v>
      </c>
      <c r="C80" s="59" t="s">
        <v>24</v>
      </c>
      <c r="D80" s="24">
        <v>143</v>
      </c>
      <c r="E80" s="24">
        <v>0</v>
      </c>
      <c r="F80" s="24">
        <v>450</v>
      </c>
      <c r="G80" s="24">
        <v>0</v>
      </c>
      <c r="H80" s="59">
        <v>0</v>
      </c>
      <c r="I80" s="59">
        <v>0</v>
      </c>
      <c r="J80" s="59">
        <v>0.81</v>
      </c>
      <c r="K80" s="59">
        <v>0.69</v>
      </c>
      <c r="L80" s="59">
        <v>0</v>
      </c>
      <c r="M80" s="59">
        <v>0</v>
      </c>
      <c r="N80" s="59"/>
    </row>
    <row r="81" spans="1:14">
      <c r="A81" s="59">
        <v>40</v>
      </c>
      <c r="B81" s="59" t="s">
        <v>513</v>
      </c>
      <c r="C81" s="59" t="s">
        <v>23</v>
      </c>
      <c r="D81" s="24">
        <v>143</v>
      </c>
      <c r="E81" s="24">
        <v>56</v>
      </c>
      <c r="F81" s="24">
        <v>439</v>
      </c>
      <c r="G81" s="24">
        <v>639</v>
      </c>
      <c r="H81" s="59">
        <v>155.36000000000001</v>
      </c>
      <c r="I81" s="59">
        <v>-31.3</v>
      </c>
      <c r="J81" s="59">
        <v>0.81</v>
      </c>
      <c r="K81" s="59">
        <v>0.68</v>
      </c>
      <c r="L81" s="59">
        <v>0.45</v>
      </c>
      <c r="M81" s="59">
        <v>1.06</v>
      </c>
      <c r="N81" s="59"/>
    </row>
    <row r="82" spans="1:14">
      <c r="A82" s="59">
        <v>41</v>
      </c>
      <c r="B82" s="59" t="s">
        <v>725</v>
      </c>
      <c r="C82" s="59" t="s">
        <v>24</v>
      </c>
      <c r="D82" s="24">
        <v>46</v>
      </c>
      <c r="E82" s="24">
        <v>120</v>
      </c>
      <c r="F82" s="24">
        <v>433</v>
      </c>
      <c r="G82" s="24">
        <v>184</v>
      </c>
      <c r="H82" s="59">
        <v>-61.67</v>
      </c>
      <c r="I82" s="59">
        <v>135.33000000000001</v>
      </c>
      <c r="J82" s="59">
        <v>0.26</v>
      </c>
      <c r="K82" s="59">
        <v>0.67</v>
      </c>
      <c r="L82" s="59">
        <v>0.96</v>
      </c>
      <c r="M82" s="59">
        <v>0.3</v>
      </c>
      <c r="N82" s="59"/>
    </row>
    <row r="83" spans="1:14">
      <c r="A83" s="59">
        <v>42</v>
      </c>
      <c r="B83" s="59" t="s">
        <v>1059</v>
      </c>
      <c r="C83" s="59" t="s">
        <v>23</v>
      </c>
      <c r="D83" s="24">
        <v>99</v>
      </c>
      <c r="E83" s="24">
        <v>0</v>
      </c>
      <c r="F83" s="24">
        <v>422</v>
      </c>
      <c r="G83" s="24">
        <v>0</v>
      </c>
      <c r="H83" s="59">
        <v>0</v>
      </c>
      <c r="I83" s="59">
        <v>0</v>
      </c>
      <c r="J83" s="59">
        <v>0.56000000000000005</v>
      </c>
      <c r="K83" s="59">
        <v>0.65</v>
      </c>
      <c r="L83" s="59">
        <v>0</v>
      </c>
      <c r="M83" s="59">
        <v>0</v>
      </c>
      <c r="N83" s="59"/>
    </row>
    <row r="84" spans="1:14">
      <c r="A84" s="59">
        <v>43</v>
      </c>
      <c r="B84" s="59" t="s">
        <v>611</v>
      </c>
      <c r="C84" s="59" t="s">
        <v>24</v>
      </c>
      <c r="D84" s="24">
        <v>97</v>
      </c>
      <c r="E84" s="24">
        <v>233</v>
      </c>
      <c r="F84" s="24">
        <v>415</v>
      </c>
      <c r="G84" s="24">
        <v>796</v>
      </c>
      <c r="H84" s="59">
        <v>-58.37</v>
      </c>
      <c r="I84" s="59">
        <v>-47.86</v>
      </c>
      <c r="J84" s="59">
        <v>0.55000000000000004</v>
      </c>
      <c r="K84" s="59">
        <v>0.64</v>
      </c>
      <c r="L84" s="59">
        <v>1.86</v>
      </c>
      <c r="M84" s="59">
        <v>1.32</v>
      </c>
      <c r="N84" s="59"/>
    </row>
    <row r="85" spans="1:14">
      <c r="A85" s="59">
        <v>44</v>
      </c>
      <c r="B85" s="59" t="s">
        <v>108</v>
      </c>
      <c r="C85" s="59" t="s">
        <v>24</v>
      </c>
      <c r="D85" s="24">
        <v>38</v>
      </c>
      <c r="E85" s="24">
        <v>156</v>
      </c>
      <c r="F85" s="24">
        <v>412</v>
      </c>
      <c r="G85" s="24">
        <v>549</v>
      </c>
      <c r="H85" s="59">
        <v>-75.64</v>
      </c>
      <c r="I85" s="59">
        <v>-24.95</v>
      </c>
      <c r="J85" s="59">
        <v>0.22</v>
      </c>
      <c r="K85" s="59">
        <v>0.64</v>
      </c>
      <c r="L85" s="59">
        <v>1.25</v>
      </c>
      <c r="M85" s="59">
        <v>0.91</v>
      </c>
      <c r="N85" s="59"/>
    </row>
    <row r="86" spans="1:14">
      <c r="A86" s="59">
        <v>45</v>
      </c>
      <c r="B86" s="59" t="s">
        <v>585</v>
      </c>
      <c r="C86" s="59" t="s">
        <v>24</v>
      </c>
      <c r="D86" s="24">
        <v>166</v>
      </c>
      <c r="E86" s="24">
        <v>101</v>
      </c>
      <c r="F86" s="24">
        <v>402</v>
      </c>
      <c r="G86" s="24">
        <v>200</v>
      </c>
      <c r="H86" s="59">
        <v>64.36</v>
      </c>
      <c r="I86" s="59">
        <v>101</v>
      </c>
      <c r="J86" s="59">
        <v>0.94</v>
      </c>
      <c r="K86" s="59">
        <v>0.62</v>
      </c>
      <c r="L86" s="59">
        <v>0.81</v>
      </c>
      <c r="M86" s="59">
        <v>0.33</v>
      </c>
      <c r="N86" s="59"/>
    </row>
    <row r="87" spans="1:14">
      <c r="A87" s="59">
        <v>46</v>
      </c>
      <c r="B87" s="59" t="s">
        <v>518</v>
      </c>
      <c r="C87" s="59" t="s">
        <v>24</v>
      </c>
      <c r="D87" s="24">
        <v>99</v>
      </c>
      <c r="E87" s="24">
        <v>24</v>
      </c>
      <c r="F87" s="24">
        <v>400</v>
      </c>
      <c r="G87" s="24">
        <v>199</v>
      </c>
      <c r="H87" s="59">
        <v>312.5</v>
      </c>
      <c r="I87" s="59">
        <v>101.01</v>
      </c>
      <c r="J87" s="59">
        <v>0.56000000000000005</v>
      </c>
      <c r="K87" s="59">
        <v>0.62</v>
      </c>
      <c r="L87" s="59">
        <v>0.19</v>
      </c>
      <c r="M87" s="59">
        <v>0.33</v>
      </c>
      <c r="N87" s="59"/>
    </row>
    <row r="88" spans="1:14">
      <c r="A88" s="59">
        <v>47</v>
      </c>
      <c r="B88" s="59" t="s">
        <v>376</v>
      </c>
      <c r="C88" s="59" t="s">
        <v>23</v>
      </c>
      <c r="D88" s="24">
        <v>88</v>
      </c>
      <c r="E88" s="24">
        <v>7</v>
      </c>
      <c r="F88" s="24">
        <v>388</v>
      </c>
      <c r="G88" s="24">
        <v>109</v>
      </c>
      <c r="H88" s="59">
        <v>1157.1400000000001</v>
      </c>
      <c r="I88" s="59">
        <v>255.96</v>
      </c>
      <c r="J88" s="59">
        <v>0.5</v>
      </c>
      <c r="K88" s="59">
        <v>0.6</v>
      </c>
      <c r="L88" s="59">
        <v>0.06</v>
      </c>
      <c r="M88" s="59">
        <v>0.18</v>
      </c>
      <c r="N88" s="59"/>
    </row>
    <row r="89" spans="1:14">
      <c r="A89" s="59">
        <v>48</v>
      </c>
      <c r="B89" s="59" t="s">
        <v>512</v>
      </c>
      <c r="C89" s="59" t="s">
        <v>23</v>
      </c>
      <c r="D89" s="24">
        <v>68</v>
      </c>
      <c r="E89" s="24">
        <v>10</v>
      </c>
      <c r="F89" s="24">
        <v>383</v>
      </c>
      <c r="G89" s="24">
        <v>159</v>
      </c>
      <c r="H89" s="59">
        <v>580</v>
      </c>
      <c r="I89" s="59">
        <v>140.88</v>
      </c>
      <c r="J89" s="59">
        <v>0.39</v>
      </c>
      <c r="K89" s="59">
        <v>0.59</v>
      </c>
      <c r="L89" s="59">
        <v>0.08</v>
      </c>
      <c r="M89" s="59">
        <v>0.26</v>
      </c>
      <c r="N89" s="59"/>
    </row>
    <row r="90" spans="1:14">
      <c r="A90" s="59">
        <v>49</v>
      </c>
      <c r="B90" s="59" t="s">
        <v>238</v>
      </c>
      <c r="C90" s="59" t="s">
        <v>23</v>
      </c>
      <c r="D90" s="24">
        <v>246</v>
      </c>
      <c r="E90" s="24">
        <v>85</v>
      </c>
      <c r="F90" s="24">
        <v>378</v>
      </c>
      <c r="G90" s="24">
        <v>407</v>
      </c>
      <c r="H90" s="59">
        <v>189.41</v>
      </c>
      <c r="I90" s="59">
        <v>-7.13</v>
      </c>
      <c r="J90" s="59">
        <v>1.4</v>
      </c>
      <c r="K90" s="59">
        <v>0.57999999999999996</v>
      </c>
      <c r="L90" s="59">
        <v>0.68</v>
      </c>
      <c r="M90" s="59">
        <v>0.67</v>
      </c>
      <c r="N90" s="59"/>
    </row>
    <row r="91" spans="1:14">
      <c r="A91" s="59">
        <v>50</v>
      </c>
      <c r="B91" s="59" t="s">
        <v>1054</v>
      </c>
      <c r="C91" s="59" t="s">
        <v>24</v>
      </c>
      <c r="D91" s="24">
        <v>141</v>
      </c>
      <c r="E91" s="24">
        <v>0</v>
      </c>
      <c r="F91" s="24">
        <v>373</v>
      </c>
      <c r="G91" s="24">
        <v>0</v>
      </c>
      <c r="H91" s="59">
        <v>0</v>
      </c>
      <c r="I91" s="59">
        <v>0</v>
      </c>
      <c r="J91" s="59">
        <v>0.8</v>
      </c>
      <c r="K91" s="59">
        <v>0.57999999999999996</v>
      </c>
      <c r="L91" s="59">
        <v>0</v>
      </c>
      <c r="M91" s="59">
        <v>0</v>
      </c>
      <c r="N91" s="59"/>
    </row>
    <row r="92" spans="1:14">
      <c r="A92" s="59">
        <v>51</v>
      </c>
      <c r="B92" s="59" t="s">
        <v>1044</v>
      </c>
      <c r="C92" s="59" t="s">
        <v>24</v>
      </c>
      <c r="D92" s="24">
        <v>127</v>
      </c>
      <c r="E92" s="24">
        <v>0</v>
      </c>
      <c r="F92" s="24">
        <v>359</v>
      </c>
      <c r="G92" s="24">
        <v>0</v>
      </c>
      <c r="H92" s="59">
        <v>0</v>
      </c>
      <c r="I92" s="59">
        <v>0</v>
      </c>
      <c r="J92" s="59">
        <v>0.72</v>
      </c>
      <c r="K92" s="59">
        <v>0.55000000000000004</v>
      </c>
      <c r="L92" s="59">
        <v>0</v>
      </c>
      <c r="M92" s="59">
        <v>0</v>
      </c>
      <c r="N92" s="59"/>
    </row>
    <row r="93" spans="1:14">
      <c r="A93" s="59">
        <v>52</v>
      </c>
      <c r="B93" s="59" t="s">
        <v>583</v>
      </c>
      <c r="C93" s="59" t="s">
        <v>24</v>
      </c>
      <c r="D93" s="24">
        <v>90</v>
      </c>
      <c r="E93" s="24">
        <v>35</v>
      </c>
      <c r="F93" s="24">
        <v>329</v>
      </c>
      <c r="G93" s="24">
        <v>207</v>
      </c>
      <c r="H93" s="59">
        <v>157.13999999999999</v>
      </c>
      <c r="I93" s="59">
        <v>58.94</v>
      </c>
      <c r="J93" s="59">
        <v>0.51</v>
      </c>
      <c r="K93" s="59">
        <v>0.51</v>
      </c>
      <c r="L93" s="59">
        <v>0.28000000000000003</v>
      </c>
      <c r="M93" s="59">
        <v>0.34</v>
      </c>
      <c r="N93" s="59"/>
    </row>
    <row r="94" spans="1:14">
      <c r="A94" s="59">
        <v>53</v>
      </c>
      <c r="B94" s="59" t="s">
        <v>421</v>
      </c>
      <c r="C94" s="59" t="s">
        <v>24</v>
      </c>
      <c r="D94" s="24">
        <v>61</v>
      </c>
      <c r="E94" s="24">
        <v>162</v>
      </c>
      <c r="F94" s="24">
        <v>310</v>
      </c>
      <c r="G94" s="24">
        <v>453</v>
      </c>
      <c r="H94" s="67">
        <v>-62.35</v>
      </c>
      <c r="I94" s="67">
        <v>-31.57</v>
      </c>
      <c r="J94" s="59">
        <v>0.35</v>
      </c>
      <c r="K94" s="59">
        <v>0.48</v>
      </c>
      <c r="L94" s="59">
        <v>1.29</v>
      </c>
      <c r="M94" s="59">
        <v>0.75</v>
      </c>
      <c r="N94" s="59"/>
    </row>
    <row r="95" spans="1:14">
      <c r="A95" s="59">
        <v>54</v>
      </c>
      <c r="B95" s="59" t="s">
        <v>625</v>
      </c>
      <c r="C95" s="59" t="s">
        <v>24</v>
      </c>
      <c r="D95" s="24">
        <v>28</v>
      </c>
      <c r="E95" s="24">
        <v>25</v>
      </c>
      <c r="F95" s="24">
        <v>310</v>
      </c>
      <c r="G95" s="24">
        <v>289</v>
      </c>
      <c r="H95" s="85">
        <v>12</v>
      </c>
      <c r="I95" s="85">
        <v>7.27</v>
      </c>
      <c r="J95" s="59">
        <v>0.16</v>
      </c>
      <c r="K95" s="59">
        <v>0.48</v>
      </c>
      <c r="L95" s="59">
        <v>0.2</v>
      </c>
      <c r="M95" s="59">
        <v>0.48</v>
      </c>
      <c r="N95" s="59"/>
    </row>
    <row r="96" spans="1:14">
      <c r="A96" s="59">
        <v>55</v>
      </c>
      <c r="B96" s="59" t="s">
        <v>506</v>
      </c>
      <c r="C96" s="59" t="s">
        <v>24</v>
      </c>
      <c r="D96" s="24">
        <v>10</v>
      </c>
      <c r="E96" s="24">
        <v>63</v>
      </c>
      <c r="F96" s="24">
        <v>310</v>
      </c>
      <c r="G96" s="24">
        <v>146</v>
      </c>
      <c r="H96" s="59">
        <v>-84.13</v>
      </c>
      <c r="I96" s="59">
        <v>112.33</v>
      </c>
      <c r="J96" s="59">
        <v>0.06</v>
      </c>
      <c r="K96" s="59">
        <v>0.48</v>
      </c>
      <c r="L96" s="59">
        <v>0.5</v>
      </c>
      <c r="M96" s="59">
        <v>0.24</v>
      </c>
      <c r="N96" s="59"/>
    </row>
    <row r="97" spans="1:14">
      <c r="A97" s="59">
        <v>56</v>
      </c>
      <c r="B97" s="59" t="s">
        <v>381</v>
      </c>
      <c r="C97" s="59" t="s">
        <v>24</v>
      </c>
      <c r="D97" s="24">
        <v>52</v>
      </c>
      <c r="E97" s="24">
        <v>76</v>
      </c>
      <c r="F97" s="24">
        <v>309</v>
      </c>
      <c r="G97" s="24">
        <v>391</v>
      </c>
      <c r="H97" s="59">
        <v>-31.58</v>
      </c>
      <c r="I97" s="59">
        <v>-20.97</v>
      </c>
      <c r="J97" s="59">
        <v>0.28999999999999998</v>
      </c>
      <c r="K97" s="59">
        <v>0.48</v>
      </c>
      <c r="L97" s="59">
        <v>0.61</v>
      </c>
      <c r="M97" s="59">
        <v>0.65</v>
      </c>
      <c r="N97" s="59"/>
    </row>
    <row r="98" spans="1:14">
      <c r="A98" s="59">
        <v>57</v>
      </c>
      <c r="B98" s="59" t="s">
        <v>244</v>
      </c>
      <c r="C98" s="59" t="s">
        <v>23</v>
      </c>
      <c r="D98" s="24">
        <v>65</v>
      </c>
      <c r="E98" s="24">
        <v>0</v>
      </c>
      <c r="F98" s="24">
        <v>305</v>
      </c>
      <c r="G98" s="24">
        <v>1</v>
      </c>
      <c r="H98" s="59">
        <v>0</v>
      </c>
      <c r="I98" s="59">
        <v>30400</v>
      </c>
      <c r="J98" s="59">
        <v>0.37</v>
      </c>
      <c r="K98" s="59">
        <v>0.47</v>
      </c>
      <c r="L98" s="59">
        <v>0</v>
      </c>
      <c r="M98" s="59">
        <v>0</v>
      </c>
      <c r="N98" s="59"/>
    </row>
    <row r="99" spans="1:14">
      <c r="A99" s="59">
        <v>58</v>
      </c>
      <c r="B99" s="59" t="s">
        <v>1065</v>
      </c>
      <c r="C99" s="59" t="s">
        <v>24</v>
      </c>
      <c r="D99" s="24">
        <v>262</v>
      </c>
      <c r="E99" s="24">
        <v>0</v>
      </c>
      <c r="F99" s="24">
        <v>303</v>
      </c>
      <c r="G99" s="24">
        <v>0</v>
      </c>
      <c r="H99" s="59">
        <v>0</v>
      </c>
      <c r="I99" s="59">
        <v>0</v>
      </c>
      <c r="J99" s="59">
        <v>1.49</v>
      </c>
      <c r="K99" s="59">
        <v>0.47</v>
      </c>
      <c r="L99" s="59">
        <v>0</v>
      </c>
      <c r="M99" s="59">
        <v>0</v>
      </c>
      <c r="N99" s="59"/>
    </row>
    <row r="100" spans="1:14">
      <c r="A100" s="59">
        <v>59</v>
      </c>
      <c r="B100" s="59" t="s">
        <v>126</v>
      </c>
      <c r="C100" s="59" t="s">
        <v>23</v>
      </c>
      <c r="D100" s="24">
        <v>81</v>
      </c>
      <c r="E100" s="24">
        <v>132</v>
      </c>
      <c r="F100" s="24">
        <v>302</v>
      </c>
      <c r="G100" s="24">
        <v>379</v>
      </c>
      <c r="H100" s="59">
        <v>-38.64</v>
      </c>
      <c r="I100" s="59">
        <v>-20.32</v>
      </c>
      <c r="J100" s="59">
        <v>0.46</v>
      </c>
      <c r="K100" s="59">
        <v>0.47</v>
      </c>
      <c r="L100" s="59">
        <v>1.05</v>
      </c>
      <c r="M100" s="59">
        <v>0.63</v>
      </c>
      <c r="N100" s="59"/>
    </row>
    <row r="101" spans="1:14">
      <c r="A101" s="59">
        <v>60</v>
      </c>
      <c r="B101" s="59" t="s">
        <v>392</v>
      </c>
      <c r="C101" s="59" t="s">
        <v>23</v>
      </c>
      <c r="D101" s="24">
        <v>81</v>
      </c>
      <c r="E101" s="24">
        <v>90</v>
      </c>
      <c r="F101" s="24">
        <v>289</v>
      </c>
      <c r="G101" s="24">
        <v>542</v>
      </c>
      <c r="H101" s="59">
        <v>-10</v>
      </c>
      <c r="I101" s="59">
        <v>-46.68</v>
      </c>
      <c r="J101" s="59">
        <v>0.46</v>
      </c>
      <c r="K101" s="59">
        <v>0.45</v>
      </c>
      <c r="L101" s="59">
        <v>0.72</v>
      </c>
      <c r="M101" s="59">
        <v>0.9</v>
      </c>
      <c r="N101" s="59"/>
    </row>
    <row r="102" spans="1:14">
      <c r="A102" s="59">
        <v>61</v>
      </c>
      <c r="B102" s="59" t="s">
        <v>686</v>
      </c>
      <c r="C102" s="59" t="s">
        <v>24</v>
      </c>
      <c r="D102" s="24">
        <v>57</v>
      </c>
      <c r="E102" s="24">
        <v>56</v>
      </c>
      <c r="F102" s="24">
        <v>278</v>
      </c>
      <c r="G102" s="24">
        <v>204</v>
      </c>
      <c r="H102" s="59">
        <v>1.79</v>
      </c>
      <c r="I102" s="59">
        <v>36.270000000000003</v>
      </c>
      <c r="J102" s="59">
        <v>0.32</v>
      </c>
      <c r="K102" s="59">
        <v>0.43</v>
      </c>
      <c r="L102" s="59">
        <v>0.45</v>
      </c>
      <c r="M102" s="59">
        <v>0.34</v>
      </c>
      <c r="N102" s="59"/>
    </row>
    <row r="103" spans="1:14">
      <c r="A103" s="59">
        <v>62</v>
      </c>
      <c r="B103" s="59" t="s">
        <v>425</v>
      </c>
      <c r="C103" s="59" t="s">
        <v>23</v>
      </c>
      <c r="D103" s="24">
        <v>43</v>
      </c>
      <c r="E103" s="24">
        <v>19</v>
      </c>
      <c r="F103" s="24">
        <v>271</v>
      </c>
      <c r="G103" s="24">
        <v>119</v>
      </c>
      <c r="H103" s="59">
        <v>126.32</v>
      </c>
      <c r="I103" s="59">
        <v>127.73</v>
      </c>
      <c r="J103" s="59">
        <v>0.24</v>
      </c>
      <c r="K103" s="59">
        <v>0.42</v>
      </c>
      <c r="L103" s="59">
        <v>0.15</v>
      </c>
      <c r="M103" s="59">
        <v>0.2</v>
      </c>
      <c r="N103" s="59"/>
    </row>
    <row r="104" spans="1:14">
      <c r="A104" s="59">
        <v>63</v>
      </c>
      <c r="B104" s="59" t="s">
        <v>84</v>
      </c>
      <c r="C104" s="59" t="s">
        <v>23</v>
      </c>
      <c r="D104" s="24">
        <v>126</v>
      </c>
      <c r="E104" s="24">
        <v>30</v>
      </c>
      <c r="F104" s="24">
        <v>250</v>
      </c>
      <c r="G104" s="24">
        <v>297</v>
      </c>
      <c r="H104" s="59">
        <v>320</v>
      </c>
      <c r="I104" s="59">
        <v>-15.82</v>
      </c>
      <c r="J104" s="59">
        <v>0.71</v>
      </c>
      <c r="K104" s="59">
        <v>0.39</v>
      </c>
      <c r="L104" s="59">
        <v>0.24</v>
      </c>
      <c r="M104" s="59">
        <v>0.49</v>
      </c>
      <c r="N104" s="59"/>
    </row>
    <row r="105" spans="1:14">
      <c r="A105" s="59">
        <v>64</v>
      </c>
      <c r="B105" s="59" t="s">
        <v>431</v>
      </c>
      <c r="C105" s="59" t="s">
        <v>24</v>
      </c>
      <c r="D105" s="24">
        <v>12</v>
      </c>
      <c r="E105" s="24">
        <v>98</v>
      </c>
      <c r="F105" s="24">
        <v>231</v>
      </c>
      <c r="G105" s="24">
        <v>562</v>
      </c>
      <c r="H105" s="59">
        <v>-87.76</v>
      </c>
      <c r="I105" s="59">
        <v>-58.9</v>
      </c>
      <c r="J105" s="59">
        <v>7.0000000000000007E-2</v>
      </c>
      <c r="K105" s="59">
        <v>0.36</v>
      </c>
      <c r="L105" s="59">
        <v>0.78</v>
      </c>
      <c r="M105" s="59">
        <v>0.93</v>
      </c>
      <c r="N105" s="59"/>
    </row>
    <row r="106" spans="1:14">
      <c r="A106" s="59">
        <v>65</v>
      </c>
      <c r="B106" s="59" t="s">
        <v>426</v>
      </c>
      <c r="C106" s="59" t="s">
        <v>24</v>
      </c>
      <c r="D106" s="24">
        <v>52</v>
      </c>
      <c r="E106" s="24">
        <v>6</v>
      </c>
      <c r="F106" s="24">
        <v>218</v>
      </c>
      <c r="G106" s="24">
        <v>240</v>
      </c>
      <c r="H106" s="59">
        <v>766.67</v>
      </c>
      <c r="I106" s="59">
        <v>-9.17</v>
      </c>
      <c r="J106" s="59">
        <v>0.28999999999999998</v>
      </c>
      <c r="K106" s="59">
        <v>0.34</v>
      </c>
      <c r="L106" s="59">
        <v>0.05</v>
      </c>
      <c r="M106" s="59">
        <v>0.4</v>
      </c>
      <c r="N106" s="59"/>
    </row>
    <row r="107" spans="1:14">
      <c r="A107" s="59">
        <v>66</v>
      </c>
      <c r="B107" s="59" t="s">
        <v>410</v>
      </c>
      <c r="C107" s="59" t="s">
        <v>23</v>
      </c>
      <c r="D107" s="24">
        <v>76</v>
      </c>
      <c r="E107" s="24">
        <v>145</v>
      </c>
      <c r="F107" s="24">
        <v>210</v>
      </c>
      <c r="G107" s="24">
        <v>494</v>
      </c>
      <c r="H107" s="59">
        <v>-47.59</v>
      </c>
      <c r="I107" s="59">
        <v>-57.49</v>
      </c>
      <c r="J107" s="59">
        <v>0.43</v>
      </c>
      <c r="K107" s="59">
        <v>0.32</v>
      </c>
      <c r="L107" s="59">
        <v>1.1599999999999999</v>
      </c>
      <c r="M107" s="59">
        <v>0.82</v>
      </c>
      <c r="N107" s="59"/>
    </row>
    <row r="108" spans="1:14">
      <c r="A108" s="59">
        <v>67</v>
      </c>
      <c r="B108" s="59" t="s">
        <v>417</v>
      </c>
      <c r="C108" s="59" t="s">
        <v>23</v>
      </c>
      <c r="D108" s="24">
        <v>65</v>
      </c>
      <c r="E108" s="24">
        <v>105</v>
      </c>
      <c r="F108" s="24">
        <v>210</v>
      </c>
      <c r="G108" s="24">
        <v>276</v>
      </c>
      <c r="H108" s="59">
        <v>-38.1</v>
      </c>
      <c r="I108" s="59">
        <v>-23.91</v>
      </c>
      <c r="J108" s="59">
        <v>0.37</v>
      </c>
      <c r="K108" s="59">
        <v>0.32</v>
      </c>
      <c r="L108" s="59">
        <v>0.84</v>
      </c>
      <c r="M108" s="59">
        <v>0.46</v>
      </c>
      <c r="N108" s="59"/>
    </row>
    <row r="109" spans="1:14">
      <c r="A109" s="59">
        <v>68</v>
      </c>
      <c r="B109" s="59" t="s">
        <v>370</v>
      </c>
      <c r="C109" s="59" t="s">
        <v>23</v>
      </c>
      <c r="D109" s="24">
        <v>51</v>
      </c>
      <c r="E109" s="24">
        <v>47</v>
      </c>
      <c r="F109" s="24">
        <v>199</v>
      </c>
      <c r="G109" s="24">
        <v>281</v>
      </c>
      <c r="H109" s="59">
        <v>8.51</v>
      </c>
      <c r="I109" s="59">
        <v>-29.18</v>
      </c>
      <c r="J109" s="59">
        <v>0.28999999999999998</v>
      </c>
      <c r="K109" s="59">
        <v>0.31</v>
      </c>
      <c r="L109" s="59">
        <v>0.38</v>
      </c>
      <c r="M109" s="59">
        <v>0.46</v>
      </c>
      <c r="N109" s="59"/>
    </row>
    <row r="110" spans="1:14">
      <c r="A110" s="59">
        <v>69</v>
      </c>
      <c r="B110" s="59" t="s">
        <v>596</v>
      </c>
      <c r="C110" s="59" t="s">
        <v>24</v>
      </c>
      <c r="D110" s="24">
        <v>95</v>
      </c>
      <c r="E110" s="24">
        <v>1</v>
      </c>
      <c r="F110" s="24">
        <v>196</v>
      </c>
      <c r="G110" s="24">
        <v>316</v>
      </c>
      <c r="H110" s="59">
        <v>9400</v>
      </c>
      <c r="I110" s="59">
        <v>-37.97</v>
      </c>
      <c r="J110" s="59">
        <v>0.54</v>
      </c>
      <c r="K110" s="59">
        <v>0.3</v>
      </c>
      <c r="L110" s="59">
        <v>0.01</v>
      </c>
      <c r="M110" s="59">
        <v>0.52</v>
      </c>
      <c r="N110" s="59"/>
    </row>
    <row r="111" spans="1:14">
      <c r="A111" s="59">
        <v>70</v>
      </c>
      <c r="B111" s="59" t="s">
        <v>394</v>
      </c>
      <c r="C111" s="59" t="s">
        <v>23</v>
      </c>
      <c r="D111" s="24">
        <v>46</v>
      </c>
      <c r="E111" s="24">
        <v>23</v>
      </c>
      <c r="F111" s="24">
        <v>183</v>
      </c>
      <c r="G111" s="24">
        <v>286</v>
      </c>
      <c r="H111" s="59">
        <v>100</v>
      </c>
      <c r="I111" s="59">
        <v>-36.01</v>
      </c>
      <c r="J111" s="59">
        <v>0.26</v>
      </c>
      <c r="K111" s="59">
        <v>0.28000000000000003</v>
      </c>
      <c r="L111" s="59">
        <v>0.18</v>
      </c>
      <c r="M111" s="59">
        <v>0.47</v>
      </c>
      <c r="N111" s="59"/>
    </row>
    <row r="112" spans="1:14">
      <c r="A112" s="59">
        <v>71</v>
      </c>
      <c r="B112" s="59" t="s">
        <v>666</v>
      </c>
      <c r="C112" s="59" t="s">
        <v>24</v>
      </c>
      <c r="D112" s="24">
        <v>55</v>
      </c>
      <c r="E112" s="24">
        <v>19</v>
      </c>
      <c r="F112" s="24">
        <v>183</v>
      </c>
      <c r="G112" s="24">
        <v>124</v>
      </c>
      <c r="H112" s="59">
        <v>189.47</v>
      </c>
      <c r="I112" s="59">
        <v>47.58</v>
      </c>
      <c r="J112" s="59">
        <v>0.31</v>
      </c>
      <c r="K112" s="59">
        <v>0.28000000000000003</v>
      </c>
      <c r="L112" s="59">
        <v>0.15</v>
      </c>
      <c r="M112" s="59">
        <v>0.21</v>
      </c>
      <c r="N112" s="59"/>
    </row>
    <row r="113" spans="1:14">
      <c r="A113" s="59">
        <v>72</v>
      </c>
      <c r="B113" s="59" t="s">
        <v>147</v>
      </c>
      <c r="C113" s="59" t="s">
        <v>24</v>
      </c>
      <c r="D113" s="24">
        <v>124</v>
      </c>
      <c r="E113" s="24">
        <v>0</v>
      </c>
      <c r="F113" s="24">
        <v>180</v>
      </c>
      <c r="G113" s="24">
        <v>0</v>
      </c>
      <c r="H113" s="59">
        <v>0</v>
      </c>
      <c r="I113" s="59">
        <v>0</v>
      </c>
      <c r="J113" s="59">
        <v>0.7</v>
      </c>
      <c r="K113" s="59">
        <v>0.28000000000000003</v>
      </c>
      <c r="L113" s="59">
        <v>0</v>
      </c>
      <c r="M113" s="59">
        <v>0</v>
      </c>
      <c r="N113" s="59"/>
    </row>
    <row r="114" spans="1:14">
      <c r="A114" s="59">
        <v>73</v>
      </c>
      <c r="B114" s="59" t="s">
        <v>451</v>
      </c>
      <c r="C114" s="59" t="s">
        <v>23</v>
      </c>
      <c r="D114" s="24">
        <v>14</v>
      </c>
      <c r="E114" s="24">
        <v>56</v>
      </c>
      <c r="F114" s="24">
        <v>167</v>
      </c>
      <c r="G114" s="24">
        <v>354</v>
      </c>
      <c r="H114" s="59">
        <v>-75</v>
      </c>
      <c r="I114" s="59">
        <v>-52.82</v>
      </c>
      <c r="J114" s="59">
        <v>0.08</v>
      </c>
      <c r="K114" s="59">
        <v>0.26</v>
      </c>
      <c r="L114" s="59">
        <v>0.45</v>
      </c>
      <c r="M114" s="59">
        <v>0.59</v>
      </c>
      <c r="N114" s="59"/>
    </row>
    <row r="115" spans="1:14">
      <c r="A115" s="59">
        <v>74</v>
      </c>
      <c r="B115" s="59" t="s">
        <v>679</v>
      </c>
      <c r="C115" s="59" t="s">
        <v>23</v>
      </c>
      <c r="D115" s="24">
        <v>28</v>
      </c>
      <c r="E115" s="24">
        <v>31</v>
      </c>
      <c r="F115" s="24">
        <v>160</v>
      </c>
      <c r="G115" s="24">
        <v>132</v>
      </c>
      <c r="H115" s="59">
        <v>-9.68</v>
      </c>
      <c r="I115" s="59">
        <v>21.21</v>
      </c>
      <c r="J115" s="59">
        <v>0.16</v>
      </c>
      <c r="K115" s="59">
        <v>0.25</v>
      </c>
      <c r="L115" s="59">
        <v>0.25</v>
      </c>
      <c r="M115" s="59">
        <v>0.22</v>
      </c>
      <c r="N115" s="59"/>
    </row>
    <row r="116" spans="1:14">
      <c r="A116" s="59">
        <v>75</v>
      </c>
      <c r="B116" s="59" t="s">
        <v>1128</v>
      </c>
      <c r="C116" s="59" t="s">
        <v>24</v>
      </c>
      <c r="D116" s="24">
        <v>80</v>
      </c>
      <c r="E116" s="24">
        <v>0</v>
      </c>
      <c r="F116" s="24">
        <v>155</v>
      </c>
      <c r="G116" s="24">
        <v>0</v>
      </c>
      <c r="H116" s="59">
        <v>0</v>
      </c>
      <c r="I116" s="59">
        <v>0</v>
      </c>
      <c r="J116" s="59">
        <v>0.45</v>
      </c>
      <c r="K116" s="59">
        <v>0.24</v>
      </c>
      <c r="L116" s="59">
        <v>0</v>
      </c>
      <c r="M116" s="59">
        <v>0</v>
      </c>
      <c r="N116" s="59"/>
    </row>
    <row r="117" spans="1:14">
      <c r="A117" s="59">
        <v>76</v>
      </c>
      <c r="B117" s="59" t="s">
        <v>422</v>
      </c>
      <c r="C117" s="59" t="s">
        <v>23</v>
      </c>
      <c r="D117" s="24">
        <v>29</v>
      </c>
      <c r="E117" s="24">
        <v>93</v>
      </c>
      <c r="F117" s="24">
        <v>154</v>
      </c>
      <c r="G117" s="24">
        <v>678</v>
      </c>
      <c r="H117" s="59">
        <v>-68.819999999999993</v>
      </c>
      <c r="I117" s="59">
        <v>-77.290000000000006</v>
      </c>
      <c r="J117" s="59">
        <v>0.16</v>
      </c>
      <c r="K117" s="59">
        <v>0.24</v>
      </c>
      <c r="L117" s="59">
        <v>0.74</v>
      </c>
      <c r="M117" s="59">
        <v>1.1200000000000001</v>
      </c>
      <c r="N117" s="59"/>
    </row>
    <row r="118" spans="1:14">
      <c r="A118" s="59">
        <v>77</v>
      </c>
      <c r="B118" s="59" t="s">
        <v>393</v>
      </c>
      <c r="C118" s="59" t="s">
        <v>23</v>
      </c>
      <c r="D118" s="24">
        <v>37</v>
      </c>
      <c r="E118" s="24">
        <v>11</v>
      </c>
      <c r="F118" s="24">
        <v>149</v>
      </c>
      <c r="G118" s="24">
        <v>53</v>
      </c>
      <c r="H118" s="59">
        <v>236.36</v>
      </c>
      <c r="I118" s="59">
        <v>181.13</v>
      </c>
      <c r="J118" s="59">
        <v>0.21</v>
      </c>
      <c r="K118" s="59">
        <v>0.23</v>
      </c>
      <c r="L118" s="59">
        <v>0.09</v>
      </c>
      <c r="M118" s="59">
        <v>0.09</v>
      </c>
      <c r="N118" s="59"/>
    </row>
    <row r="119" spans="1:14">
      <c r="A119" s="59">
        <v>78</v>
      </c>
      <c r="B119" s="59" t="s">
        <v>182</v>
      </c>
      <c r="C119" s="59" t="s">
        <v>23</v>
      </c>
      <c r="D119" s="24">
        <v>47</v>
      </c>
      <c r="E119" s="24">
        <v>29</v>
      </c>
      <c r="F119" s="24">
        <v>147</v>
      </c>
      <c r="G119" s="24">
        <v>198</v>
      </c>
      <c r="H119" s="59">
        <v>62.07</v>
      </c>
      <c r="I119" s="59">
        <v>-25.76</v>
      </c>
      <c r="J119" s="59">
        <v>0.27</v>
      </c>
      <c r="K119" s="59">
        <v>0.23</v>
      </c>
      <c r="L119" s="59">
        <v>0.23</v>
      </c>
      <c r="M119" s="59">
        <v>0.33</v>
      </c>
      <c r="N119" s="59"/>
    </row>
    <row r="120" spans="1:14">
      <c r="A120" s="59">
        <v>79</v>
      </c>
      <c r="B120" s="59" t="s">
        <v>612</v>
      </c>
      <c r="C120" s="59" t="s">
        <v>23</v>
      </c>
      <c r="D120" s="24">
        <v>0</v>
      </c>
      <c r="E120" s="24">
        <v>182</v>
      </c>
      <c r="F120" s="24">
        <v>142</v>
      </c>
      <c r="G120" s="24">
        <v>947</v>
      </c>
      <c r="H120" s="59">
        <v>-100</v>
      </c>
      <c r="I120" s="59">
        <v>-85.01</v>
      </c>
      <c r="J120" s="59">
        <v>0</v>
      </c>
      <c r="K120" s="59">
        <v>0.22</v>
      </c>
      <c r="L120" s="59">
        <v>1.45</v>
      </c>
      <c r="M120" s="59">
        <v>1.57</v>
      </c>
      <c r="N120" s="59"/>
    </row>
    <row r="121" spans="1:14">
      <c r="A121" s="59">
        <v>80</v>
      </c>
      <c r="B121" s="59" t="s">
        <v>378</v>
      </c>
      <c r="C121" s="59" t="s">
        <v>23</v>
      </c>
      <c r="D121" s="24">
        <v>21</v>
      </c>
      <c r="E121" s="24">
        <v>135</v>
      </c>
      <c r="F121" s="24">
        <v>138</v>
      </c>
      <c r="G121" s="24">
        <v>657</v>
      </c>
      <c r="H121" s="59">
        <v>-84.44</v>
      </c>
      <c r="I121" s="59">
        <v>-79</v>
      </c>
      <c r="J121" s="59">
        <v>0.12</v>
      </c>
      <c r="K121" s="59">
        <v>0.21</v>
      </c>
      <c r="L121" s="59">
        <v>1.08</v>
      </c>
      <c r="M121" s="59">
        <v>1.0900000000000001</v>
      </c>
      <c r="N121" s="59"/>
    </row>
    <row r="122" spans="1:14">
      <c r="A122" s="59">
        <v>81</v>
      </c>
      <c r="B122" s="59" t="s">
        <v>1071</v>
      </c>
      <c r="C122" s="59" t="s">
        <v>23</v>
      </c>
      <c r="D122" s="24">
        <v>23</v>
      </c>
      <c r="E122" s="24">
        <v>0</v>
      </c>
      <c r="F122" s="24">
        <v>135</v>
      </c>
      <c r="G122" s="24">
        <v>0</v>
      </c>
      <c r="H122" s="59">
        <v>0</v>
      </c>
      <c r="I122" s="59">
        <v>0</v>
      </c>
      <c r="J122" s="59">
        <v>0.13</v>
      </c>
      <c r="K122" s="59">
        <v>0.21</v>
      </c>
      <c r="L122" s="59">
        <v>0</v>
      </c>
      <c r="M122" s="59">
        <v>0</v>
      </c>
      <c r="N122" s="59"/>
    </row>
    <row r="123" spans="1:14">
      <c r="A123" s="59">
        <v>82</v>
      </c>
      <c r="B123" s="59" t="s">
        <v>49</v>
      </c>
      <c r="C123" s="59" t="s">
        <v>23</v>
      </c>
      <c r="D123" s="24">
        <v>55</v>
      </c>
      <c r="E123" s="24">
        <v>16</v>
      </c>
      <c r="F123" s="24">
        <v>125</v>
      </c>
      <c r="G123" s="24">
        <v>112</v>
      </c>
      <c r="H123" s="59">
        <v>243.75</v>
      </c>
      <c r="I123" s="59">
        <v>11.61</v>
      </c>
      <c r="J123" s="59">
        <v>0.31</v>
      </c>
      <c r="K123" s="59">
        <v>0.19</v>
      </c>
      <c r="L123" s="59">
        <v>0.13</v>
      </c>
      <c r="M123" s="59">
        <v>0.19</v>
      </c>
      <c r="N123" s="59"/>
    </row>
    <row r="124" spans="1:14">
      <c r="A124" s="59">
        <v>83</v>
      </c>
      <c r="B124" s="59" t="s">
        <v>416</v>
      </c>
      <c r="C124" s="59" t="s">
        <v>24</v>
      </c>
      <c r="D124" s="24">
        <v>45</v>
      </c>
      <c r="E124" s="24">
        <v>46</v>
      </c>
      <c r="F124" s="24">
        <v>124</v>
      </c>
      <c r="G124" s="24">
        <v>305</v>
      </c>
      <c r="H124" s="59">
        <v>-2.17</v>
      </c>
      <c r="I124" s="59">
        <v>-59.34</v>
      </c>
      <c r="J124" s="59">
        <v>0.26</v>
      </c>
      <c r="K124" s="59">
        <v>0.19</v>
      </c>
      <c r="L124" s="59">
        <v>0.37</v>
      </c>
      <c r="M124" s="59">
        <v>0.5</v>
      </c>
      <c r="N124" s="59"/>
    </row>
    <row r="125" spans="1:14">
      <c r="A125" s="59">
        <v>84</v>
      </c>
      <c r="B125" s="59" t="s">
        <v>434</v>
      </c>
      <c r="C125" s="59" t="s">
        <v>23</v>
      </c>
      <c r="D125" s="24">
        <v>22</v>
      </c>
      <c r="E125" s="24">
        <v>25</v>
      </c>
      <c r="F125" s="24">
        <v>122</v>
      </c>
      <c r="G125" s="24">
        <v>203</v>
      </c>
      <c r="H125" s="59">
        <v>-12</v>
      </c>
      <c r="I125" s="59">
        <v>-39.9</v>
      </c>
      <c r="J125" s="59">
        <v>0.12</v>
      </c>
      <c r="K125" s="59">
        <v>0.19</v>
      </c>
      <c r="L125" s="59">
        <v>0.2</v>
      </c>
      <c r="M125" s="59">
        <v>0.34</v>
      </c>
      <c r="N125" s="59"/>
    </row>
    <row r="126" spans="1:14">
      <c r="A126" s="59">
        <v>85</v>
      </c>
      <c r="B126" s="59" t="s">
        <v>403</v>
      </c>
      <c r="C126" s="59" t="s">
        <v>23</v>
      </c>
      <c r="D126" s="24">
        <v>33</v>
      </c>
      <c r="E126" s="24">
        <v>9</v>
      </c>
      <c r="F126" s="24">
        <v>115</v>
      </c>
      <c r="G126" s="24">
        <v>105</v>
      </c>
      <c r="H126" s="59">
        <v>266.67</v>
      </c>
      <c r="I126" s="59">
        <v>9.52</v>
      </c>
      <c r="J126" s="59">
        <v>0.19</v>
      </c>
      <c r="K126" s="59">
        <v>0.18</v>
      </c>
      <c r="L126" s="59">
        <v>7.0000000000000007E-2</v>
      </c>
      <c r="M126" s="59">
        <v>0.17</v>
      </c>
      <c r="N126" s="59"/>
    </row>
    <row r="127" spans="1:14">
      <c r="A127" s="59">
        <v>86</v>
      </c>
      <c r="B127" s="59" t="s">
        <v>462</v>
      </c>
      <c r="C127" s="59" t="s">
        <v>24</v>
      </c>
      <c r="D127" s="24">
        <v>22</v>
      </c>
      <c r="E127" s="24">
        <v>35</v>
      </c>
      <c r="F127" s="24">
        <v>113</v>
      </c>
      <c r="G127" s="24">
        <v>66</v>
      </c>
      <c r="H127" s="59">
        <v>-37.14</v>
      </c>
      <c r="I127" s="59">
        <v>71.209999999999994</v>
      </c>
      <c r="J127" s="59">
        <v>0.12</v>
      </c>
      <c r="K127" s="59">
        <v>0.17</v>
      </c>
      <c r="L127" s="59">
        <v>0.28000000000000003</v>
      </c>
      <c r="M127" s="59">
        <v>0.11</v>
      </c>
      <c r="N127" s="59"/>
    </row>
    <row r="128" spans="1:14">
      <c r="A128" s="59">
        <v>87</v>
      </c>
      <c r="B128" s="59" t="s">
        <v>1037</v>
      </c>
      <c r="C128" s="59" t="s">
        <v>24</v>
      </c>
      <c r="D128" s="24">
        <v>26</v>
      </c>
      <c r="E128" s="24">
        <v>0</v>
      </c>
      <c r="F128" s="24">
        <v>109</v>
      </c>
      <c r="G128" s="24">
        <v>0</v>
      </c>
      <c r="H128" s="59">
        <v>0</v>
      </c>
      <c r="I128" s="59">
        <v>0</v>
      </c>
      <c r="J128" s="59">
        <v>0.15</v>
      </c>
      <c r="K128" s="59">
        <v>0.17</v>
      </c>
      <c r="L128" s="59">
        <v>0</v>
      </c>
      <c r="M128" s="59">
        <v>0</v>
      </c>
      <c r="N128" s="59"/>
    </row>
    <row r="129" spans="1:14">
      <c r="A129" s="59">
        <v>88</v>
      </c>
      <c r="B129" s="59" t="s">
        <v>1020</v>
      </c>
      <c r="C129" s="59" t="s">
        <v>23</v>
      </c>
      <c r="D129" s="24">
        <v>19</v>
      </c>
      <c r="E129" s="24">
        <v>0</v>
      </c>
      <c r="F129" s="24">
        <v>109</v>
      </c>
      <c r="G129" s="24">
        <v>0</v>
      </c>
      <c r="H129" s="59">
        <v>0</v>
      </c>
      <c r="I129" s="59">
        <v>0</v>
      </c>
      <c r="J129" s="59">
        <v>0.11</v>
      </c>
      <c r="K129" s="59">
        <v>0.17</v>
      </c>
      <c r="L129" s="59">
        <v>0</v>
      </c>
      <c r="M129" s="59">
        <v>0</v>
      </c>
      <c r="N129" s="59"/>
    </row>
    <row r="130" spans="1:14">
      <c r="A130" s="59">
        <v>89</v>
      </c>
      <c r="B130" s="59" t="s">
        <v>618</v>
      </c>
      <c r="C130" s="59" t="s">
        <v>24</v>
      </c>
      <c r="D130" s="24">
        <v>13</v>
      </c>
      <c r="E130" s="24">
        <v>112</v>
      </c>
      <c r="F130" s="24">
        <v>106</v>
      </c>
      <c r="G130" s="24">
        <v>661</v>
      </c>
      <c r="H130" s="59">
        <v>-88.39</v>
      </c>
      <c r="I130" s="59">
        <v>-83.96</v>
      </c>
      <c r="J130" s="59">
        <v>7.0000000000000007E-2</v>
      </c>
      <c r="K130" s="59">
        <v>0.16</v>
      </c>
      <c r="L130" s="59">
        <v>0.89</v>
      </c>
      <c r="M130" s="59">
        <v>1.0900000000000001</v>
      </c>
      <c r="N130" s="59"/>
    </row>
    <row r="131" spans="1:14">
      <c r="A131" s="59">
        <v>90</v>
      </c>
      <c r="B131" s="59" t="s">
        <v>88</v>
      </c>
      <c r="C131" s="59" t="s">
        <v>24</v>
      </c>
      <c r="D131" s="24">
        <v>13</v>
      </c>
      <c r="E131" s="24">
        <v>80</v>
      </c>
      <c r="F131" s="24">
        <v>103</v>
      </c>
      <c r="G131" s="24">
        <v>335</v>
      </c>
      <c r="H131" s="59">
        <v>-83.75</v>
      </c>
      <c r="I131" s="59">
        <v>-69.25</v>
      </c>
      <c r="J131" s="59">
        <v>7.0000000000000007E-2</v>
      </c>
      <c r="K131" s="59">
        <v>0.16</v>
      </c>
      <c r="L131" s="59">
        <v>0.64</v>
      </c>
      <c r="M131" s="59">
        <v>0.55000000000000004</v>
      </c>
      <c r="N131" s="59"/>
    </row>
    <row r="132" spans="1:14">
      <c r="A132" s="59">
        <v>91</v>
      </c>
      <c r="B132" s="59" t="s">
        <v>433</v>
      </c>
      <c r="C132" s="59" t="s">
        <v>23</v>
      </c>
      <c r="D132" s="24">
        <v>35</v>
      </c>
      <c r="E132" s="24">
        <v>11</v>
      </c>
      <c r="F132" s="24">
        <v>101</v>
      </c>
      <c r="G132" s="24">
        <v>68</v>
      </c>
      <c r="H132" s="59">
        <v>218.18</v>
      </c>
      <c r="I132" s="59">
        <v>48.53</v>
      </c>
      <c r="J132" s="59">
        <v>0.2</v>
      </c>
      <c r="K132" s="59">
        <v>0.16</v>
      </c>
      <c r="L132" s="59">
        <v>0.09</v>
      </c>
      <c r="M132" s="59">
        <v>0.11</v>
      </c>
      <c r="N132" s="59"/>
    </row>
    <row r="133" spans="1:14">
      <c r="A133" s="59">
        <v>92</v>
      </c>
      <c r="B133" s="59" t="s">
        <v>656</v>
      </c>
      <c r="C133" s="59" t="s">
        <v>23</v>
      </c>
      <c r="D133" s="24">
        <v>18</v>
      </c>
      <c r="E133" s="24">
        <v>14</v>
      </c>
      <c r="F133" s="24">
        <v>100</v>
      </c>
      <c r="G133" s="24">
        <v>135</v>
      </c>
      <c r="H133" s="59">
        <v>28.57</v>
      </c>
      <c r="I133" s="59">
        <v>-25.93</v>
      </c>
      <c r="J133" s="59">
        <v>0.1</v>
      </c>
      <c r="K133" s="59">
        <v>0.15</v>
      </c>
      <c r="L133" s="59">
        <v>0.11</v>
      </c>
      <c r="M133" s="59">
        <v>0.22</v>
      </c>
      <c r="N133" s="59"/>
    </row>
    <row r="134" spans="1:14">
      <c r="A134" s="59">
        <v>93</v>
      </c>
      <c r="B134" s="59" t="s">
        <v>452</v>
      </c>
      <c r="C134" s="59" t="s">
        <v>23</v>
      </c>
      <c r="D134" s="24">
        <v>32</v>
      </c>
      <c r="E134" s="24">
        <v>31</v>
      </c>
      <c r="F134" s="24">
        <v>95</v>
      </c>
      <c r="G134" s="24">
        <v>198</v>
      </c>
      <c r="H134" s="59">
        <v>3.23</v>
      </c>
      <c r="I134" s="59">
        <v>-52.02</v>
      </c>
      <c r="J134" s="59">
        <v>0.18</v>
      </c>
      <c r="K134" s="59">
        <v>0.15</v>
      </c>
      <c r="L134" s="59">
        <v>0.25</v>
      </c>
      <c r="M134" s="59">
        <v>0.33</v>
      </c>
      <c r="N134" s="59"/>
    </row>
    <row r="135" spans="1:14">
      <c r="A135" s="59">
        <v>94</v>
      </c>
      <c r="B135" s="59" t="s">
        <v>163</v>
      </c>
      <c r="C135" s="59" t="s">
        <v>23</v>
      </c>
      <c r="D135" s="24">
        <v>9</v>
      </c>
      <c r="E135" s="24">
        <v>34</v>
      </c>
      <c r="F135" s="24">
        <v>81</v>
      </c>
      <c r="G135" s="24">
        <v>167</v>
      </c>
      <c r="H135" s="59">
        <v>-73.53</v>
      </c>
      <c r="I135" s="59">
        <v>-51.5</v>
      </c>
      <c r="J135" s="59">
        <v>0.05</v>
      </c>
      <c r="K135" s="59">
        <v>0.12</v>
      </c>
      <c r="L135" s="59">
        <v>0.27</v>
      </c>
      <c r="M135" s="59">
        <v>0.28000000000000003</v>
      </c>
      <c r="N135" s="59"/>
    </row>
    <row r="136" spans="1:14">
      <c r="A136" s="59">
        <v>95</v>
      </c>
      <c r="B136" s="59" t="s">
        <v>638</v>
      </c>
      <c r="C136" s="59" t="s">
        <v>24</v>
      </c>
      <c r="D136" s="24">
        <v>31</v>
      </c>
      <c r="E136" s="24">
        <v>87</v>
      </c>
      <c r="F136" s="24">
        <v>78</v>
      </c>
      <c r="G136" s="24">
        <v>231</v>
      </c>
      <c r="H136" s="59">
        <v>-64.37</v>
      </c>
      <c r="I136" s="59">
        <v>-66.23</v>
      </c>
      <c r="J136" s="59">
        <v>0.18</v>
      </c>
      <c r="K136" s="59">
        <v>0.12</v>
      </c>
      <c r="L136" s="59">
        <v>0.69</v>
      </c>
      <c r="M136" s="59">
        <v>0.38</v>
      </c>
      <c r="N136" s="59"/>
    </row>
    <row r="137" spans="1:14">
      <c r="A137" s="59">
        <v>96</v>
      </c>
      <c r="B137" s="59" t="s">
        <v>418</v>
      </c>
      <c r="C137" s="59" t="s">
        <v>24</v>
      </c>
      <c r="D137" s="24">
        <v>20</v>
      </c>
      <c r="E137" s="24">
        <v>24</v>
      </c>
      <c r="F137" s="24">
        <v>78</v>
      </c>
      <c r="G137" s="24">
        <v>204</v>
      </c>
      <c r="H137" s="59">
        <v>-16.670000000000002</v>
      </c>
      <c r="I137" s="59">
        <v>-61.76</v>
      </c>
      <c r="J137" s="59">
        <v>0.11</v>
      </c>
      <c r="K137" s="59">
        <v>0.12</v>
      </c>
      <c r="L137" s="59">
        <v>0.19</v>
      </c>
      <c r="M137" s="59">
        <v>0.34</v>
      </c>
      <c r="N137" s="59"/>
    </row>
    <row r="138" spans="1:14">
      <c r="A138" s="59">
        <v>97</v>
      </c>
      <c r="B138" s="59" t="s">
        <v>735</v>
      </c>
      <c r="C138" s="59" t="s">
        <v>24</v>
      </c>
      <c r="D138" s="24">
        <v>29</v>
      </c>
      <c r="E138" s="24">
        <v>0</v>
      </c>
      <c r="F138" s="24">
        <v>78</v>
      </c>
      <c r="G138" s="24">
        <v>0</v>
      </c>
      <c r="H138" s="59">
        <v>0</v>
      </c>
      <c r="I138" s="59">
        <v>0</v>
      </c>
      <c r="J138" s="59">
        <v>0.16</v>
      </c>
      <c r="K138" s="59">
        <v>0.12</v>
      </c>
      <c r="L138" s="59">
        <v>0</v>
      </c>
      <c r="M138" s="59">
        <v>0</v>
      </c>
      <c r="N138" s="59"/>
    </row>
    <row r="139" spans="1:14">
      <c r="A139" s="59">
        <v>98</v>
      </c>
      <c r="B139" s="59" t="s">
        <v>245</v>
      </c>
      <c r="C139" s="59" t="s">
        <v>23</v>
      </c>
      <c r="D139" s="24">
        <v>9</v>
      </c>
      <c r="E139" s="24">
        <v>13</v>
      </c>
      <c r="F139" s="24">
        <v>74</v>
      </c>
      <c r="G139" s="24">
        <v>49</v>
      </c>
      <c r="H139" s="59">
        <v>-30.77</v>
      </c>
      <c r="I139" s="59">
        <v>51.02</v>
      </c>
      <c r="J139" s="59">
        <v>0.05</v>
      </c>
      <c r="K139" s="59">
        <v>0.11</v>
      </c>
      <c r="L139" s="59">
        <v>0.1</v>
      </c>
      <c r="M139" s="59">
        <v>0.08</v>
      </c>
      <c r="N139" s="59"/>
    </row>
    <row r="140" spans="1:14">
      <c r="A140" s="59">
        <v>99</v>
      </c>
      <c r="B140" s="59" t="s">
        <v>521</v>
      </c>
      <c r="C140" s="59" t="s">
        <v>23</v>
      </c>
      <c r="D140" s="24">
        <v>23</v>
      </c>
      <c r="E140" s="24">
        <v>18</v>
      </c>
      <c r="F140" s="24">
        <v>73</v>
      </c>
      <c r="G140" s="24">
        <v>99</v>
      </c>
      <c r="H140" s="59">
        <v>27.78</v>
      </c>
      <c r="I140" s="59">
        <v>-26.26</v>
      </c>
      <c r="J140" s="59">
        <v>0.13</v>
      </c>
      <c r="K140" s="59">
        <v>0.11</v>
      </c>
      <c r="L140" s="59">
        <v>0.14000000000000001</v>
      </c>
      <c r="M140" s="59">
        <v>0.16</v>
      </c>
      <c r="N140" s="59"/>
    </row>
    <row r="141" spans="1:14">
      <c r="A141" s="59">
        <v>100</v>
      </c>
      <c r="B141" s="59" t="s">
        <v>439</v>
      </c>
      <c r="C141" s="59" t="s">
        <v>23</v>
      </c>
      <c r="D141" s="24">
        <v>47</v>
      </c>
      <c r="E141" s="24">
        <v>26</v>
      </c>
      <c r="F141" s="24">
        <v>72</v>
      </c>
      <c r="G141" s="24">
        <v>107</v>
      </c>
      <c r="H141" s="59">
        <v>80.77</v>
      </c>
      <c r="I141" s="59">
        <v>-32.71</v>
      </c>
      <c r="J141" s="59">
        <v>0.27</v>
      </c>
      <c r="K141" s="59">
        <v>0.11</v>
      </c>
      <c r="L141" s="59">
        <v>0.21</v>
      </c>
      <c r="M141" s="59">
        <v>0.18</v>
      </c>
      <c r="N141" s="59"/>
    </row>
    <row r="142" spans="1:14">
      <c r="A142" s="59">
        <v>101</v>
      </c>
      <c r="B142" s="59" t="s">
        <v>430</v>
      </c>
      <c r="C142" s="59" t="s">
        <v>23</v>
      </c>
      <c r="D142" s="24">
        <v>7</v>
      </c>
      <c r="E142" s="24">
        <v>42</v>
      </c>
      <c r="F142" s="24">
        <v>70</v>
      </c>
      <c r="G142" s="24">
        <v>289</v>
      </c>
      <c r="H142" s="59">
        <v>-83.33</v>
      </c>
      <c r="I142" s="59">
        <v>-75.78</v>
      </c>
      <c r="J142" s="59">
        <v>0.04</v>
      </c>
      <c r="K142" s="59">
        <v>0.11</v>
      </c>
      <c r="L142" s="59">
        <v>0.34</v>
      </c>
      <c r="M142" s="59">
        <v>0.48</v>
      </c>
      <c r="N142" s="59"/>
    </row>
    <row r="143" spans="1:14">
      <c r="A143" s="59">
        <v>102</v>
      </c>
      <c r="B143" s="59" t="s">
        <v>1013</v>
      </c>
      <c r="C143" s="59" t="s">
        <v>24</v>
      </c>
      <c r="D143" s="24">
        <v>15</v>
      </c>
      <c r="E143" s="24">
        <v>0</v>
      </c>
      <c r="F143" s="24">
        <v>70</v>
      </c>
      <c r="G143" s="24">
        <v>0</v>
      </c>
      <c r="H143" s="59">
        <v>0</v>
      </c>
      <c r="I143" s="59">
        <v>0</v>
      </c>
      <c r="J143" s="59">
        <v>0.09</v>
      </c>
      <c r="K143" s="59">
        <v>0.11</v>
      </c>
      <c r="L143" s="59">
        <v>0</v>
      </c>
      <c r="M143" s="59">
        <v>0</v>
      </c>
      <c r="N143" s="59"/>
    </row>
    <row r="144" spans="1:14">
      <c r="A144" s="59">
        <v>103</v>
      </c>
      <c r="B144" s="59" t="s">
        <v>1068</v>
      </c>
      <c r="C144" s="59" t="s">
        <v>23</v>
      </c>
      <c r="D144" s="24">
        <v>3</v>
      </c>
      <c r="E144" s="24">
        <v>0</v>
      </c>
      <c r="F144" s="24">
        <v>66</v>
      </c>
      <c r="G144" s="24">
        <v>0</v>
      </c>
      <c r="H144" s="59">
        <v>0</v>
      </c>
      <c r="I144" s="59">
        <v>0</v>
      </c>
      <c r="J144" s="59">
        <v>0.02</v>
      </c>
      <c r="K144" s="59">
        <v>0.1</v>
      </c>
      <c r="L144" s="59">
        <v>0</v>
      </c>
      <c r="M144" s="59">
        <v>0</v>
      </c>
      <c r="N144" s="59"/>
    </row>
    <row r="145" spans="1:14">
      <c r="A145" s="59">
        <v>104</v>
      </c>
      <c r="B145" s="59" t="s">
        <v>1129</v>
      </c>
      <c r="C145" s="59" t="s">
        <v>23</v>
      </c>
      <c r="D145" s="24">
        <v>15</v>
      </c>
      <c r="E145" s="24">
        <v>0</v>
      </c>
      <c r="F145" s="24">
        <v>64</v>
      </c>
      <c r="G145" s="24">
        <v>0</v>
      </c>
      <c r="H145" s="59">
        <v>0</v>
      </c>
      <c r="I145" s="59">
        <v>0</v>
      </c>
      <c r="J145" s="59">
        <v>0.09</v>
      </c>
      <c r="K145" s="59">
        <v>0.1</v>
      </c>
      <c r="L145" s="59">
        <v>0</v>
      </c>
      <c r="M145" s="59">
        <v>0</v>
      </c>
      <c r="N145" s="59"/>
    </row>
    <row r="146" spans="1:14">
      <c r="A146" s="59">
        <v>105</v>
      </c>
      <c r="B146" s="59" t="s">
        <v>453</v>
      </c>
      <c r="C146" s="59" t="s">
        <v>24</v>
      </c>
      <c r="D146" s="24">
        <v>26</v>
      </c>
      <c r="E146" s="24">
        <v>69</v>
      </c>
      <c r="F146" s="24">
        <v>62</v>
      </c>
      <c r="G146" s="24">
        <v>219</v>
      </c>
      <c r="H146" s="59">
        <v>-62.32</v>
      </c>
      <c r="I146" s="59">
        <v>-71.69</v>
      </c>
      <c r="J146" s="59">
        <v>0.15</v>
      </c>
      <c r="K146" s="59">
        <v>0.1</v>
      </c>
      <c r="L146" s="59">
        <v>0.55000000000000004</v>
      </c>
      <c r="M146" s="59">
        <v>0.36</v>
      </c>
      <c r="N146" s="59"/>
    </row>
    <row r="147" spans="1:14">
      <c r="A147" s="59">
        <v>106</v>
      </c>
      <c r="B147" s="59" t="s">
        <v>687</v>
      </c>
      <c r="C147" s="59" t="s">
        <v>24</v>
      </c>
      <c r="D147" s="24">
        <v>15</v>
      </c>
      <c r="E147" s="24">
        <v>16</v>
      </c>
      <c r="F147" s="24">
        <v>57</v>
      </c>
      <c r="G147" s="24">
        <v>110</v>
      </c>
      <c r="H147" s="59">
        <v>-6.25</v>
      </c>
      <c r="I147" s="59">
        <v>-48.18</v>
      </c>
      <c r="J147" s="59">
        <v>0.09</v>
      </c>
      <c r="K147" s="59">
        <v>0.09</v>
      </c>
      <c r="L147" s="59">
        <v>0.13</v>
      </c>
      <c r="M147" s="59">
        <v>0.18</v>
      </c>
      <c r="N147" s="59"/>
    </row>
    <row r="148" spans="1:14">
      <c r="A148" s="59">
        <v>107</v>
      </c>
      <c r="B148" s="59" t="s">
        <v>157</v>
      </c>
      <c r="C148" s="59" t="s">
        <v>23</v>
      </c>
      <c r="D148" s="24">
        <v>1</v>
      </c>
      <c r="E148" s="24">
        <v>18</v>
      </c>
      <c r="F148" s="24">
        <v>57</v>
      </c>
      <c r="G148" s="24">
        <v>78</v>
      </c>
      <c r="H148" s="59">
        <v>-94.44</v>
      </c>
      <c r="I148" s="59">
        <v>-26.92</v>
      </c>
      <c r="J148" s="59">
        <v>0.01</v>
      </c>
      <c r="K148" s="59">
        <v>0.09</v>
      </c>
      <c r="L148" s="59">
        <v>0.14000000000000001</v>
      </c>
      <c r="M148" s="59">
        <v>0.13</v>
      </c>
      <c r="N148" s="59"/>
    </row>
    <row r="149" spans="1:14">
      <c r="A149" s="59">
        <v>108</v>
      </c>
      <c r="B149" s="59" t="s">
        <v>665</v>
      </c>
      <c r="C149" s="59" t="s">
        <v>24</v>
      </c>
      <c r="D149" s="24">
        <v>9</v>
      </c>
      <c r="E149" s="24">
        <v>205</v>
      </c>
      <c r="F149" s="24">
        <v>54</v>
      </c>
      <c r="G149" s="24">
        <v>442</v>
      </c>
      <c r="H149" s="59">
        <v>-95.61</v>
      </c>
      <c r="I149" s="59">
        <v>-87.78</v>
      </c>
      <c r="J149" s="59">
        <v>0.05</v>
      </c>
      <c r="K149" s="59">
        <v>0.08</v>
      </c>
      <c r="L149" s="59">
        <v>1.64</v>
      </c>
      <c r="M149" s="59">
        <v>0.73</v>
      </c>
      <c r="N149" s="59"/>
    </row>
    <row r="150" spans="1:14">
      <c r="A150" s="59">
        <v>109</v>
      </c>
      <c r="B150" s="59" t="s">
        <v>1072</v>
      </c>
      <c r="C150" s="59" t="s">
        <v>24</v>
      </c>
      <c r="D150" s="24">
        <v>15</v>
      </c>
      <c r="E150" s="24">
        <v>0</v>
      </c>
      <c r="F150" s="24">
        <v>54</v>
      </c>
      <c r="G150" s="24">
        <v>0</v>
      </c>
      <c r="H150" s="59">
        <v>0</v>
      </c>
      <c r="I150" s="59">
        <v>0</v>
      </c>
      <c r="J150" s="59">
        <v>0.09</v>
      </c>
      <c r="K150" s="59">
        <v>0.08</v>
      </c>
      <c r="L150" s="59">
        <v>0</v>
      </c>
      <c r="M150" s="59">
        <v>0</v>
      </c>
      <c r="N150" s="59"/>
    </row>
    <row r="151" spans="1:14">
      <c r="A151" s="59">
        <v>110</v>
      </c>
      <c r="B151" s="59" t="s">
        <v>1126</v>
      </c>
      <c r="C151" s="59" t="s">
        <v>23</v>
      </c>
      <c r="D151" s="24">
        <v>23</v>
      </c>
      <c r="E151" s="24">
        <v>0</v>
      </c>
      <c r="F151" s="24">
        <v>54</v>
      </c>
      <c r="G151" s="24">
        <v>0</v>
      </c>
      <c r="H151" s="59">
        <v>0</v>
      </c>
      <c r="I151" s="59">
        <v>0</v>
      </c>
      <c r="J151" s="59">
        <v>0.13</v>
      </c>
      <c r="K151" s="59">
        <v>0.08</v>
      </c>
      <c r="L151" s="59">
        <v>0</v>
      </c>
      <c r="M151" s="59">
        <v>0</v>
      </c>
      <c r="N151" s="59"/>
    </row>
    <row r="152" spans="1:14">
      <c r="A152" s="59">
        <v>111</v>
      </c>
      <c r="B152" s="59" t="s">
        <v>516</v>
      </c>
      <c r="C152" s="59" t="s">
        <v>23</v>
      </c>
      <c r="D152" s="24">
        <v>11</v>
      </c>
      <c r="E152" s="24">
        <v>20</v>
      </c>
      <c r="F152" s="24">
        <v>53</v>
      </c>
      <c r="G152" s="24">
        <v>78</v>
      </c>
      <c r="H152" s="59">
        <v>-45</v>
      </c>
      <c r="I152" s="59">
        <v>-32.049999999999997</v>
      </c>
      <c r="J152" s="59">
        <v>0.06</v>
      </c>
      <c r="K152" s="59">
        <v>0.08</v>
      </c>
      <c r="L152" s="59">
        <v>0.16</v>
      </c>
      <c r="M152" s="59">
        <v>0.13</v>
      </c>
      <c r="N152" s="59"/>
    </row>
    <row r="153" spans="1:14">
      <c r="A153" s="59">
        <v>112</v>
      </c>
      <c r="B153" s="59" t="s">
        <v>623</v>
      </c>
      <c r="C153" s="59" t="s">
        <v>23</v>
      </c>
      <c r="D153" s="24">
        <v>2</v>
      </c>
      <c r="E153" s="24">
        <v>2</v>
      </c>
      <c r="F153" s="24">
        <v>52</v>
      </c>
      <c r="G153" s="24">
        <v>42</v>
      </c>
      <c r="H153" s="59">
        <v>0</v>
      </c>
      <c r="I153" s="59">
        <v>23.81</v>
      </c>
      <c r="J153" s="59">
        <v>0.01</v>
      </c>
      <c r="K153" s="59">
        <v>0.08</v>
      </c>
      <c r="L153" s="59">
        <v>0.02</v>
      </c>
      <c r="M153" s="59">
        <v>7.0000000000000007E-2</v>
      </c>
      <c r="N153" s="59"/>
    </row>
    <row r="154" spans="1:14">
      <c r="A154" s="59">
        <v>113</v>
      </c>
      <c r="B154" s="59" t="s">
        <v>680</v>
      </c>
      <c r="C154" s="59" t="s">
        <v>24</v>
      </c>
      <c r="D154" s="24">
        <v>6</v>
      </c>
      <c r="E154" s="24">
        <v>20</v>
      </c>
      <c r="F154" s="24">
        <v>50</v>
      </c>
      <c r="G154" s="24">
        <v>23</v>
      </c>
      <c r="H154" s="67">
        <v>-70</v>
      </c>
      <c r="I154" s="67">
        <v>117.39</v>
      </c>
      <c r="J154" s="59">
        <v>0.03</v>
      </c>
      <c r="K154" s="59">
        <v>0.08</v>
      </c>
      <c r="L154" s="59">
        <v>0.16</v>
      </c>
      <c r="M154" s="59">
        <v>0.04</v>
      </c>
      <c r="N154" s="59"/>
    </row>
    <row r="155" spans="1:14">
      <c r="A155" s="59">
        <v>114</v>
      </c>
      <c r="B155" s="59" t="s">
        <v>575</v>
      </c>
      <c r="C155" s="59" t="s">
        <v>23</v>
      </c>
      <c r="D155" s="24">
        <v>1</v>
      </c>
      <c r="E155" s="24">
        <v>17</v>
      </c>
      <c r="F155" s="24">
        <v>48</v>
      </c>
      <c r="G155" s="24">
        <v>78</v>
      </c>
      <c r="H155" s="59">
        <v>-94.12</v>
      </c>
      <c r="I155" s="59">
        <v>-38.46</v>
      </c>
      <c r="J155" s="59">
        <v>0.01</v>
      </c>
      <c r="K155" s="59">
        <v>7.0000000000000007E-2</v>
      </c>
      <c r="L155" s="59">
        <v>0.14000000000000001</v>
      </c>
      <c r="M155" s="59">
        <v>0.13</v>
      </c>
      <c r="N155" s="59"/>
    </row>
    <row r="156" spans="1:14">
      <c r="A156" s="59">
        <v>115</v>
      </c>
      <c r="B156" s="59" t="s">
        <v>1166</v>
      </c>
      <c r="C156" s="59" t="s">
        <v>23</v>
      </c>
      <c r="D156" s="24">
        <v>9</v>
      </c>
      <c r="E156" s="24">
        <v>0</v>
      </c>
      <c r="F156" s="24">
        <v>47</v>
      </c>
      <c r="G156" s="24">
        <v>0</v>
      </c>
      <c r="H156" s="59">
        <v>0</v>
      </c>
      <c r="I156" s="59">
        <v>0</v>
      </c>
      <c r="J156" s="59">
        <v>0.05</v>
      </c>
      <c r="K156" s="59">
        <v>7.0000000000000007E-2</v>
      </c>
      <c r="L156" s="59">
        <v>0</v>
      </c>
      <c r="M156" s="59">
        <v>0</v>
      </c>
      <c r="N156" s="59"/>
    </row>
    <row r="157" spans="1:14">
      <c r="A157" s="59">
        <v>116</v>
      </c>
      <c r="B157" s="59" t="s">
        <v>79</v>
      </c>
      <c r="C157" s="59" t="s">
        <v>23</v>
      </c>
      <c r="D157" s="24">
        <v>8</v>
      </c>
      <c r="E157" s="24">
        <v>74</v>
      </c>
      <c r="F157" s="24">
        <v>46</v>
      </c>
      <c r="G157" s="24">
        <v>626</v>
      </c>
      <c r="H157" s="59">
        <v>-89.19</v>
      </c>
      <c r="I157" s="59">
        <v>-92.65</v>
      </c>
      <c r="J157" s="59">
        <v>0.05</v>
      </c>
      <c r="K157" s="59">
        <v>7.0000000000000007E-2</v>
      </c>
      <c r="L157" s="59">
        <v>0.59</v>
      </c>
      <c r="M157" s="59">
        <v>1.04</v>
      </c>
      <c r="N157" s="59"/>
    </row>
    <row r="158" spans="1:14">
      <c r="A158" s="59">
        <v>117</v>
      </c>
      <c r="B158" s="59" t="s">
        <v>1058</v>
      </c>
      <c r="C158" s="59" t="s">
        <v>24</v>
      </c>
      <c r="D158" s="24">
        <v>3</v>
      </c>
      <c r="E158" s="24">
        <v>0</v>
      </c>
      <c r="F158" s="24">
        <v>45</v>
      </c>
      <c r="G158" s="24">
        <v>0</v>
      </c>
      <c r="H158" s="59">
        <v>0</v>
      </c>
      <c r="I158" s="59">
        <v>0</v>
      </c>
      <c r="J158" s="59">
        <v>0.02</v>
      </c>
      <c r="K158" s="59">
        <v>7.0000000000000007E-2</v>
      </c>
      <c r="L158" s="59">
        <v>0</v>
      </c>
      <c r="M158" s="59">
        <v>0</v>
      </c>
      <c r="N158" s="59"/>
    </row>
    <row r="159" spans="1:14">
      <c r="A159" s="59">
        <v>118</v>
      </c>
      <c r="B159" s="59" t="s">
        <v>135</v>
      </c>
      <c r="C159" s="59" t="s">
        <v>23</v>
      </c>
      <c r="D159" s="24">
        <v>7</v>
      </c>
      <c r="E159" s="24">
        <v>2</v>
      </c>
      <c r="F159" s="24">
        <v>43</v>
      </c>
      <c r="G159" s="24">
        <v>15</v>
      </c>
      <c r="H159" s="59">
        <v>250</v>
      </c>
      <c r="I159" s="59">
        <v>186.67</v>
      </c>
      <c r="J159" s="59">
        <v>0.04</v>
      </c>
      <c r="K159" s="59">
        <v>7.0000000000000007E-2</v>
      </c>
      <c r="L159" s="59">
        <v>0.02</v>
      </c>
      <c r="M159" s="59">
        <v>0.02</v>
      </c>
      <c r="N159" s="59"/>
    </row>
    <row r="160" spans="1:14">
      <c r="A160" s="59">
        <v>119</v>
      </c>
      <c r="B160" s="59" t="s">
        <v>621</v>
      </c>
      <c r="C160" s="59" t="s">
        <v>23</v>
      </c>
      <c r="D160" s="24">
        <v>26</v>
      </c>
      <c r="E160" s="24">
        <v>30</v>
      </c>
      <c r="F160" s="24">
        <v>40</v>
      </c>
      <c r="G160" s="24">
        <v>140</v>
      </c>
      <c r="H160" s="59">
        <v>-13.33</v>
      </c>
      <c r="I160" s="59">
        <v>-71.430000000000007</v>
      </c>
      <c r="J160" s="59">
        <v>0.15</v>
      </c>
      <c r="K160" s="59">
        <v>0.06</v>
      </c>
      <c r="L160" s="59">
        <v>0.24</v>
      </c>
      <c r="M160" s="59">
        <v>0.23</v>
      </c>
      <c r="N160" s="59"/>
    </row>
    <row r="161" spans="1:14">
      <c r="A161" s="59">
        <v>120</v>
      </c>
      <c r="B161" s="59" t="s">
        <v>1090</v>
      </c>
      <c r="C161" s="59" t="s">
        <v>23</v>
      </c>
      <c r="D161" s="24">
        <v>10</v>
      </c>
      <c r="E161" s="24">
        <v>0</v>
      </c>
      <c r="F161" s="24">
        <v>39</v>
      </c>
      <c r="G161" s="24">
        <v>0</v>
      </c>
      <c r="H161" s="59">
        <v>0</v>
      </c>
      <c r="I161" s="59">
        <v>0</v>
      </c>
      <c r="J161" s="59">
        <v>0.06</v>
      </c>
      <c r="K161" s="59">
        <v>0.06</v>
      </c>
      <c r="L161" s="59">
        <v>0</v>
      </c>
      <c r="M161" s="59">
        <v>0</v>
      </c>
      <c r="N161" s="59"/>
    </row>
    <row r="162" spans="1:14">
      <c r="A162" s="59">
        <v>121</v>
      </c>
      <c r="B162" s="59" t="s">
        <v>448</v>
      </c>
      <c r="C162" s="59" t="s">
        <v>23</v>
      </c>
      <c r="D162" s="24">
        <v>8</v>
      </c>
      <c r="E162" s="24">
        <v>8</v>
      </c>
      <c r="F162" s="24">
        <v>38</v>
      </c>
      <c r="G162" s="24">
        <v>44</v>
      </c>
      <c r="H162" s="59">
        <v>0</v>
      </c>
      <c r="I162" s="59">
        <v>-13.64</v>
      </c>
      <c r="J162" s="59">
        <v>0.05</v>
      </c>
      <c r="K162" s="59">
        <v>0.06</v>
      </c>
      <c r="L162" s="59">
        <v>0.06</v>
      </c>
      <c r="M162" s="59">
        <v>7.0000000000000007E-2</v>
      </c>
      <c r="N162" s="59"/>
    </row>
    <row r="163" spans="1:14">
      <c r="A163" s="59">
        <v>122</v>
      </c>
      <c r="B163" s="59" t="s">
        <v>636</v>
      </c>
      <c r="C163" s="59" t="s">
        <v>23</v>
      </c>
      <c r="D163" s="24">
        <v>2</v>
      </c>
      <c r="E163" s="24">
        <v>5</v>
      </c>
      <c r="F163" s="24">
        <v>37</v>
      </c>
      <c r="G163" s="24">
        <v>26</v>
      </c>
      <c r="H163" s="59">
        <v>-60</v>
      </c>
      <c r="I163" s="59">
        <v>42.31</v>
      </c>
      <c r="J163" s="59">
        <v>0.01</v>
      </c>
      <c r="K163" s="59">
        <v>0.06</v>
      </c>
      <c r="L163" s="59">
        <v>0.04</v>
      </c>
      <c r="M163" s="59">
        <v>0.04</v>
      </c>
      <c r="N163" s="59"/>
    </row>
    <row r="164" spans="1:14">
      <c r="A164" s="59">
        <v>123</v>
      </c>
      <c r="B164" s="59" t="s">
        <v>456</v>
      </c>
      <c r="C164" s="59" t="s">
        <v>23</v>
      </c>
      <c r="D164" s="24">
        <v>4</v>
      </c>
      <c r="E164" s="24">
        <v>0</v>
      </c>
      <c r="F164" s="24">
        <v>36</v>
      </c>
      <c r="G164" s="24">
        <v>23</v>
      </c>
      <c r="H164" s="59">
        <v>0</v>
      </c>
      <c r="I164" s="59">
        <v>56.52</v>
      </c>
      <c r="J164" s="59">
        <v>0.02</v>
      </c>
      <c r="K164" s="59">
        <v>0.06</v>
      </c>
      <c r="L164" s="59">
        <v>0</v>
      </c>
      <c r="M164" s="59">
        <v>0.04</v>
      </c>
      <c r="N164" s="59"/>
    </row>
    <row r="165" spans="1:14">
      <c r="A165" s="59">
        <v>124</v>
      </c>
      <c r="B165" s="59" t="s">
        <v>1094</v>
      </c>
      <c r="C165" s="59" t="s">
        <v>24</v>
      </c>
      <c r="D165" s="24">
        <v>12</v>
      </c>
      <c r="E165" s="24">
        <v>0</v>
      </c>
      <c r="F165" s="24">
        <v>36</v>
      </c>
      <c r="G165" s="24">
        <v>0</v>
      </c>
      <c r="H165" s="59">
        <v>0</v>
      </c>
      <c r="I165" s="59">
        <v>0</v>
      </c>
      <c r="J165" s="59">
        <v>7.0000000000000007E-2</v>
      </c>
      <c r="K165" s="59">
        <v>0.06</v>
      </c>
      <c r="L165" s="59">
        <v>0</v>
      </c>
      <c r="M165" s="59">
        <v>0</v>
      </c>
      <c r="N165" s="59"/>
    </row>
    <row r="166" spans="1:14">
      <c r="A166" s="59">
        <v>125</v>
      </c>
      <c r="B166" s="59" t="s">
        <v>1091</v>
      </c>
      <c r="C166" s="59" t="s">
        <v>24</v>
      </c>
      <c r="D166" s="24">
        <v>3</v>
      </c>
      <c r="E166" s="24">
        <v>0</v>
      </c>
      <c r="F166" s="24">
        <v>35</v>
      </c>
      <c r="G166" s="24">
        <v>0</v>
      </c>
      <c r="H166" s="59">
        <v>0</v>
      </c>
      <c r="I166" s="59">
        <v>0</v>
      </c>
      <c r="J166" s="59">
        <v>0.02</v>
      </c>
      <c r="K166" s="59">
        <v>0.05</v>
      </c>
      <c r="L166" s="59">
        <v>0</v>
      </c>
      <c r="M166" s="59">
        <v>0</v>
      </c>
      <c r="N166" s="59"/>
    </row>
    <row r="167" spans="1:14">
      <c r="A167" s="59">
        <v>126</v>
      </c>
      <c r="B167" s="59" t="s">
        <v>673</v>
      </c>
      <c r="C167" s="59" t="s">
        <v>23</v>
      </c>
      <c r="D167" s="24">
        <v>11</v>
      </c>
      <c r="E167" s="24">
        <v>0</v>
      </c>
      <c r="F167" s="24">
        <v>34</v>
      </c>
      <c r="G167" s="24">
        <v>68</v>
      </c>
      <c r="H167" s="59">
        <v>0</v>
      </c>
      <c r="I167" s="59">
        <v>-50</v>
      </c>
      <c r="J167" s="59">
        <v>0.06</v>
      </c>
      <c r="K167" s="59">
        <v>0.05</v>
      </c>
      <c r="L167" s="59">
        <v>0</v>
      </c>
      <c r="M167" s="59">
        <v>0.11</v>
      </c>
      <c r="N167" s="59"/>
    </row>
    <row r="168" spans="1:14">
      <c r="A168" s="59">
        <v>127</v>
      </c>
      <c r="B168" s="59" t="s">
        <v>447</v>
      </c>
      <c r="C168" s="59" t="s">
        <v>23</v>
      </c>
      <c r="D168" s="24">
        <v>3</v>
      </c>
      <c r="E168" s="24">
        <v>6</v>
      </c>
      <c r="F168" s="24">
        <v>34</v>
      </c>
      <c r="G168" s="24">
        <v>24</v>
      </c>
      <c r="H168" s="59">
        <v>-50</v>
      </c>
      <c r="I168" s="59">
        <v>41.67</v>
      </c>
      <c r="J168" s="59">
        <v>0.02</v>
      </c>
      <c r="K168" s="59">
        <v>0.05</v>
      </c>
      <c r="L168" s="59">
        <v>0.05</v>
      </c>
      <c r="M168" s="59">
        <v>0.04</v>
      </c>
      <c r="N168" s="59"/>
    </row>
    <row r="169" spans="1:14">
      <c r="A169" s="59">
        <v>128</v>
      </c>
      <c r="B169" s="59" t="s">
        <v>1069</v>
      </c>
      <c r="C169" s="59" t="s">
        <v>24</v>
      </c>
      <c r="D169" s="24">
        <v>9</v>
      </c>
      <c r="E169" s="24">
        <v>0</v>
      </c>
      <c r="F169" s="24">
        <v>31</v>
      </c>
      <c r="G169" s="24">
        <v>0</v>
      </c>
      <c r="H169" s="59">
        <v>0</v>
      </c>
      <c r="I169" s="59">
        <v>0</v>
      </c>
      <c r="J169" s="59">
        <v>0.05</v>
      </c>
      <c r="K169" s="59">
        <v>0.05</v>
      </c>
      <c r="L169" s="59">
        <v>0</v>
      </c>
      <c r="M169" s="59">
        <v>0</v>
      </c>
      <c r="N169" s="59"/>
    </row>
    <row r="170" spans="1:14">
      <c r="A170" s="59">
        <v>129</v>
      </c>
      <c r="B170" s="59" t="s">
        <v>523</v>
      </c>
      <c r="C170" s="59" t="s">
        <v>24</v>
      </c>
      <c r="D170" s="24">
        <v>12</v>
      </c>
      <c r="E170" s="24">
        <v>10</v>
      </c>
      <c r="F170" s="24">
        <v>30</v>
      </c>
      <c r="G170" s="24">
        <v>41</v>
      </c>
      <c r="H170" s="59">
        <v>20</v>
      </c>
      <c r="I170" s="59">
        <v>-26.83</v>
      </c>
      <c r="J170" s="59">
        <v>7.0000000000000007E-2</v>
      </c>
      <c r="K170" s="59">
        <v>0.05</v>
      </c>
      <c r="L170" s="59">
        <v>0.08</v>
      </c>
      <c r="M170" s="59">
        <v>7.0000000000000007E-2</v>
      </c>
      <c r="N170" s="59"/>
    </row>
    <row r="171" spans="1:14">
      <c r="A171" s="59">
        <v>130</v>
      </c>
      <c r="B171" s="59" t="s">
        <v>449</v>
      </c>
      <c r="C171" s="59" t="s">
        <v>23</v>
      </c>
      <c r="D171" s="24">
        <v>0</v>
      </c>
      <c r="E171" s="24">
        <v>6</v>
      </c>
      <c r="F171" s="24">
        <v>30</v>
      </c>
      <c r="G171" s="24">
        <v>39</v>
      </c>
      <c r="H171" s="59">
        <v>-100</v>
      </c>
      <c r="I171" s="59">
        <v>-23.08</v>
      </c>
      <c r="J171" s="59">
        <v>0</v>
      </c>
      <c r="K171" s="59">
        <v>0.05</v>
      </c>
      <c r="L171" s="59">
        <v>0.05</v>
      </c>
      <c r="M171" s="59">
        <v>0.06</v>
      </c>
      <c r="N171" s="59"/>
    </row>
    <row r="172" spans="1:14">
      <c r="A172" s="59">
        <v>131</v>
      </c>
      <c r="B172" s="59" t="s">
        <v>149</v>
      </c>
      <c r="C172" s="59" t="s">
        <v>23</v>
      </c>
      <c r="D172" s="24">
        <v>6</v>
      </c>
      <c r="E172" s="24">
        <v>24</v>
      </c>
      <c r="F172" s="24">
        <v>29</v>
      </c>
      <c r="G172" s="24">
        <v>59</v>
      </c>
      <c r="H172" s="59">
        <v>-75</v>
      </c>
      <c r="I172" s="59">
        <v>-50.85</v>
      </c>
      <c r="J172" s="59">
        <v>0.03</v>
      </c>
      <c r="K172" s="59">
        <v>0.04</v>
      </c>
      <c r="L172" s="59">
        <v>0.19</v>
      </c>
      <c r="M172" s="59">
        <v>0.1</v>
      </c>
      <c r="N172" s="59"/>
    </row>
    <row r="173" spans="1:14">
      <c r="A173" s="59">
        <v>132</v>
      </c>
      <c r="B173" s="59" t="s">
        <v>1019</v>
      </c>
      <c r="C173" s="59" t="s">
        <v>23</v>
      </c>
      <c r="D173" s="24">
        <v>11</v>
      </c>
      <c r="E173" s="24">
        <v>0</v>
      </c>
      <c r="F173" s="24">
        <v>29</v>
      </c>
      <c r="G173" s="24">
        <v>0</v>
      </c>
      <c r="H173" s="59">
        <v>0</v>
      </c>
      <c r="I173" s="59">
        <v>0</v>
      </c>
      <c r="J173" s="59">
        <v>0.06</v>
      </c>
      <c r="K173" s="59">
        <v>0.04</v>
      </c>
      <c r="L173" s="59">
        <v>0</v>
      </c>
      <c r="M173" s="59">
        <v>0</v>
      </c>
      <c r="N173" s="59"/>
    </row>
    <row r="174" spans="1:14">
      <c r="A174" s="59">
        <v>133</v>
      </c>
      <c r="B174" s="59" t="s">
        <v>1114</v>
      </c>
      <c r="C174" s="59" t="s">
        <v>24</v>
      </c>
      <c r="D174" s="24">
        <v>4</v>
      </c>
      <c r="E174" s="24">
        <v>0</v>
      </c>
      <c r="F174" s="24">
        <v>29</v>
      </c>
      <c r="G174" s="24">
        <v>0</v>
      </c>
      <c r="H174" s="59">
        <v>0</v>
      </c>
      <c r="I174" s="59">
        <v>0</v>
      </c>
      <c r="J174" s="59">
        <v>0.02</v>
      </c>
      <c r="K174" s="59">
        <v>0.04</v>
      </c>
      <c r="L174" s="59">
        <v>0</v>
      </c>
      <c r="M174" s="59">
        <v>0</v>
      </c>
      <c r="N174" s="59"/>
    </row>
    <row r="175" spans="1:14">
      <c r="A175" s="59">
        <v>134</v>
      </c>
      <c r="B175" s="59" t="s">
        <v>1127</v>
      </c>
      <c r="C175" s="59" t="s">
        <v>24</v>
      </c>
      <c r="D175" s="24">
        <v>12</v>
      </c>
      <c r="E175" s="24">
        <v>4</v>
      </c>
      <c r="F175" s="24">
        <v>28</v>
      </c>
      <c r="G175" s="24">
        <v>34</v>
      </c>
      <c r="H175" s="59">
        <v>200</v>
      </c>
      <c r="I175" s="59">
        <v>-17.649999999999999</v>
      </c>
      <c r="J175" s="59">
        <v>7.0000000000000007E-2</v>
      </c>
      <c r="K175" s="59">
        <v>0.04</v>
      </c>
      <c r="L175" s="59">
        <v>0.03</v>
      </c>
      <c r="M175" s="59">
        <v>0.06</v>
      </c>
      <c r="N175" s="59"/>
    </row>
    <row r="176" spans="1:14">
      <c r="A176" s="59">
        <v>135</v>
      </c>
      <c r="B176" s="59" t="s">
        <v>1113</v>
      </c>
      <c r="C176" s="59" t="s">
        <v>23</v>
      </c>
      <c r="D176" s="24">
        <v>6</v>
      </c>
      <c r="E176" s="24">
        <v>0</v>
      </c>
      <c r="F176" s="24">
        <v>28</v>
      </c>
      <c r="G176" s="24">
        <v>0</v>
      </c>
      <c r="H176" s="59">
        <v>0</v>
      </c>
      <c r="I176" s="59">
        <v>0</v>
      </c>
      <c r="J176" s="59">
        <v>0.03</v>
      </c>
      <c r="K176" s="59">
        <v>0.04</v>
      </c>
      <c r="L176" s="59">
        <v>0</v>
      </c>
      <c r="M176" s="59">
        <v>0</v>
      </c>
      <c r="N176" s="59"/>
    </row>
    <row r="177" spans="1:14">
      <c r="A177" s="59">
        <v>136</v>
      </c>
      <c r="B177" s="59" t="s">
        <v>1237</v>
      </c>
      <c r="C177" s="59" t="s">
        <v>24</v>
      </c>
      <c r="D177" s="24">
        <v>28</v>
      </c>
      <c r="E177" s="24">
        <v>0</v>
      </c>
      <c r="F177" s="24">
        <v>28</v>
      </c>
      <c r="G177" s="24">
        <v>0</v>
      </c>
      <c r="H177" s="67">
        <v>0</v>
      </c>
      <c r="I177" s="67">
        <v>0</v>
      </c>
      <c r="J177" s="59">
        <v>0.16</v>
      </c>
      <c r="K177" s="59">
        <v>0.04</v>
      </c>
      <c r="L177" s="59">
        <v>0</v>
      </c>
      <c r="M177" s="59">
        <v>0</v>
      </c>
      <c r="N177" s="59"/>
    </row>
    <row r="178" spans="1:14">
      <c r="A178" s="59">
        <v>137</v>
      </c>
      <c r="B178" s="59" t="s">
        <v>1192</v>
      </c>
      <c r="C178" s="59" t="s">
        <v>24</v>
      </c>
      <c r="D178" s="24">
        <v>16</v>
      </c>
      <c r="E178" s="24">
        <v>0</v>
      </c>
      <c r="F178" s="24">
        <v>28</v>
      </c>
      <c r="G178" s="24">
        <v>0</v>
      </c>
      <c r="H178" s="59">
        <v>0</v>
      </c>
      <c r="I178" s="59">
        <v>0</v>
      </c>
      <c r="J178" s="59">
        <v>0.09</v>
      </c>
      <c r="K178" s="59">
        <v>0.04</v>
      </c>
      <c r="L178" s="59">
        <v>0</v>
      </c>
      <c r="M178" s="59">
        <v>0</v>
      </c>
      <c r="N178" s="59"/>
    </row>
    <row r="179" spans="1:14">
      <c r="A179" s="59">
        <v>138</v>
      </c>
      <c r="B179" s="59" t="s">
        <v>248</v>
      </c>
      <c r="C179" s="59" t="s">
        <v>23</v>
      </c>
      <c r="D179" s="24">
        <v>12</v>
      </c>
      <c r="E179" s="24">
        <v>9</v>
      </c>
      <c r="F179" s="24">
        <v>26</v>
      </c>
      <c r="G179" s="24">
        <v>28</v>
      </c>
      <c r="H179" s="59">
        <v>33.33</v>
      </c>
      <c r="I179" s="59">
        <v>-7.14</v>
      </c>
      <c r="J179" s="59">
        <v>7.0000000000000007E-2</v>
      </c>
      <c r="K179" s="59">
        <v>0.04</v>
      </c>
      <c r="L179" s="59">
        <v>7.0000000000000007E-2</v>
      </c>
      <c r="M179" s="59">
        <v>0.05</v>
      </c>
      <c r="N179" s="59"/>
    </row>
    <row r="180" spans="1:14">
      <c r="A180" s="59">
        <v>139</v>
      </c>
      <c r="B180" s="59" t="s">
        <v>674</v>
      </c>
      <c r="C180" s="59" t="s">
        <v>24</v>
      </c>
      <c r="D180" s="24">
        <v>7</v>
      </c>
      <c r="E180" s="24">
        <v>12</v>
      </c>
      <c r="F180" s="24">
        <v>26</v>
      </c>
      <c r="G180" s="24">
        <v>18</v>
      </c>
      <c r="H180" s="67">
        <v>-41.67</v>
      </c>
      <c r="I180" s="67">
        <v>44.44</v>
      </c>
      <c r="J180" s="59">
        <v>0.04</v>
      </c>
      <c r="K180" s="59">
        <v>0.04</v>
      </c>
      <c r="L180" s="59">
        <v>0.1</v>
      </c>
      <c r="M180" s="59">
        <v>0.03</v>
      </c>
      <c r="N180" s="59"/>
    </row>
    <row r="181" spans="1:14">
      <c r="A181" s="59">
        <v>140</v>
      </c>
      <c r="B181" s="59" t="s">
        <v>732</v>
      </c>
      <c r="C181" s="59" t="s">
        <v>24</v>
      </c>
      <c r="D181" s="24">
        <v>4</v>
      </c>
      <c r="E181" s="24">
        <v>2</v>
      </c>
      <c r="F181" s="24">
        <v>26</v>
      </c>
      <c r="G181" s="24">
        <v>2</v>
      </c>
      <c r="H181" s="59">
        <v>100</v>
      </c>
      <c r="I181" s="59">
        <v>1200</v>
      </c>
      <c r="J181" s="59">
        <v>0.02</v>
      </c>
      <c r="K181" s="59">
        <v>0.04</v>
      </c>
      <c r="L181" s="59">
        <v>0.02</v>
      </c>
      <c r="M181" s="59">
        <v>0</v>
      </c>
      <c r="N181" s="59"/>
    </row>
    <row r="182" spans="1:14">
      <c r="A182" s="59">
        <v>141</v>
      </c>
      <c r="B182" s="59" t="s">
        <v>1111</v>
      </c>
      <c r="C182" s="59" t="s">
        <v>24</v>
      </c>
      <c r="D182" s="24">
        <v>3</v>
      </c>
      <c r="E182" s="24">
        <v>0</v>
      </c>
      <c r="F182" s="24">
        <v>25</v>
      </c>
      <c r="G182" s="24">
        <v>0</v>
      </c>
      <c r="H182" s="59">
        <v>0</v>
      </c>
      <c r="I182" s="59">
        <v>0</v>
      </c>
      <c r="J182" s="59">
        <v>0.02</v>
      </c>
      <c r="K182" s="59">
        <v>0.04</v>
      </c>
      <c r="L182" s="59">
        <v>0</v>
      </c>
      <c r="M182" s="59">
        <v>0</v>
      </c>
      <c r="N182" s="59"/>
    </row>
    <row r="183" spans="1:14">
      <c r="A183" s="59">
        <v>142</v>
      </c>
      <c r="B183" s="59" t="s">
        <v>438</v>
      </c>
      <c r="C183" s="59" t="s">
        <v>23</v>
      </c>
      <c r="D183" s="24">
        <v>9</v>
      </c>
      <c r="E183" s="24">
        <v>4</v>
      </c>
      <c r="F183" s="24">
        <v>24</v>
      </c>
      <c r="G183" s="24">
        <v>45</v>
      </c>
      <c r="H183" s="59">
        <v>125</v>
      </c>
      <c r="I183" s="59">
        <v>-46.67</v>
      </c>
      <c r="J183" s="59">
        <v>0.05</v>
      </c>
      <c r="K183" s="59">
        <v>0.04</v>
      </c>
      <c r="L183" s="59">
        <v>0.03</v>
      </c>
      <c r="M183" s="59">
        <v>7.0000000000000007E-2</v>
      </c>
      <c r="N183" s="59"/>
    </row>
    <row r="184" spans="1:14">
      <c r="A184" s="59">
        <v>143</v>
      </c>
      <c r="B184" s="59" t="s">
        <v>200</v>
      </c>
      <c r="C184" s="59" t="s">
        <v>23</v>
      </c>
      <c r="D184" s="24">
        <v>8</v>
      </c>
      <c r="E184" s="24">
        <v>0</v>
      </c>
      <c r="F184" s="24">
        <v>22</v>
      </c>
      <c r="G184" s="24">
        <v>0</v>
      </c>
      <c r="H184" s="59">
        <v>0</v>
      </c>
      <c r="I184" s="59">
        <v>0</v>
      </c>
      <c r="J184" s="59">
        <v>0.05</v>
      </c>
      <c r="K184" s="59">
        <v>0.03</v>
      </c>
      <c r="L184" s="59">
        <v>0</v>
      </c>
      <c r="M184" s="59">
        <v>0</v>
      </c>
      <c r="N184" s="59"/>
    </row>
    <row r="185" spans="1:14">
      <c r="A185" s="59">
        <v>144</v>
      </c>
      <c r="B185" s="59" t="s">
        <v>419</v>
      </c>
      <c r="C185" s="59" t="s">
        <v>24</v>
      </c>
      <c r="D185" s="24">
        <v>2</v>
      </c>
      <c r="E185" s="24">
        <v>10</v>
      </c>
      <c r="F185" s="24">
        <v>21</v>
      </c>
      <c r="G185" s="24">
        <v>77</v>
      </c>
      <c r="H185" s="59">
        <v>-80</v>
      </c>
      <c r="I185" s="59">
        <v>-72.73</v>
      </c>
      <c r="J185" s="59">
        <v>0.01</v>
      </c>
      <c r="K185" s="59">
        <v>0.03</v>
      </c>
      <c r="L185" s="59">
        <v>0.08</v>
      </c>
      <c r="M185" s="59">
        <v>0.13</v>
      </c>
      <c r="N185" s="59"/>
    </row>
    <row r="186" spans="1:14">
      <c r="A186" s="59">
        <v>145</v>
      </c>
      <c r="B186" s="59" t="s">
        <v>581</v>
      </c>
      <c r="C186" s="59" t="s">
        <v>24</v>
      </c>
      <c r="D186" s="24">
        <v>5</v>
      </c>
      <c r="E186" s="24">
        <v>18</v>
      </c>
      <c r="F186" s="24">
        <v>20</v>
      </c>
      <c r="G186" s="24">
        <v>82</v>
      </c>
      <c r="H186" s="59">
        <v>-72.22</v>
      </c>
      <c r="I186" s="59">
        <v>-75.61</v>
      </c>
      <c r="J186" s="59">
        <v>0.03</v>
      </c>
      <c r="K186" s="59">
        <v>0.03</v>
      </c>
      <c r="L186" s="59">
        <v>0.14000000000000001</v>
      </c>
      <c r="M186" s="59">
        <v>0.14000000000000001</v>
      </c>
      <c r="N186" s="59"/>
    </row>
    <row r="187" spans="1:14">
      <c r="A187" s="59">
        <v>146</v>
      </c>
      <c r="B187" s="59" t="s">
        <v>515</v>
      </c>
      <c r="C187" s="59" t="s">
        <v>23</v>
      </c>
      <c r="D187" s="24">
        <v>2</v>
      </c>
      <c r="E187" s="24">
        <v>6</v>
      </c>
      <c r="F187" s="24">
        <v>20</v>
      </c>
      <c r="G187" s="24">
        <v>40</v>
      </c>
      <c r="H187" s="59">
        <v>-66.67</v>
      </c>
      <c r="I187" s="59">
        <v>-50</v>
      </c>
      <c r="J187" s="59">
        <v>0.01</v>
      </c>
      <c r="K187" s="59">
        <v>0.03</v>
      </c>
      <c r="L187" s="59">
        <v>0.05</v>
      </c>
      <c r="M187" s="59">
        <v>7.0000000000000007E-2</v>
      </c>
      <c r="N187" s="59"/>
    </row>
    <row r="188" spans="1:14">
      <c r="A188" s="59">
        <v>147</v>
      </c>
      <c r="B188" s="59" t="s">
        <v>598</v>
      </c>
      <c r="C188" s="59" t="s">
        <v>24</v>
      </c>
      <c r="D188" s="24">
        <v>2</v>
      </c>
      <c r="E188" s="24">
        <v>0</v>
      </c>
      <c r="F188" s="24">
        <v>20</v>
      </c>
      <c r="G188" s="24">
        <v>25</v>
      </c>
      <c r="H188" s="59">
        <v>0</v>
      </c>
      <c r="I188" s="59">
        <v>-20</v>
      </c>
      <c r="J188" s="59">
        <v>0.01</v>
      </c>
      <c r="K188" s="59">
        <v>0.03</v>
      </c>
      <c r="L188" s="59">
        <v>0</v>
      </c>
      <c r="M188" s="59">
        <v>0.04</v>
      </c>
      <c r="N188" s="59"/>
    </row>
    <row r="189" spans="1:14">
      <c r="A189" s="59">
        <v>148</v>
      </c>
      <c r="B189" s="59" t="s">
        <v>450</v>
      </c>
      <c r="C189" s="59" t="s">
        <v>24</v>
      </c>
      <c r="D189" s="24">
        <v>1</v>
      </c>
      <c r="E189" s="24">
        <v>3</v>
      </c>
      <c r="F189" s="24">
        <v>19</v>
      </c>
      <c r="G189" s="24">
        <v>17</v>
      </c>
      <c r="H189" s="59">
        <v>-66.67</v>
      </c>
      <c r="I189" s="59">
        <v>11.76</v>
      </c>
      <c r="J189" s="59">
        <v>0.01</v>
      </c>
      <c r="K189" s="59">
        <v>0.03</v>
      </c>
      <c r="L189" s="59">
        <v>0.02</v>
      </c>
      <c r="M189" s="59">
        <v>0.03</v>
      </c>
      <c r="N189" s="59"/>
    </row>
    <row r="190" spans="1:14">
      <c r="A190" s="59">
        <v>149</v>
      </c>
      <c r="B190" s="59" t="s">
        <v>1185</v>
      </c>
      <c r="C190" s="59" t="s">
        <v>23</v>
      </c>
      <c r="D190" s="24">
        <v>11</v>
      </c>
      <c r="E190" s="24">
        <v>0</v>
      </c>
      <c r="F190" s="24">
        <v>19</v>
      </c>
      <c r="G190" s="24">
        <v>0</v>
      </c>
      <c r="H190" s="59">
        <v>0</v>
      </c>
      <c r="I190" s="59">
        <v>0</v>
      </c>
      <c r="J190" s="59">
        <v>0.06</v>
      </c>
      <c r="K190" s="59">
        <v>0.03</v>
      </c>
      <c r="L190" s="59">
        <v>0</v>
      </c>
      <c r="M190" s="59">
        <v>0</v>
      </c>
      <c r="N190" s="59"/>
    </row>
    <row r="191" spans="1:14">
      <c r="A191" s="59">
        <v>150</v>
      </c>
      <c r="B191" s="59" t="s">
        <v>1095</v>
      </c>
      <c r="C191" s="59" t="s">
        <v>23</v>
      </c>
      <c r="D191" s="24">
        <v>4</v>
      </c>
      <c r="E191" s="24">
        <v>0</v>
      </c>
      <c r="F191" s="24">
        <v>18</v>
      </c>
      <c r="G191" s="24">
        <v>0</v>
      </c>
      <c r="H191" s="59">
        <v>0</v>
      </c>
      <c r="I191" s="59">
        <v>0</v>
      </c>
      <c r="J191" s="59">
        <v>0.02</v>
      </c>
      <c r="K191" s="59">
        <v>0.03</v>
      </c>
      <c r="L191" s="59">
        <v>0</v>
      </c>
      <c r="M191" s="59">
        <v>0</v>
      </c>
      <c r="N191" s="59"/>
    </row>
    <row r="192" spans="1:14">
      <c r="A192" s="59">
        <v>151</v>
      </c>
      <c r="B192" s="59" t="s">
        <v>455</v>
      </c>
      <c r="C192" s="59" t="s">
        <v>23</v>
      </c>
      <c r="D192" s="24">
        <v>6</v>
      </c>
      <c r="E192" s="24">
        <v>13</v>
      </c>
      <c r="F192" s="24">
        <v>17</v>
      </c>
      <c r="G192" s="24">
        <v>49</v>
      </c>
      <c r="H192" s="59">
        <v>-53.85</v>
      </c>
      <c r="I192" s="59">
        <v>-65.31</v>
      </c>
      <c r="J192" s="59">
        <v>0.03</v>
      </c>
      <c r="K192" s="59">
        <v>0.03</v>
      </c>
      <c r="L192" s="59">
        <v>0.1</v>
      </c>
      <c r="M192" s="59">
        <v>0.08</v>
      </c>
      <c r="N192" s="59"/>
    </row>
    <row r="193" spans="1:14">
      <c r="A193" s="59">
        <v>152</v>
      </c>
      <c r="B193" s="59" t="s">
        <v>730</v>
      </c>
      <c r="C193" s="59" t="s">
        <v>23</v>
      </c>
      <c r="D193" s="24">
        <v>5</v>
      </c>
      <c r="E193" s="24">
        <v>45</v>
      </c>
      <c r="F193" s="24">
        <v>17</v>
      </c>
      <c r="G193" s="24">
        <v>45</v>
      </c>
      <c r="H193" s="59">
        <v>-88.89</v>
      </c>
      <c r="I193" s="59">
        <v>-62.22</v>
      </c>
      <c r="J193" s="59">
        <v>0.03</v>
      </c>
      <c r="K193" s="59">
        <v>0.03</v>
      </c>
      <c r="L193" s="59">
        <v>0.36</v>
      </c>
      <c r="M193" s="59">
        <v>7.0000000000000007E-2</v>
      </c>
      <c r="N193" s="59"/>
    </row>
    <row r="194" spans="1:14">
      <c r="A194" s="59">
        <v>153</v>
      </c>
      <c r="B194" s="59" t="s">
        <v>637</v>
      </c>
      <c r="C194" s="59" t="s">
        <v>24</v>
      </c>
      <c r="D194" s="24">
        <v>8</v>
      </c>
      <c r="E194" s="24">
        <v>0</v>
      </c>
      <c r="F194" s="24">
        <v>17</v>
      </c>
      <c r="G194" s="24">
        <v>14</v>
      </c>
      <c r="H194" s="59">
        <v>0</v>
      </c>
      <c r="I194" s="59">
        <v>21.43</v>
      </c>
      <c r="J194" s="59">
        <v>0.05</v>
      </c>
      <c r="K194" s="59">
        <v>0.03</v>
      </c>
      <c r="L194" s="59">
        <v>0</v>
      </c>
      <c r="M194" s="59">
        <v>0.02</v>
      </c>
      <c r="N194" s="59"/>
    </row>
    <row r="195" spans="1:14">
      <c r="A195" s="59">
        <v>154</v>
      </c>
      <c r="B195" s="59" t="s">
        <v>726</v>
      </c>
      <c r="C195" s="59" t="s">
        <v>23</v>
      </c>
      <c r="D195" s="24">
        <v>0</v>
      </c>
      <c r="E195" s="24">
        <v>1</v>
      </c>
      <c r="F195" s="24">
        <v>17</v>
      </c>
      <c r="G195" s="24">
        <v>2</v>
      </c>
      <c r="H195" s="59">
        <v>-100</v>
      </c>
      <c r="I195" s="59">
        <v>750</v>
      </c>
      <c r="J195" s="59">
        <v>0</v>
      </c>
      <c r="K195" s="59">
        <v>0.03</v>
      </c>
      <c r="L195" s="59">
        <v>0.01</v>
      </c>
      <c r="M195" s="59">
        <v>0</v>
      </c>
      <c r="N195" s="59"/>
    </row>
    <row r="196" spans="1:14">
      <c r="A196" s="59">
        <v>155</v>
      </c>
      <c r="B196" s="59" t="s">
        <v>671</v>
      </c>
      <c r="C196" s="59" t="s">
        <v>24</v>
      </c>
      <c r="D196" s="24">
        <v>7</v>
      </c>
      <c r="E196" s="24">
        <v>10</v>
      </c>
      <c r="F196" s="24">
        <v>16</v>
      </c>
      <c r="G196" s="24">
        <v>37</v>
      </c>
      <c r="H196" s="67">
        <v>-30</v>
      </c>
      <c r="I196" s="67">
        <v>-56.76</v>
      </c>
      <c r="J196" s="67">
        <v>0.04</v>
      </c>
      <c r="K196" s="67">
        <v>0.02</v>
      </c>
      <c r="L196" s="67">
        <v>0.08</v>
      </c>
      <c r="M196" s="67">
        <v>0.06</v>
      </c>
      <c r="N196" s="59"/>
    </row>
    <row r="197" spans="1:14">
      <c r="A197" s="59">
        <v>156</v>
      </c>
      <c r="B197" s="59" t="s">
        <v>458</v>
      </c>
      <c r="C197" s="59" t="s">
        <v>24</v>
      </c>
      <c r="D197" s="24">
        <v>5</v>
      </c>
      <c r="E197" s="24">
        <v>1</v>
      </c>
      <c r="F197" s="24">
        <v>16</v>
      </c>
      <c r="G197" s="24">
        <v>9</v>
      </c>
      <c r="H197" s="59">
        <v>400</v>
      </c>
      <c r="I197" s="59">
        <v>77.78</v>
      </c>
      <c r="J197" s="59">
        <v>0.03</v>
      </c>
      <c r="K197" s="59">
        <v>0.02</v>
      </c>
      <c r="L197" s="59">
        <v>0.01</v>
      </c>
      <c r="M197" s="59">
        <v>0.01</v>
      </c>
      <c r="N197" s="59"/>
    </row>
    <row r="198" spans="1:14">
      <c r="A198" s="59">
        <v>157</v>
      </c>
      <c r="B198" s="59" t="s">
        <v>718</v>
      </c>
      <c r="C198" s="59" t="s">
        <v>23</v>
      </c>
      <c r="D198" s="24">
        <v>6</v>
      </c>
      <c r="E198" s="24">
        <v>2</v>
      </c>
      <c r="F198" s="24">
        <v>16</v>
      </c>
      <c r="G198" s="24">
        <v>4</v>
      </c>
      <c r="H198" s="59">
        <v>200</v>
      </c>
      <c r="I198" s="59">
        <v>300</v>
      </c>
      <c r="J198" s="59">
        <v>0.03</v>
      </c>
      <c r="K198" s="59">
        <v>0.02</v>
      </c>
      <c r="L198" s="59">
        <v>0.02</v>
      </c>
      <c r="M198" s="59">
        <v>0.01</v>
      </c>
      <c r="N198" s="59"/>
    </row>
    <row r="199" spans="1:14">
      <c r="A199" s="59">
        <v>158</v>
      </c>
      <c r="B199" s="59" t="s">
        <v>1070</v>
      </c>
      <c r="C199" s="59" t="s">
        <v>24</v>
      </c>
      <c r="D199" s="24">
        <v>3</v>
      </c>
      <c r="E199" s="24">
        <v>0</v>
      </c>
      <c r="F199" s="24">
        <v>16</v>
      </c>
      <c r="G199" s="24">
        <v>0</v>
      </c>
      <c r="H199" s="59">
        <v>0</v>
      </c>
      <c r="I199" s="59">
        <v>0</v>
      </c>
      <c r="J199" s="59">
        <v>0.02</v>
      </c>
      <c r="K199" s="59">
        <v>0.02</v>
      </c>
      <c r="L199" s="59">
        <v>0</v>
      </c>
      <c r="M199" s="59">
        <v>0</v>
      </c>
      <c r="N199" s="59"/>
    </row>
    <row r="200" spans="1:14">
      <c r="A200" s="59">
        <v>159</v>
      </c>
      <c r="B200" s="59" t="s">
        <v>520</v>
      </c>
      <c r="C200" s="59" t="s">
        <v>24</v>
      </c>
      <c r="D200" s="24">
        <v>2</v>
      </c>
      <c r="E200" s="24">
        <v>13</v>
      </c>
      <c r="F200" s="24">
        <v>15</v>
      </c>
      <c r="G200" s="24">
        <v>49</v>
      </c>
      <c r="H200" s="59">
        <v>-84.62</v>
      </c>
      <c r="I200" s="59">
        <v>-69.39</v>
      </c>
      <c r="J200" s="59">
        <v>0.01</v>
      </c>
      <c r="K200" s="59">
        <v>0.02</v>
      </c>
      <c r="L200" s="59">
        <v>0.1</v>
      </c>
      <c r="M200" s="59">
        <v>0.08</v>
      </c>
      <c r="N200" s="59"/>
    </row>
    <row r="201" spans="1:14">
      <c r="A201" s="59">
        <v>160</v>
      </c>
      <c r="B201" s="59" t="s">
        <v>1164</v>
      </c>
      <c r="C201" s="59" t="s">
        <v>24</v>
      </c>
      <c r="D201" s="24">
        <v>5</v>
      </c>
      <c r="E201" s="24">
        <v>0</v>
      </c>
      <c r="F201" s="24">
        <v>14</v>
      </c>
      <c r="G201" s="24">
        <v>0</v>
      </c>
      <c r="H201" s="59">
        <v>0</v>
      </c>
      <c r="I201" s="59">
        <v>0</v>
      </c>
      <c r="J201" s="59">
        <v>0.03</v>
      </c>
      <c r="K201" s="59">
        <v>0.02</v>
      </c>
      <c r="L201" s="59">
        <v>0</v>
      </c>
      <c r="M201" s="59">
        <v>0</v>
      </c>
      <c r="N201" s="59"/>
    </row>
    <row r="202" spans="1:14">
      <c r="A202" s="59">
        <v>161</v>
      </c>
      <c r="B202" s="59" t="s">
        <v>517</v>
      </c>
      <c r="C202" s="59" t="s">
        <v>23</v>
      </c>
      <c r="D202" s="24">
        <v>2</v>
      </c>
      <c r="E202" s="24">
        <v>1</v>
      </c>
      <c r="F202" s="24">
        <v>13</v>
      </c>
      <c r="G202" s="24">
        <v>6</v>
      </c>
      <c r="H202" s="59">
        <v>100</v>
      </c>
      <c r="I202" s="59">
        <v>116.67</v>
      </c>
      <c r="J202" s="59">
        <v>0.01</v>
      </c>
      <c r="K202" s="59">
        <v>0.02</v>
      </c>
      <c r="L202" s="59">
        <v>0.01</v>
      </c>
      <c r="M202" s="59">
        <v>0.01</v>
      </c>
      <c r="N202" s="59"/>
    </row>
    <row r="203" spans="1:14">
      <c r="A203" s="59">
        <v>162</v>
      </c>
      <c r="B203" s="59" t="s">
        <v>139</v>
      </c>
      <c r="C203" s="59" t="s">
        <v>23</v>
      </c>
      <c r="D203" s="24">
        <v>1</v>
      </c>
      <c r="E203" s="24">
        <v>9</v>
      </c>
      <c r="F203" s="24">
        <v>12</v>
      </c>
      <c r="G203" s="24">
        <v>63</v>
      </c>
      <c r="H203" s="59">
        <v>-88.89</v>
      </c>
      <c r="I203" s="59">
        <v>-80.95</v>
      </c>
      <c r="J203" s="59">
        <v>0.01</v>
      </c>
      <c r="K203" s="59">
        <v>0.02</v>
      </c>
      <c r="L203" s="59">
        <v>7.0000000000000007E-2</v>
      </c>
      <c r="M203" s="59">
        <v>0.1</v>
      </c>
      <c r="N203" s="59"/>
    </row>
    <row r="204" spans="1:14">
      <c r="A204" s="59">
        <v>163</v>
      </c>
      <c r="B204" s="59" t="s">
        <v>622</v>
      </c>
      <c r="C204" s="59" t="s">
        <v>23</v>
      </c>
      <c r="D204" s="24">
        <v>5</v>
      </c>
      <c r="E204" s="24">
        <v>16</v>
      </c>
      <c r="F204" s="24">
        <v>10</v>
      </c>
      <c r="G204" s="24">
        <v>44</v>
      </c>
      <c r="H204" s="59">
        <v>-68.75</v>
      </c>
      <c r="I204" s="59">
        <v>-77.27</v>
      </c>
      <c r="J204" s="59">
        <v>0.03</v>
      </c>
      <c r="K204" s="59">
        <v>0.02</v>
      </c>
      <c r="L204" s="59">
        <v>0.13</v>
      </c>
      <c r="M204" s="59">
        <v>7.0000000000000007E-2</v>
      </c>
      <c r="N204" s="59"/>
    </row>
    <row r="205" spans="1:14">
      <c r="A205" s="59">
        <v>164</v>
      </c>
      <c r="B205" s="59" t="s">
        <v>181</v>
      </c>
      <c r="C205" s="59" t="s">
        <v>23</v>
      </c>
      <c r="D205" s="24">
        <v>0</v>
      </c>
      <c r="E205" s="24">
        <v>6</v>
      </c>
      <c r="F205" s="24">
        <v>10</v>
      </c>
      <c r="G205" s="24">
        <v>16</v>
      </c>
      <c r="H205" s="59">
        <v>-100</v>
      </c>
      <c r="I205" s="59">
        <v>-37.5</v>
      </c>
      <c r="J205" s="59">
        <v>0</v>
      </c>
      <c r="K205" s="59">
        <v>0.02</v>
      </c>
      <c r="L205" s="59">
        <v>0.05</v>
      </c>
      <c r="M205" s="59">
        <v>0.03</v>
      </c>
      <c r="N205" s="59"/>
    </row>
    <row r="206" spans="1:14">
      <c r="A206" s="152">
        <v>165</v>
      </c>
      <c r="B206" s="152" t="s">
        <v>1134</v>
      </c>
      <c r="C206" s="152" t="s">
        <v>24</v>
      </c>
      <c r="D206" s="159">
        <v>0</v>
      </c>
      <c r="E206" s="159">
        <v>3</v>
      </c>
      <c r="F206" s="159">
        <v>9</v>
      </c>
      <c r="G206" s="159">
        <v>9</v>
      </c>
      <c r="H206" s="152">
        <v>-100</v>
      </c>
      <c r="I206" s="152">
        <v>0</v>
      </c>
      <c r="J206" s="152">
        <v>0</v>
      </c>
      <c r="K206" s="152">
        <v>0.01</v>
      </c>
      <c r="L206" s="152">
        <v>0.02</v>
      </c>
      <c r="M206" s="152">
        <v>0.01</v>
      </c>
      <c r="N206" s="59"/>
    </row>
    <row r="207" spans="1:14">
      <c r="A207" s="152">
        <v>166</v>
      </c>
      <c r="B207" s="152" t="s">
        <v>1119</v>
      </c>
      <c r="C207" s="152" t="s">
        <v>24</v>
      </c>
      <c r="D207" s="159">
        <v>2</v>
      </c>
      <c r="E207" s="159">
        <v>0</v>
      </c>
      <c r="F207" s="159">
        <v>9</v>
      </c>
      <c r="G207" s="159">
        <v>0</v>
      </c>
      <c r="H207" s="152">
        <v>0</v>
      </c>
      <c r="I207" s="152">
        <v>0</v>
      </c>
      <c r="J207" s="152">
        <v>0.01</v>
      </c>
      <c r="K207" s="152">
        <v>0.01</v>
      </c>
      <c r="L207" s="152">
        <v>0</v>
      </c>
      <c r="M207" s="152">
        <v>0</v>
      </c>
      <c r="N207" s="59"/>
    </row>
    <row r="208" spans="1:14">
      <c r="A208" s="152">
        <v>167</v>
      </c>
      <c r="B208" s="152" t="s">
        <v>440</v>
      </c>
      <c r="C208" s="152" t="s">
        <v>23</v>
      </c>
      <c r="D208" s="159">
        <v>3</v>
      </c>
      <c r="E208" s="159">
        <v>10</v>
      </c>
      <c r="F208" s="159">
        <v>8</v>
      </c>
      <c r="G208" s="159">
        <v>23</v>
      </c>
      <c r="H208" s="152">
        <v>-70</v>
      </c>
      <c r="I208" s="152">
        <v>-65.22</v>
      </c>
      <c r="J208" s="152">
        <v>0.02</v>
      </c>
      <c r="K208" s="152">
        <v>0.01</v>
      </c>
      <c r="L208" s="152">
        <v>0.08</v>
      </c>
      <c r="M208" s="152">
        <v>0.04</v>
      </c>
      <c r="N208" s="59"/>
    </row>
    <row r="209" spans="1:14">
      <c r="A209" s="152">
        <v>168</v>
      </c>
      <c r="B209" s="152" t="s">
        <v>377</v>
      </c>
      <c r="C209" s="152" t="s">
        <v>23</v>
      </c>
      <c r="D209" s="159">
        <v>1</v>
      </c>
      <c r="E209" s="159">
        <v>0</v>
      </c>
      <c r="F209" s="159">
        <v>8</v>
      </c>
      <c r="G209" s="159">
        <v>5</v>
      </c>
      <c r="H209" s="152">
        <v>0</v>
      </c>
      <c r="I209" s="152">
        <v>60</v>
      </c>
      <c r="J209" s="152">
        <v>0.01</v>
      </c>
      <c r="K209" s="152">
        <v>0.01</v>
      </c>
      <c r="L209" s="152">
        <v>0</v>
      </c>
      <c r="M209" s="152">
        <v>0.01</v>
      </c>
      <c r="N209" s="59"/>
    </row>
    <row r="210" spans="1:14">
      <c r="A210" s="152">
        <v>169</v>
      </c>
      <c r="B210" s="152" t="s">
        <v>514</v>
      </c>
      <c r="C210" s="152" t="s">
        <v>23</v>
      </c>
      <c r="D210" s="159">
        <v>3</v>
      </c>
      <c r="E210" s="159">
        <v>1</v>
      </c>
      <c r="F210" s="159">
        <v>7</v>
      </c>
      <c r="G210" s="159">
        <v>26</v>
      </c>
      <c r="H210" s="152">
        <v>200</v>
      </c>
      <c r="I210" s="152">
        <v>-73.08</v>
      </c>
      <c r="J210" s="152">
        <v>0.02</v>
      </c>
      <c r="K210" s="152">
        <v>0.01</v>
      </c>
      <c r="L210" s="152">
        <v>0.01</v>
      </c>
      <c r="M210" s="152">
        <v>0.04</v>
      </c>
      <c r="N210" s="59"/>
    </row>
    <row r="211" spans="1:14">
      <c r="A211" s="152">
        <v>170</v>
      </c>
      <c r="B211" s="152" t="s">
        <v>522</v>
      </c>
      <c r="C211" s="152" t="s">
        <v>23</v>
      </c>
      <c r="D211" s="159">
        <v>0</v>
      </c>
      <c r="E211" s="159">
        <v>4</v>
      </c>
      <c r="F211" s="159">
        <v>7</v>
      </c>
      <c r="G211" s="159">
        <v>20</v>
      </c>
      <c r="H211" s="152">
        <v>-100</v>
      </c>
      <c r="I211" s="152">
        <v>-65</v>
      </c>
      <c r="J211" s="152">
        <v>0</v>
      </c>
      <c r="K211" s="152">
        <v>0.01</v>
      </c>
      <c r="L211" s="152">
        <v>0.03</v>
      </c>
      <c r="M211" s="152">
        <v>0.03</v>
      </c>
      <c r="N211" s="59"/>
    </row>
    <row r="212" spans="1:14">
      <c r="A212" s="152">
        <v>171</v>
      </c>
      <c r="B212" s="152" t="s">
        <v>242</v>
      </c>
      <c r="C212" s="152" t="s">
        <v>23</v>
      </c>
      <c r="D212" s="159">
        <v>1</v>
      </c>
      <c r="E212" s="159">
        <v>1</v>
      </c>
      <c r="F212" s="159">
        <v>7</v>
      </c>
      <c r="G212" s="159">
        <v>16</v>
      </c>
      <c r="H212" s="152">
        <v>0</v>
      </c>
      <c r="I212" s="152">
        <v>-56.25</v>
      </c>
      <c r="J212" s="152">
        <v>0.01</v>
      </c>
      <c r="K212" s="152">
        <v>0.01</v>
      </c>
      <c r="L212" s="152">
        <v>0.01</v>
      </c>
      <c r="M212" s="152">
        <v>0.03</v>
      </c>
      <c r="N212" s="59"/>
    </row>
    <row r="213" spans="1:14">
      <c r="A213" s="152">
        <v>172</v>
      </c>
      <c r="B213" s="152" t="s">
        <v>410</v>
      </c>
      <c r="C213" s="152" t="s">
        <v>23</v>
      </c>
      <c r="D213" s="159">
        <v>2</v>
      </c>
      <c r="E213" s="159">
        <v>0</v>
      </c>
      <c r="F213" s="159">
        <v>7</v>
      </c>
      <c r="G213" s="159">
        <v>0</v>
      </c>
      <c r="H213" s="152">
        <v>0</v>
      </c>
      <c r="I213" s="152">
        <v>0</v>
      </c>
      <c r="J213" s="152">
        <v>0.01</v>
      </c>
      <c r="K213" s="152">
        <v>0.01</v>
      </c>
      <c r="L213" s="152">
        <v>0</v>
      </c>
      <c r="M213" s="152">
        <v>0</v>
      </c>
      <c r="N213" s="59"/>
    </row>
    <row r="214" spans="1:14">
      <c r="A214" s="152">
        <v>173</v>
      </c>
      <c r="B214" s="152" t="s">
        <v>1045</v>
      </c>
      <c r="C214" s="152" t="s">
        <v>24</v>
      </c>
      <c r="D214" s="159">
        <v>1</v>
      </c>
      <c r="E214" s="159">
        <v>0</v>
      </c>
      <c r="F214" s="159">
        <v>7</v>
      </c>
      <c r="G214" s="159">
        <v>0</v>
      </c>
      <c r="H214" s="152">
        <v>0</v>
      </c>
      <c r="I214" s="152">
        <v>0</v>
      </c>
      <c r="J214" s="152">
        <v>0.01</v>
      </c>
      <c r="K214" s="152">
        <v>0.01</v>
      </c>
      <c r="L214" s="152">
        <v>0</v>
      </c>
      <c r="M214" s="152">
        <v>0</v>
      </c>
      <c r="N214" s="59"/>
    </row>
    <row r="215" spans="1:14">
      <c r="A215" s="152">
        <v>174</v>
      </c>
      <c r="B215" s="152" t="s">
        <v>407</v>
      </c>
      <c r="C215" s="152" t="s">
        <v>24</v>
      </c>
      <c r="D215" s="159">
        <v>1</v>
      </c>
      <c r="E215" s="159">
        <v>9</v>
      </c>
      <c r="F215" s="159">
        <v>6</v>
      </c>
      <c r="G215" s="159">
        <v>68</v>
      </c>
      <c r="H215" s="154">
        <v>-88.89</v>
      </c>
      <c r="I215" s="154">
        <v>-91.18</v>
      </c>
      <c r="J215" s="154">
        <v>0.01</v>
      </c>
      <c r="K215" s="154">
        <v>0.01</v>
      </c>
      <c r="L215" s="154">
        <v>7.0000000000000007E-2</v>
      </c>
      <c r="M215" s="154">
        <v>0.11</v>
      </c>
      <c r="N215" s="59"/>
    </row>
    <row r="216" spans="1:14">
      <c r="A216" s="152">
        <v>175</v>
      </c>
      <c r="B216" s="152" t="s">
        <v>396</v>
      </c>
      <c r="C216" s="152" t="s">
        <v>23</v>
      </c>
      <c r="D216" s="159">
        <v>0</v>
      </c>
      <c r="E216" s="159">
        <v>12</v>
      </c>
      <c r="F216" s="159">
        <v>6</v>
      </c>
      <c r="G216" s="159">
        <v>55</v>
      </c>
      <c r="H216" s="152">
        <v>-100</v>
      </c>
      <c r="I216" s="152">
        <v>-89.09</v>
      </c>
      <c r="J216" s="152">
        <v>0</v>
      </c>
      <c r="K216" s="152">
        <v>0.01</v>
      </c>
      <c r="L216" s="152">
        <v>0.1</v>
      </c>
      <c r="M216" s="152">
        <v>0.09</v>
      </c>
      <c r="N216" s="59"/>
    </row>
    <row r="217" spans="1:14">
      <c r="A217" s="152">
        <v>176</v>
      </c>
      <c r="B217" s="152" t="s">
        <v>1116</v>
      </c>
      <c r="C217" s="152" t="s">
        <v>24</v>
      </c>
      <c r="D217" s="159">
        <v>1</v>
      </c>
      <c r="E217" s="159">
        <v>5</v>
      </c>
      <c r="F217" s="159">
        <v>6</v>
      </c>
      <c r="G217" s="159">
        <v>13</v>
      </c>
      <c r="H217" s="152">
        <v>-80</v>
      </c>
      <c r="I217" s="152">
        <v>-53.85</v>
      </c>
      <c r="J217" s="152">
        <v>0.01</v>
      </c>
      <c r="K217" s="152">
        <v>0.01</v>
      </c>
      <c r="L217" s="152">
        <v>0.04</v>
      </c>
      <c r="M217" s="152">
        <v>0.02</v>
      </c>
      <c r="N217" s="59"/>
    </row>
    <row r="218" spans="1:14">
      <c r="A218" s="152">
        <v>177</v>
      </c>
      <c r="B218" s="152" t="s">
        <v>442</v>
      </c>
      <c r="C218" s="152" t="s">
        <v>23</v>
      </c>
      <c r="D218" s="159">
        <v>0</v>
      </c>
      <c r="E218" s="159">
        <v>4</v>
      </c>
      <c r="F218" s="159">
        <v>5</v>
      </c>
      <c r="G218" s="159">
        <v>27</v>
      </c>
      <c r="H218" s="152">
        <v>-100</v>
      </c>
      <c r="I218" s="152">
        <v>-81.48</v>
      </c>
      <c r="J218" s="152">
        <v>0</v>
      </c>
      <c r="K218" s="152">
        <v>0.01</v>
      </c>
      <c r="L218" s="152">
        <v>0.03</v>
      </c>
      <c r="M218" s="152">
        <v>0.04</v>
      </c>
      <c r="N218" s="59"/>
    </row>
    <row r="219" spans="1:14">
      <c r="A219" s="152">
        <v>178</v>
      </c>
      <c r="B219" s="152" t="s">
        <v>1131</v>
      </c>
      <c r="C219" s="152" t="s">
        <v>23</v>
      </c>
      <c r="D219" s="159">
        <v>0</v>
      </c>
      <c r="E219" s="159">
        <v>0</v>
      </c>
      <c r="F219" s="159">
        <v>5</v>
      </c>
      <c r="G219" s="159">
        <v>0</v>
      </c>
      <c r="H219" s="152">
        <v>0</v>
      </c>
      <c r="I219" s="152">
        <v>0</v>
      </c>
      <c r="J219" s="152">
        <v>0</v>
      </c>
      <c r="K219" s="152">
        <v>0.01</v>
      </c>
      <c r="L219" s="152">
        <v>0</v>
      </c>
      <c r="M219" s="152">
        <v>0</v>
      </c>
      <c r="N219" s="59"/>
    </row>
    <row r="220" spans="1:14">
      <c r="A220" s="152">
        <v>179</v>
      </c>
      <c r="B220" s="152" t="s">
        <v>1170</v>
      </c>
      <c r="C220" s="152" t="s">
        <v>24</v>
      </c>
      <c r="D220" s="159">
        <v>0</v>
      </c>
      <c r="E220" s="159">
        <v>0</v>
      </c>
      <c r="F220" s="159">
        <v>4</v>
      </c>
      <c r="G220" s="159">
        <v>0</v>
      </c>
      <c r="H220" s="152">
        <v>0</v>
      </c>
      <c r="I220" s="152">
        <v>0</v>
      </c>
      <c r="J220" s="152">
        <v>0</v>
      </c>
      <c r="K220" s="152">
        <v>0.01</v>
      </c>
      <c r="L220" s="152">
        <v>0</v>
      </c>
      <c r="M220" s="152">
        <v>0</v>
      </c>
      <c r="N220" s="59"/>
    </row>
    <row r="221" spans="1:14">
      <c r="A221" s="152">
        <v>180</v>
      </c>
      <c r="B221" s="152" t="s">
        <v>150</v>
      </c>
      <c r="C221" s="152" t="s">
        <v>23</v>
      </c>
      <c r="D221" s="159">
        <v>0</v>
      </c>
      <c r="E221" s="159">
        <v>5</v>
      </c>
      <c r="F221" s="159">
        <v>3</v>
      </c>
      <c r="G221" s="159">
        <v>86</v>
      </c>
      <c r="H221" s="152">
        <v>-100</v>
      </c>
      <c r="I221" s="152">
        <v>-96.51</v>
      </c>
      <c r="J221" s="152">
        <v>0</v>
      </c>
      <c r="K221" s="152">
        <v>0</v>
      </c>
      <c r="L221" s="152">
        <v>0.04</v>
      </c>
      <c r="M221" s="152">
        <v>0.14000000000000001</v>
      </c>
      <c r="N221" s="59"/>
    </row>
    <row r="222" spans="1:14">
      <c r="A222" s="152">
        <v>181</v>
      </c>
      <c r="B222" s="152" t="s">
        <v>1130</v>
      </c>
      <c r="C222" s="152" t="s">
        <v>23</v>
      </c>
      <c r="D222" s="159">
        <v>0</v>
      </c>
      <c r="E222" s="159">
        <v>0</v>
      </c>
      <c r="F222" s="159">
        <v>3</v>
      </c>
      <c r="G222" s="159">
        <v>2</v>
      </c>
      <c r="H222" s="152">
        <v>0</v>
      </c>
      <c r="I222" s="152">
        <v>50</v>
      </c>
      <c r="J222" s="152">
        <v>0</v>
      </c>
      <c r="K222" s="152">
        <v>0</v>
      </c>
      <c r="L222" s="152">
        <v>0</v>
      </c>
      <c r="M222" s="152">
        <v>0</v>
      </c>
      <c r="N222" s="59"/>
    </row>
    <row r="223" spans="1:14">
      <c r="A223" s="152">
        <v>182</v>
      </c>
      <c r="B223" s="152" t="s">
        <v>1193</v>
      </c>
      <c r="C223" s="152" t="s">
        <v>1194</v>
      </c>
      <c r="D223" s="159">
        <v>0</v>
      </c>
      <c r="E223" s="159">
        <v>0</v>
      </c>
      <c r="F223" s="159">
        <v>3</v>
      </c>
      <c r="G223" s="159">
        <v>0</v>
      </c>
      <c r="H223" s="152">
        <v>0</v>
      </c>
      <c r="I223" s="152">
        <v>0</v>
      </c>
      <c r="J223" s="152">
        <v>0</v>
      </c>
      <c r="K223" s="152">
        <v>0</v>
      </c>
      <c r="L223" s="152">
        <v>0</v>
      </c>
      <c r="M223" s="152">
        <v>0</v>
      </c>
      <c r="N223" s="59"/>
    </row>
    <row r="224" spans="1:14">
      <c r="A224" s="152">
        <v>183</v>
      </c>
      <c r="B224" s="152" t="s">
        <v>1195</v>
      </c>
      <c r="C224" s="152" t="s">
        <v>23</v>
      </c>
      <c r="D224" s="159">
        <v>1</v>
      </c>
      <c r="E224" s="159">
        <v>0</v>
      </c>
      <c r="F224" s="159">
        <v>3</v>
      </c>
      <c r="G224" s="159">
        <v>0</v>
      </c>
      <c r="H224" s="152">
        <v>0</v>
      </c>
      <c r="I224" s="152">
        <v>0</v>
      </c>
      <c r="J224" s="152">
        <v>0.01</v>
      </c>
      <c r="K224" s="152">
        <v>0</v>
      </c>
      <c r="L224" s="152">
        <v>0</v>
      </c>
      <c r="M224" s="152">
        <v>0</v>
      </c>
      <c r="N224" s="59"/>
    </row>
    <row r="225" spans="1:14">
      <c r="A225" s="152">
        <v>184</v>
      </c>
      <c r="B225" s="152" t="s">
        <v>1096</v>
      </c>
      <c r="C225" s="152" t="s">
        <v>23</v>
      </c>
      <c r="D225" s="159">
        <v>1</v>
      </c>
      <c r="E225" s="159">
        <v>0</v>
      </c>
      <c r="F225" s="159">
        <v>3</v>
      </c>
      <c r="G225" s="159">
        <v>0</v>
      </c>
      <c r="H225" s="152">
        <v>0</v>
      </c>
      <c r="I225" s="152">
        <v>0</v>
      </c>
      <c r="J225" s="152">
        <v>0.01</v>
      </c>
      <c r="K225" s="152">
        <v>0</v>
      </c>
      <c r="L225" s="152">
        <v>0</v>
      </c>
      <c r="M225" s="152">
        <v>0</v>
      </c>
      <c r="N225" s="59"/>
    </row>
    <row r="226" spans="1:14">
      <c r="A226" s="152">
        <v>185</v>
      </c>
      <c r="B226" s="152" t="s">
        <v>240</v>
      </c>
      <c r="C226" s="152" t="s">
        <v>24</v>
      </c>
      <c r="D226" s="159">
        <v>0</v>
      </c>
      <c r="E226" s="159">
        <v>108</v>
      </c>
      <c r="F226" s="159">
        <v>2</v>
      </c>
      <c r="G226" s="159">
        <v>1279</v>
      </c>
      <c r="H226" s="152">
        <v>-100</v>
      </c>
      <c r="I226" s="152">
        <v>-99.84</v>
      </c>
      <c r="J226" s="152">
        <v>0</v>
      </c>
      <c r="K226" s="152">
        <v>0</v>
      </c>
      <c r="L226" s="152">
        <v>0.86</v>
      </c>
      <c r="M226" s="152">
        <v>2.12</v>
      </c>
      <c r="N226" s="59"/>
    </row>
    <row r="227" spans="1:14">
      <c r="A227" s="152">
        <v>186</v>
      </c>
      <c r="B227" s="152" t="s">
        <v>576</v>
      </c>
      <c r="C227" s="152" t="s">
        <v>23</v>
      </c>
      <c r="D227" s="159">
        <v>0</v>
      </c>
      <c r="E227" s="159">
        <v>0</v>
      </c>
      <c r="F227" s="159">
        <v>2</v>
      </c>
      <c r="G227" s="159">
        <v>2</v>
      </c>
      <c r="H227" s="152">
        <v>0</v>
      </c>
      <c r="I227" s="152">
        <v>0</v>
      </c>
      <c r="J227" s="152">
        <v>0</v>
      </c>
      <c r="K227" s="152">
        <v>0</v>
      </c>
      <c r="L227" s="152">
        <v>0</v>
      </c>
      <c r="M227" s="152">
        <v>0</v>
      </c>
      <c r="N227" s="59"/>
    </row>
    <row r="228" spans="1:14">
      <c r="A228" s="152">
        <v>187</v>
      </c>
      <c r="B228" s="152" t="s">
        <v>1133</v>
      </c>
      <c r="C228" s="152" t="s">
        <v>23</v>
      </c>
      <c r="D228" s="159">
        <v>0</v>
      </c>
      <c r="E228" s="159">
        <v>1</v>
      </c>
      <c r="F228" s="159">
        <v>2</v>
      </c>
      <c r="G228" s="159">
        <v>2</v>
      </c>
      <c r="H228" s="152">
        <v>-100</v>
      </c>
      <c r="I228" s="152">
        <v>0</v>
      </c>
      <c r="J228" s="152">
        <v>0</v>
      </c>
      <c r="K228" s="152">
        <v>0</v>
      </c>
      <c r="L228" s="152">
        <v>0.01</v>
      </c>
      <c r="M228" s="152">
        <v>0</v>
      </c>
      <c r="N228" s="59"/>
    </row>
    <row r="229" spans="1:14">
      <c r="A229" s="152">
        <v>188</v>
      </c>
      <c r="B229" s="152" t="s">
        <v>511</v>
      </c>
      <c r="C229" s="152" t="s">
        <v>1021</v>
      </c>
      <c r="D229" s="159">
        <v>0</v>
      </c>
      <c r="E229" s="159">
        <v>0</v>
      </c>
      <c r="F229" s="159">
        <v>2</v>
      </c>
      <c r="G229" s="159">
        <v>2</v>
      </c>
      <c r="H229" s="152">
        <v>0</v>
      </c>
      <c r="I229" s="152">
        <v>0</v>
      </c>
      <c r="J229" s="152">
        <v>0</v>
      </c>
      <c r="K229" s="152">
        <v>0</v>
      </c>
      <c r="L229" s="152">
        <v>0</v>
      </c>
      <c r="M229" s="152">
        <v>0</v>
      </c>
      <c r="N229" s="59"/>
    </row>
    <row r="230" spans="1:14">
      <c r="A230" s="152">
        <v>189</v>
      </c>
      <c r="B230" s="152" t="s">
        <v>1137</v>
      </c>
      <c r="C230" s="152" t="s">
        <v>23</v>
      </c>
      <c r="D230" s="159">
        <v>1</v>
      </c>
      <c r="E230" s="159">
        <v>1</v>
      </c>
      <c r="F230" s="159">
        <v>2</v>
      </c>
      <c r="G230" s="159">
        <v>2</v>
      </c>
      <c r="H230" s="152">
        <v>0</v>
      </c>
      <c r="I230" s="152">
        <v>0</v>
      </c>
      <c r="J230" s="152">
        <v>0.01</v>
      </c>
      <c r="K230" s="152">
        <v>0</v>
      </c>
      <c r="L230" s="152">
        <v>0.01</v>
      </c>
      <c r="M230" s="152">
        <v>0</v>
      </c>
      <c r="N230" s="59"/>
    </row>
    <row r="231" spans="1:14">
      <c r="A231" s="152">
        <v>190</v>
      </c>
      <c r="B231" s="152" t="s">
        <v>697</v>
      </c>
      <c r="C231" s="152" t="s">
        <v>23</v>
      </c>
      <c r="D231" s="159">
        <v>0</v>
      </c>
      <c r="E231" s="159">
        <v>1</v>
      </c>
      <c r="F231" s="159">
        <v>2</v>
      </c>
      <c r="G231" s="159">
        <v>2</v>
      </c>
      <c r="H231" s="152">
        <v>-100</v>
      </c>
      <c r="I231" s="152">
        <v>0</v>
      </c>
      <c r="J231" s="152">
        <v>0</v>
      </c>
      <c r="K231" s="152">
        <v>0</v>
      </c>
      <c r="L231" s="152">
        <v>0.01</v>
      </c>
      <c r="M231" s="152">
        <v>0</v>
      </c>
      <c r="N231" s="59"/>
    </row>
    <row r="232" spans="1:14">
      <c r="A232" s="152">
        <v>191</v>
      </c>
      <c r="B232" s="152" t="s">
        <v>1196</v>
      </c>
      <c r="C232" s="152" t="s">
        <v>24</v>
      </c>
      <c r="D232" s="159">
        <v>1</v>
      </c>
      <c r="E232" s="159">
        <v>0</v>
      </c>
      <c r="F232" s="159">
        <v>2</v>
      </c>
      <c r="G232" s="159">
        <v>1</v>
      </c>
      <c r="H232" s="152">
        <v>0</v>
      </c>
      <c r="I232" s="152">
        <v>100</v>
      </c>
      <c r="J232" s="152">
        <v>0.01</v>
      </c>
      <c r="K232" s="152">
        <v>0</v>
      </c>
      <c r="L232" s="152">
        <v>0</v>
      </c>
      <c r="M232" s="152">
        <v>0</v>
      </c>
      <c r="N232" s="59"/>
    </row>
    <row r="233" spans="1:14">
      <c r="A233" s="152">
        <v>192</v>
      </c>
      <c r="B233" s="152" t="s">
        <v>1197</v>
      </c>
      <c r="C233" s="152" t="s">
        <v>23</v>
      </c>
      <c r="D233" s="159">
        <v>1</v>
      </c>
      <c r="E233" s="159">
        <v>0</v>
      </c>
      <c r="F233" s="159">
        <v>2</v>
      </c>
      <c r="G233" s="159">
        <v>0</v>
      </c>
      <c r="H233" s="152">
        <v>0</v>
      </c>
      <c r="I233" s="152">
        <v>0</v>
      </c>
      <c r="J233" s="152">
        <v>0.01</v>
      </c>
      <c r="K233" s="152">
        <v>0</v>
      </c>
      <c r="L233" s="152">
        <v>0</v>
      </c>
      <c r="M233" s="152">
        <v>0</v>
      </c>
      <c r="N233" s="59"/>
    </row>
    <row r="234" spans="1:14">
      <c r="A234" s="152">
        <v>193</v>
      </c>
      <c r="B234" s="152" t="s">
        <v>1186</v>
      </c>
      <c r="C234" s="152" t="s">
        <v>24</v>
      </c>
      <c r="D234" s="159">
        <v>0</v>
      </c>
      <c r="E234" s="159">
        <v>0</v>
      </c>
      <c r="F234" s="159">
        <v>2</v>
      </c>
      <c r="G234" s="159">
        <v>0</v>
      </c>
      <c r="H234" s="152">
        <v>0</v>
      </c>
      <c r="I234" s="152">
        <v>0</v>
      </c>
      <c r="J234" s="152">
        <v>0</v>
      </c>
      <c r="K234" s="152">
        <v>0</v>
      </c>
      <c r="L234" s="152">
        <v>0</v>
      </c>
      <c r="M234" s="152">
        <v>0</v>
      </c>
      <c r="N234" s="59"/>
    </row>
    <row r="235" spans="1:14">
      <c r="A235" s="152">
        <v>194</v>
      </c>
      <c r="B235" s="152" t="s">
        <v>441</v>
      </c>
      <c r="C235" s="152" t="s">
        <v>23</v>
      </c>
      <c r="D235" s="159">
        <v>0</v>
      </c>
      <c r="E235" s="159">
        <v>30</v>
      </c>
      <c r="F235" s="159">
        <v>1</v>
      </c>
      <c r="G235" s="159">
        <v>112</v>
      </c>
      <c r="H235" s="152">
        <v>-100</v>
      </c>
      <c r="I235" s="152">
        <v>-99.11</v>
      </c>
      <c r="J235" s="152">
        <v>0</v>
      </c>
      <c r="K235" s="152">
        <v>0</v>
      </c>
      <c r="L235" s="152">
        <v>0.24</v>
      </c>
      <c r="M235" s="152">
        <v>0.19</v>
      </c>
      <c r="N235" s="59"/>
    </row>
    <row r="236" spans="1:14">
      <c r="A236" s="152">
        <v>195</v>
      </c>
      <c r="B236" s="152" t="s">
        <v>1135</v>
      </c>
      <c r="C236" s="152" t="s">
        <v>23</v>
      </c>
      <c r="D236" s="159">
        <v>0</v>
      </c>
      <c r="E236" s="159">
        <v>0</v>
      </c>
      <c r="F236" s="159">
        <v>1</v>
      </c>
      <c r="G236" s="159">
        <v>32</v>
      </c>
      <c r="H236" s="152">
        <v>0</v>
      </c>
      <c r="I236" s="152">
        <v>-96.88</v>
      </c>
      <c r="J236" s="152">
        <v>0</v>
      </c>
      <c r="K236" s="152">
        <v>0</v>
      </c>
      <c r="L236" s="152">
        <v>0</v>
      </c>
      <c r="M236" s="152">
        <v>0.05</v>
      </c>
      <c r="N236" s="59"/>
    </row>
    <row r="237" spans="1:14">
      <c r="A237" s="152">
        <v>196</v>
      </c>
      <c r="B237" s="152" t="s">
        <v>519</v>
      </c>
      <c r="C237" s="152" t="s">
        <v>23</v>
      </c>
      <c r="D237" s="159">
        <v>0</v>
      </c>
      <c r="E237" s="159">
        <v>2</v>
      </c>
      <c r="F237" s="159">
        <v>1</v>
      </c>
      <c r="G237" s="159">
        <v>28</v>
      </c>
      <c r="H237" s="152">
        <v>-100</v>
      </c>
      <c r="I237" s="152">
        <v>-96.43</v>
      </c>
      <c r="J237" s="152">
        <v>0</v>
      </c>
      <c r="K237" s="152">
        <v>0</v>
      </c>
      <c r="L237" s="152">
        <v>0.02</v>
      </c>
      <c r="M237" s="152">
        <v>0.05</v>
      </c>
      <c r="N237" s="59"/>
    </row>
    <row r="238" spans="1:14">
      <c r="A238" s="152">
        <v>197</v>
      </c>
      <c r="B238" s="152" t="s">
        <v>1132</v>
      </c>
      <c r="C238" s="152" t="s">
        <v>23</v>
      </c>
      <c r="D238" s="159">
        <v>0</v>
      </c>
      <c r="E238" s="159">
        <v>7</v>
      </c>
      <c r="F238" s="159">
        <v>1</v>
      </c>
      <c r="G238" s="159">
        <v>8</v>
      </c>
      <c r="H238" s="152">
        <v>-100</v>
      </c>
      <c r="I238" s="152">
        <v>-87.5</v>
      </c>
      <c r="J238" s="152">
        <v>0</v>
      </c>
      <c r="K238" s="152">
        <v>0</v>
      </c>
      <c r="L238" s="152">
        <v>0.06</v>
      </c>
      <c r="M238" s="152">
        <v>0.01</v>
      </c>
      <c r="N238" s="59"/>
    </row>
    <row r="239" spans="1:14">
      <c r="A239" s="152">
        <v>198</v>
      </c>
      <c r="B239" s="152" t="s">
        <v>180</v>
      </c>
      <c r="C239" s="152" t="s">
        <v>23</v>
      </c>
      <c r="D239" s="159">
        <v>0</v>
      </c>
      <c r="E239" s="159">
        <v>0</v>
      </c>
      <c r="F239" s="159">
        <v>1</v>
      </c>
      <c r="G239" s="159">
        <v>2</v>
      </c>
      <c r="H239" s="152">
        <v>0</v>
      </c>
      <c r="I239" s="152">
        <v>-50</v>
      </c>
      <c r="J239" s="152">
        <v>0</v>
      </c>
      <c r="K239" s="152">
        <v>0</v>
      </c>
      <c r="L239" s="152">
        <v>0</v>
      </c>
      <c r="M239" s="152">
        <v>0</v>
      </c>
      <c r="N239" s="59"/>
    </row>
    <row r="240" spans="1:14">
      <c r="A240" s="152">
        <v>199</v>
      </c>
      <c r="B240" s="152" t="s">
        <v>1171</v>
      </c>
      <c r="C240" s="152" t="s">
        <v>23</v>
      </c>
      <c r="D240" s="159">
        <v>0</v>
      </c>
      <c r="E240" s="159">
        <v>0</v>
      </c>
      <c r="F240" s="159">
        <v>1</v>
      </c>
      <c r="G240" s="159">
        <v>0</v>
      </c>
      <c r="H240" s="152">
        <v>0</v>
      </c>
      <c r="I240" s="152">
        <v>0</v>
      </c>
      <c r="J240" s="152">
        <v>0</v>
      </c>
      <c r="K240" s="152">
        <v>0</v>
      </c>
      <c r="L240" s="152">
        <v>0</v>
      </c>
      <c r="M240" s="152">
        <v>0</v>
      </c>
      <c r="N240" s="59"/>
    </row>
    <row r="241" spans="1:14">
      <c r="A241" s="152">
        <v>200</v>
      </c>
      <c r="B241" s="152" t="s">
        <v>1238</v>
      </c>
      <c r="C241" s="152" t="s">
        <v>23</v>
      </c>
      <c r="D241" s="159">
        <v>1</v>
      </c>
      <c r="E241" s="159">
        <v>0</v>
      </c>
      <c r="F241" s="159">
        <v>1</v>
      </c>
      <c r="G241" s="159">
        <v>0</v>
      </c>
      <c r="H241" s="152">
        <v>0</v>
      </c>
      <c r="I241" s="152">
        <v>0</v>
      </c>
      <c r="J241" s="152">
        <v>0.01</v>
      </c>
      <c r="K241" s="152">
        <v>0</v>
      </c>
      <c r="L241" s="152">
        <v>0</v>
      </c>
      <c r="M241" s="152">
        <v>0</v>
      </c>
      <c r="N241" s="59"/>
    </row>
    <row r="242" spans="1:14">
      <c r="A242" s="152">
        <v>201</v>
      </c>
      <c r="B242" s="152" t="s">
        <v>584</v>
      </c>
      <c r="C242" s="152" t="s">
        <v>24</v>
      </c>
      <c r="D242" s="159">
        <v>0</v>
      </c>
      <c r="E242" s="159">
        <v>11</v>
      </c>
      <c r="F242" s="159">
        <v>0</v>
      </c>
      <c r="G242" s="159">
        <v>33</v>
      </c>
      <c r="H242" s="152">
        <v>-100</v>
      </c>
      <c r="I242" s="152">
        <v>-100</v>
      </c>
      <c r="J242" s="152">
        <v>0</v>
      </c>
      <c r="K242" s="152">
        <v>0</v>
      </c>
      <c r="L242" s="152">
        <v>0.09</v>
      </c>
      <c r="M242" s="152">
        <v>0.05</v>
      </c>
      <c r="N242" s="59"/>
    </row>
    <row r="243" spans="1:14">
      <c r="A243" s="152">
        <v>202</v>
      </c>
      <c r="B243" s="152" t="s">
        <v>243</v>
      </c>
      <c r="C243" s="152" t="s">
        <v>23</v>
      </c>
      <c r="D243" s="159">
        <v>0</v>
      </c>
      <c r="E243" s="159">
        <v>6</v>
      </c>
      <c r="F243" s="159">
        <v>0</v>
      </c>
      <c r="G243" s="159">
        <v>24</v>
      </c>
      <c r="H243" s="152">
        <v>-100</v>
      </c>
      <c r="I243" s="152">
        <v>-100</v>
      </c>
      <c r="J243" s="152">
        <v>0</v>
      </c>
      <c r="K243" s="152">
        <v>0</v>
      </c>
      <c r="L243" s="152">
        <v>0.05</v>
      </c>
      <c r="M243" s="152">
        <v>0.04</v>
      </c>
      <c r="N243" s="59"/>
    </row>
    <row r="244" spans="1:14">
      <c r="A244" s="152">
        <v>203</v>
      </c>
      <c r="B244" s="152" t="s">
        <v>371</v>
      </c>
      <c r="C244" s="152" t="s">
        <v>23</v>
      </c>
      <c r="D244" s="159">
        <v>0</v>
      </c>
      <c r="E244" s="159">
        <v>1</v>
      </c>
      <c r="F244" s="159">
        <v>0</v>
      </c>
      <c r="G244" s="159">
        <v>18</v>
      </c>
      <c r="H244" s="152">
        <v>-100</v>
      </c>
      <c r="I244" s="152">
        <v>-100</v>
      </c>
      <c r="J244" s="152">
        <v>0</v>
      </c>
      <c r="K244" s="152">
        <v>0</v>
      </c>
      <c r="L244" s="152">
        <v>0.01</v>
      </c>
      <c r="M244" s="152">
        <v>0.03</v>
      </c>
      <c r="N244" s="59"/>
    </row>
    <row r="245" spans="1:14">
      <c r="A245" s="152">
        <v>204</v>
      </c>
      <c r="B245" s="152" t="s">
        <v>247</v>
      </c>
      <c r="C245" s="152" t="s">
        <v>23</v>
      </c>
      <c r="D245" s="159">
        <v>0</v>
      </c>
      <c r="E245" s="159">
        <v>0</v>
      </c>
      <c r="F245" s="159">
        <v>0</v>
      </c>
      <c r="G245" s="159">
        <v>11</v>
      </c>
      <c r="H245" s="152">
        <v>0</v>
      </c>
      <c r="I245" s="152">
        <v>-100</v>
      </c>
      <c r="J245" s="152">
        <v>0</v>
      </c>
      <c r="K245" s="152">
        <v>0</v>
      </c>
      <c r="L245" s="152">
        <v>0</v>
      </c>
      <c r="M245" s="152">
        <v>0.02</v>
      </c>
      <c r="N245" s="59"/>
    </row>
    <row r="246" spans="1:14">
      <c r="A246" s="152">
        <v>205</v>
      </c>
      <c r="B246" s="152" t="s">
        <v>366</v>
      </c>
      <c r="C246" s="152" t="s">
        <v>23</v>
      </c>
      <c r="D246" s="159">
        <v>0</v>
      </c>
      <c r="E246" s="159">
        <v>1</v>
      </c>
      <c r="F246" s="159">
        <v>0</v>
      </c>
      <c r="G246" s="159">
        <v>11</v>
      </c>
      <c r="H246" s="152">
        <v>-100</v>
      </c>
      <c r="I246" s="152">
        <v>-100</v>
      </c>
      <c r="J246" s="152">
        <v>0</v>
      </c>
      <c r="K246" s="152">
        <v>0</v>
      </c>
      <c r="L246" s="152">
        <v>0.01</v>
      </c>
      <c r="M246" s="152">
        <v>0.02</v>
      </c>
      <c r="N246" s="59"/>
    </row>
    <row r="247" spans="1:14">
      <c r="A247" s="152">
        <v>206</v>
      </c>
      <c r="B247" s="152" t="s">
        <v>402</v>
      </c>
      <c r="C247" s="152" t="s">
        <v>23</v>
      </c>
      <c r="D247" s="159">
        <v>0</v>
      </c>
      <c r="E247" s="159">
        <v>1</v>
      </c>
      <c r="F247" s="159">
        <v>0</v>
      </c>
      <c r="G247" s="159">
        <v>9</v>
      </c>
      <c r="H247" s="152">
        <v>-100</v>
      </c>
      <c r="I247" s="152">
        <v>-100</v>
      </c>
      <c r="J247" s="152">
        <v>0</v>
      </c>
      <c r="K247" s="152">
        <v>0</v>
      </c>
      <c r="L247" s="152">
        <v>0.01</v>
      </c>
      <c r="M247" s="152">
        <v>0.01</v>
      </c>
      <c r="N247" s="59"/>
    </row>
    <row r="248" spans="1:14">
      <c r="A248" s="152">
        <v>207</v>
      </c>
      <c r="B248" s="152" t="s">
        <v>423</v>
      </c>
      <c r="C248" s="152" t="s">
        <v>1097</v>
      </c>
      <c r="D248" s="159">
        <v>0</v>
      </c>
      <c r="E248" s="159">
        <v>0</v>
      </c>
      <c r="F248" s="159">
        <v>0</v>
      </c>
      <c r="G248" s="159">
        <v>5</v>
      </c>
      <c r="H248" s="152">
        <v>0</v>
      </c>
      <c r="I248" s="152">
        <v>-100</v>
      </c>
      <c r="J248" s="152">
        <v>0</v>
      </c>
      <c r="K248" s="152">
        <v>0</v>
      </c>
      <c r="L248" s="152">
        <v>0</v>
      </c>
      <c r="M248" s="152">
        <v>0.01</v>
      </c>
      <c r="N248" s="59"/>
    </row>
    <row r="249" spans="1:14">
      <c r="A249" s="152">
        <v>208</v>
      </c>
      <c r="B249" s="152" t="s">
        <v>1188</v>
      </c>
      <c r="C249" s="152" t="s">
        <v>24</v>
      </c>
      <c r="D249" s="159">
        <v>0</v>
      </c>
      <c r="E249" s="159">
        <v>0</v>
      </c>
      <c r="F249" s="159">
        <v>0</v>
      </c>
      <c r="G249" s="159">
        <v>5</v>
      </c>
      <c r="H249" s="152">
        <v>0</v>
      </c>
      <c r="I249" s="152">
        <v>-100</v>
      </c>
      <c r="J249" s="152">
        <v>0</v>
      </c>
      <c r="K249" s="152">
        <v>0</v>
      </c>
      <c r="L249" s="152">
        <v>0</v>
      </c>
      <c r="M249" s="152">
        <v>0.01</v>
      </c>
      <c r="N249" s="59"/>
    </row>
    <row r="250" spans="1:14">
      <c r="A250" s="152">
        <v>209</v>
      </c>
      <c r="B250" s="152" t="s">
        <v>454</v>
      </c>
      <c r="C250" s="152" t="s">
        <v>23</v>
      </c>
      <c r="D250" s="159">
        <v>0</v>
      </c>
      <c r="E250" s="159">
        <v>1</v>
      </c>
      <c r="F250" s="159">
        <v>0</v>
      </c>
      <c r="G250" s="159">
        <v>3</v>
      </c>
      <c r="H250" s="152">
        <v>-100</v>
      </c>
      <c r="I250" s="152">
        <v>-100</v>
      </c>
      <c r="J250" s="152">
        <v>0</v>
      </c>
      <c r="K250" s="152">
        <v>0</v>
      </c>
      <c r="L250" s="152">
        <v>0.01</v>
      </c>
      <c r="M250" s="152">
        <v>0</v>
      </c>
      <c r="N250" s="59"/>
    </row>
    <row r="251" spans="1:14">
      <c r="A251" s="152">
        <v>210</v>
      </c>
      <c r="B251" s="152" t="s">
        <v>1198</v>
      </c>
      <c r="C251" s="152" t="s">
        <v>23</v>
      </c>
      <c r="D251" s="159">
        <v>0</v>
      </c>
      <c r="E251" s="159">
        <v>2</v>
      </c>
      <c r="F251" s="159">
        <v>0</v>
      </c>
      <c r="G251" s="159">
        <v>3</v>
      </c>
      <c r="H251" s="152">
        <v>-100</v>
      </c>
      <c r="I251" s="152">
        <v>-100</v>
      </c>
      <c r="J251" s="152">
        <v>0</v>
      </c>
      <c r="K251" s="152">
        <v>0</v>
      </c>
      <c r="L251" s="152">
        <v>0.02</v>
      </c>
      <c r="M251" s="152">
        <v>0</v>
      </c>
      <c r="N251" s="59"/>
    </row>
    <row r="252" spans="1:14">
      <c r="A252" s="152">
        <v>211</v>
      </c>
      <c r="B252" s="152" t="s">
        <v>1172</v>
      </c>
      <c r="C252" s="152" t="s">
        <v>23</v>
      </c>
      <c r="D252" s="159">
        <v>0</v>
      </c>
      <c r="E252" s="159">
        <v>2</v>
      </c>
      <c r="F252" s="159">
        <v>0</v>
      </c>
      <c r="G252" s="159">
        <v>3</v>
      </c>
      <c r="H252" s="152">
        <v>-100</v>
      </c>
      <c r="I252" s="152">
        <v>-100</v>
      </c>
      <c r="J252" s="152">
        <v>0</v>
      </c>
      <c r="K252" s="152">
        <v>0</v>
      </c>
      <c r="L252" s="152">
        <v>0.02</v>
      </c>
      <c r="M252" s="152">
        <v>0</v>
      </c>
      <c r="N252" s="59"/>
    </row>
    <row r="253" spans="1:14">
      <c r="A253" s="152">
        <v>212</v>
      </c>
      <c r="B253" s="152" t="s">
        <v>214</v>
      </c>
      <c r="C253" s="152" t="s">
        <v>23</v>
      </c>
      <c r="D253" s="159">
        <v>0</v>
      </c>
      <c r="E253" s="159">
        <v>0</v>
      </c>
      <c r="F253" s="159">
        <v>0</v>
      </c>
      <c r="G253" s="159">
        <v>2</v>
      </c>
      <c r="H253" s="152">
        <v>0</v>
      </c>
      <c r="I253" s="152">
        <v>-100</v>
      </c>
      <c r="J253" s="152">
        <v>0</v>
      </c>
      <c r="K253" s="152">
        <v>0</v>
      </c>
      <c r="L253" s="152">
        <v>0</v>
      </c>
      <c r="M253" s="152">
        <v>0</v>
      </c>
      <c r="N253" s="59"/>
    </row>
    <row r="254" spans="1:14">
      <c r="A254" s="152">
        <v>213</v>
      </c>
      <c r="B254" s="152" t="s">
        <v>1189</v>
      </c>
      <c r="C254" s="152" t="s">
        <v>24</v>
      </c>
      <c r="D254" s="159">
        <v>0</v>
      </c>
      <c r="E254" s="159">
        <v>0</v>
      </c>
      <c r="F254" s="159">
        <v>0</v>
      </c>
      <c r="G254" s="159">
        <v>2</v>
      </c>
      <c r="H254" s="152">
        <v>0</v>
      </c>
      <c r="I254" s="152">
        <v>-100</v>
      </c>
      <c r="J254" s="152">
        <v>0</v>
      </c>
      <c r="K254" s="152">
        <v>0</v>
      </c>
      <c r="L254" s="152">
        <v>0</v>
      </c>
      <c r="M254" s="152">
        <v>0</v>
      </c>
      <c r="N254" s="59"/>
    </row>
    <row r="255" spans="1:14">
      <c r="A255" s="152">
        <v>214</v>
      </c>
      <c r="B255" s="152" t="s">
        <v>1136</v>
      </c>
      <c r="C255" s="152" t="s">
        <v>23</v>
      </c>
      <c r="D255" s="159">
        <v>0</v>
      </c>
      <c r="E255" s="159">
        <v>0</v>
      </c>
      <c r="F255" s="159">
        <v>0</v>
      </c>
      <c r="G255" s="159">
        <v>1</v>
      </c>
      <c r="H255" s="152">
        <v>0</v>
      </c>
      <c r="I255" s="152">
        <v>-100</v>
      </c>
      <c r="J255" s="152">
        <v>0</v>
      </c>
      <c r="K255" s="152">
        <v>0</v>
      </c>
      <c r="L255" s="152">
        <v>0</v>
      </c>
      <c r="M255" s="152">
        <v>0</v>
      </c>
      <c r="N255" s="59"/>
    </row>
    <row r="256" spans="1:14">
      <c r="A256" s="152">
        <v>215</v>
      </c>
      <c r="B256" s="152" t="s">
        <v>457</v>
      </c>
      <c r="C256" s="152" t="s">
        <v>24</v>
      </c>
      <c r="D256" s="159">
        <v>16</v>
      </c>
      <c r="E256" s="159">
        <v>12</v>
      </c>
      <c r="F256" s="159">
        <v>55</v>
      </c>
      <c r="G256" s="159">
        <v>49</v>
      </c>
      <c r="H256" s="152">
        <v>33.33</v>
      </c>
      <c r="I256" s="152">
        <v>12.24</v>
      </c>
      <c r="J256" s="152">
        <v>0.09</v>
      </c>
      <c r="K256" s="152">
        <v>0.08</v>
      </c>
      <c r="L256" s="152">
        <v>0.1</v>
      </c>
      <c r="M256" s="152">
        <v>0.08</v>
      </c>
      <c r="N256" s="59"/>
    </row>
    <row r="257" spans="1:14">
      <c r="A257" s="152"/>
      <c r="B257" s="152" t="s">
        <v>475</v>
      </c>
      <c r="C257" s="152"/>
      <c r="D257" s="159">
        <f>SUBTOTAL(109,getAggRechargeModels[antalPerioden])</f>
        <v>17632</v>
      </c>
      <c r="E257" s="159">
        <f>SUBTOTAL(109,getAggRechargeModels[antalFGPeriod])</f>
        <v>12521</v>
      </c>
      <c r="F257" s="159">
        <f>SUBTOTAL(109,getAggRechargeModels[antalÅret])</f>
        <v>64825</v>
      </c>
      <c r="G257" s="159">
        <f>SUBTOTAL(109,getAggRechargeModels[antalFGAr])</f>
        <v>60471</v>
      </c>
      <c r="H257" s="154">
        <f>IF(getAggRechargeModels[[#Totals],[antalFGPeriod]] &gt;0,(getAggRechargeModels[[#Totals],[antalPerioden]] - getAggRechargeModels[[#Totals],[antalFGPeriod]] ) / getAggRechargeModels[[#Totals],[antalFGPeriod]] *100,0)</f>
        <v>40.819423368740516</v>
      </c>
      <c r="I257" s="154">
        <f>IF(getAggRechargeModels[[#Totals],[antalFGAr]] &gt; 0,( getAggRechargeModels[[#Totals],[antalÅret]] - getAggRechargeModels[[#Totals],[antalFGAr]] ) / getAggRechargeModels[[#Totals],[antalFGAr]] * 100,0)</f>
        <v>7.2001455243009049</v>
      </c>
      <c r="J257" s="160">
        <f>IF(getAggModelsPB[[#Totals],[antalPerioden]] &gt; 0,getAggRechargeModels[[#Totals],[antalPerioden]]  / getAggModelsPB[[#Totals],[antalPerioden]] * 100,0)</f>
        <v>61.888381888381893</v>
      </c>
      <c r="K257" s="160">
        <f>IF(getAggModelsPB[[#Totals],[antalÅret]] &gt; 0,getAggRechargeModels[[#Totals],[antalÅret]]  / getAggModelsPB[[#Totals],[antalÅret]] * 100,0)</f>
        <v>57.683751557216588</v>
      </c>
      <c r="L257" s="160">
        <f>IF(getAggModelsPB[[#Totals],[antalFGPeriod]] &gt; 0,getAggRechargeModels[[#Totals],[antalFGPeriod]]  / getAggModelsPB[[#Totals],[antalFGPeriod]] * 100,0)</f>
        <v>47.404687085904669</v>
      </c>
      <c r="M257" s="160">
        <f>IF(getAggModelsPB[[#Totals],[antalFGAr]] &gt; 0,getAggRechargeModels[[#Totals],[antalFGAr]]  / getAggModelsPB[[#Totals],[antalFGAr]] * 100,0)</f>
        <v>51.205819093264694</v>
      </c>
      <c r="N257" s="59"/>
    </row>
    <row r="258" spans="1:14">
      <c r="A258" s="59"/>
      <c r="B258" s="59"/>
      <c r="C258" s="59"/>
      <c r="D258" s="59"/>
      <c r="E258" s="59"/>
      <c r="F258" s="59"/>
      <c r="G258" s="59"/>
      <c r="H258" s="59"/>
      <c r="I258" s="59"/>
      <c r="J258" s="59"/>
      <c r="K258" s="59"/>
      <c r="L258" s="59"/>
      <c r="M258" s="59"/>
      <c r="N258" s="59"/>
    </row>
    <row r="259" spans="1:14">
      <c r="A259" s="59"/>
      <c r="B259" s="59"/>
      <c r="C259" s="59"/>
      <c r="D259" s="59"/>
      <c r="E259" s="59"/>
      <c r="F259" s="59"/>
      <c r="G259" s="59"/>
      <c r="H259" s="59"/>
      <c r="I259" s="59"/>
      <c r="J259" s="59"/>
      <c r="K259" s="59"/>
      <c r="L259" s="59"/>
      <c r="M259" s="59"/>
      <c r="N259" s="59"/>
    </row>
    <row r="260" spans="1:14">
      <c r="A260" s="59"/>
      <c r="B260" s="59"/>
      <c r="C260" s="59"/>
      <c r="D260" s="59"/>
      <c r="E260" s="59"/>
      <c r="F260" s="59"/>
      <c r="G260" s="59"/>
      <c r="H260" s="59"/>
      <c r="I260" s="59"/>
      <c r="J260" s="59"/>
      <c r="K260" s="59"/>
      <c r="L260" s="59"/>
      <c r="M260" s="59"/>
      <c r="N260" s="59"/>
    </row>
    <row r="261" spans="1:14">
      <c r="A261" s="59" t="s">
        <v>705</v>
      </c>
      <c r="B261" s="59"/>
      <c r="C261" s="59"/>
      <c r="D261" s="59"/>
      <c r="E261" s="59"/>
      <c r="F261" s="59"/>
      <c r="G261" s="59"/>
      <c r="H261" s="59"/>
      <c r="I261" s="59"/>
      <c r="J261" s="59"/>
      <c r="K261" s="59"/>
      <c r="L261" s="59"/>
      <c r="M261" s="59"/>
      <c r="N261" s="59"/>
    </row>
    <row r="262" spans="1:14">
      <c r="A262" s="59"/>
      <c r="B262" s="59"/>
      <c r="C262" s="59"/>
      <c r="D262" s="59"/>
      <c r="E262" s="59"/>
      <c r="F262" s="59"/>
      <c r="G262" s="59"/>
      <c r="H262" s="59"/>
      <c r="I262" s="59"/>
      <c r="J262" s="59"/>
      <c r="K262" s="59"/>
      <c r="L262" s="59"/>
      <c r="M262" s="59"/>
      <c r="N262" s="59"/>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59"/>
  <sheetViews>
    <sheetView workbookViewId="0">
      <selection activeCell="D34" sqref="D34"/>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72" t="s">
        <v>640</v>
      </c>
      <c r="P2" s="72"/>
      <c r="Q2" s="72"/>
      <c r="R2" s="72"/>
      <c r="S2" s="72"/>
      <c r="T2" s="10"/>
      <c r="U2" s="10"/>
    </row>
    <row r="3" spans="15:21">
      <c r="O3" s="27" t="s">
        <v>641</v>
      </c>
      <c r="P3" s="27"/>
      <c r="Q3" s="27"/>
      <c r="R3" s="27"/>
      <c r="S3" s="27"/>
      <c r="T3" s="27"/>
    </row>
    <row r="4" spans="15:21">
      <c r="O4" s="7"/>
      <c r="P4" s="7"/>
      <c r="Q4" s="17"/>
      <c r="R4" s="17"/>
      <c r="S4" s="17"/>
      <c r="T4" s="17"/>
    </row>
    <row r="5" spans="15:21" ht="16" thickBot="1">
      <c r="O5" s="20" t="s">
        <v>476</v>
      </c>
      <c r="P5" s="20">
        <v>2021</v>
      </c>
      <c r="Q5" s="20">
        <v>2022</v>
      </c>
      <c r="R5" s="20">
        <v>2023</v>
      </c>
      <c r="S5" s="27"/>
      <c r="T5" s="27"/>
    </row>
    <row r="6" spans="15:21">
      <c r="O6" s="17" t="s">
        <v>2</v>
      </c>
      <c r="P6" s="34">
        <v>1106</v>
      </c>
      <c r="Q6" s="34">
        <v>5159</v>
      </c>
      <c r="R6" s="34">
        <v>4203</v>
      </c>
      <c r="S6" s="27"/>
      <c r="T6" s="27"/>
    </row>
    <row r="7" spans="15:21">
      <c r="O7" s="17" t="s">
        <v>3</v>
      </c>
      <c r="P7" s="35">
        <v>1394</v>
      </c>
      <c r="Q7" s="35">
        <v>5413</v>
      </c>
      <c r="R7" s="35">
        <v>6124</v>
      </c>
      <c r="S7" s="27"/>
      <c r="T7" s="27"/>
    </row>
    <row r="8" spans="15:21">
      <c r="O8" s="17" t="s">
        <v>4</v>
      </c>
      <c r="P8" s="38">
        <v>2609</v>
      </c>
      <c r="Q8" s="38">
        <v>9142</v>
      </c>
      <c r="R8" s="38">
        <v>12577</v>
      </c>
      <c r="S8" s="27"/>
      <c r="T8" s="27"/>
    </row>
    <row r="9" spans="15:21">
      <c r="O9" s="17" t="s">
        <v>5</v>
      </c>
      <c r="P9" s="35">
        <v>4869</v>
      </c>
      <c r="Q9" s="35">
        <v>5421</v>
      </c>
      <c r="R9" s="35">
        <v>6928</v>
      </c>
      <c r="S9" s="27"/>
      <c r="T9" s="27"/>
    </row>
    <row r="10" spans="15:21">
      <c r="O10" s="17" t="s">
        <v>6</v>
      </c>
      <c r="P10" s="38">
        <v>3953</v>
      </c>
      <c r="Q10" s="38">
        <v>6383</v>
      </c>
      <c r="R10" s="38">
        <v>11657</v>
      </c>
      <c r="S10" s="27"/>
      <c r="T10" s="27"/>
    </row>
    <row r="11" spans="15:21">
      <c r="O11" s="17" t="s">
        <v>7</v>
      </c>
      <c r="P11" s="35">
        <v>8687</v>
      </c>
      <c r="Q11" s="35">
        <v>8237</v>
      </c>
      <c r="R11" s="35"/>
      <c r="S11" s="27"/>
      <c r="T11" s="27"/>
    </row>
    <row r="12" spans="15:21">
      <c r="O12" s="17" t="s">
        <v>8</v>
      </c>
      <c r="P12" s="38">
        <v>2535</v>
      </c>
      <c r="Q12" s="38">
        <v>4677</v>
      </c>
      <c r="R12" s="38"/>
      <c r="S12" s="27"/>
      <c r="T12" s="27"/>
    </row>
    <row r="13" spans="15:21">
      <c r="O13" s="17" t="s">
        <v>9</v>
      </c>
      <c r="P13" s="38">
        <v>4781</v>
      </c>
      <c r="Q13" s="38">
        <v>5813</v>
      </c>
      <c r="R13" s="38"/>
      <c r="S13" s="27"/>
      <c r="T13" s="27"/>
    </row>
    <row r="14" spans="15:21">
      <c r="O14" s="17" t="s">
        <v>10</v>
      </c>
      <c r="P14" s="38">
        <v>7454</v>
      </c>
      <c r="Q14" s="38">
        <v>7777</v>
      </c>
      <c r="R14" s="38"/>
      <c r="S14" s="27"/>
      <c r="T14" s="27"/>
    </row>
    <row r="15" spans="15:21">
      <c r="O15" s="17" t="s">
        <v>11</v>
      </c>
      <c r="P15" s="38">
        <v>4573</v>
      </c>
      <c r="Q15" s="38">
        <v>7940</v>
      </c>
      <c r="R15" s="38"/>
      <c r="S15" s="27"/>
      <c r="T15" s="27"/>
    </row>
    <row r="16" spans="15:21">
      <c r="O16" s="17" t="s">
        <v>12</v>
      </c>
      <c r="P16" s="38">
        <v>5468</v>
      </c>
      <c r="Q16" s="38">
        <v>10868</v>
      </c>
      <c r="R16" s="38"/>
      <c r="S16" s="27"/>
      <c r="T16" s="27"/>
    </row>
    <row r="17" spans="15:20">
      <c r="O17" s="28" t="s">
        <v>13</v>
      </c>
      <c r="P17" s="148">
        <v>10041</v>
      </c>
      <c r="Q17" s="148">
        <v>18205</v>
      </c>
      <c r="R17" s="148"/>
      <c r="S17" s="27"/>
      <c r="T17" s="27"/>
    </row>
    <row r="18" spans="15:20">
      <c r="O18" s="7" t="s">
        <v>559</v>
      </c>
      <c r="P18" s="36">
        <f>SUMIF(R6:R17,"&gt;0",P6:P17)</f>
        <v>13931</v>
      </c>
      <c r="Q18" s="36">
        <f>SUMIF(R6:R17,"&gt;0",Q6:Q17)</f>
        <v>31518</v>
      </c>
      <c r="R18" s="36">
        <f>SUM(R6:R17)</f>
        <v>41489</v>
      </c>
      <c r="S18" s="27"/>
      <c r="T18" s="27"/>
    </row>
    <row r="19" spans="15:20">
      <c r="O19" s="7" t="s">
        <v>558</v>
      </c>
      <c r="P19" s="33">
        <f>SUM(P6:P17)</f>
        <v>57470</v>
      </c>
      <c r="Q19" s="33">
        <f>SUM(Q6:Q17)</f>
        <v>95035</v>
      </c>
      <c r="R19" s="27"/>
      <c r="S19" s="27"/>
      <c r="T19" s="27"/>
    </row>
    <row r="34" spans="1:14" ht="21" thickBot="1">
      <c r="A34" s="72" t="s">
        <v>688</v>
      </c>
      <c r="B34" s="72"/>
      <c r="C34" s="10"/>
      <c r="D34" s="291" t="s">
        <v>1299</v>
      </c>
    </row>
    <row r="35" spans="1:14" ht="20">
      <c r="A35" s="10"/>
    </row>
    <row r="36" spans="1:14">
      <c r="A36" s="8" t="s">
        <v>472</v>
      </c>
      <c r="B36" s="59"/>
      <c r="C36" s="59"/>
      <c r="D36" s="59"/>
      <c r="E36" s="59"/>
      <c r="F36" s="59"/>
      <c r="G36" s="59"/>
      <c r="H36" s="275" t="s">
        <v>473</v>
      </c>
      <c r="I36" s="275"/>
      <c r="J36" s="275"/>
      <c r="K36" s="275"/>
      <c r="L36" s="275"/>
      <c r="M36" s="275"/>
      <c r="N36" s="59"/>
    </row>
    <row r="37" spans="1:14">
      <c r="A37" s="117"/>
      <c r="B37" s="128"/>
      <c r="C37" s="128"/>
      <c r="D37" s="276" t="s">
        <v>560</v>
      </c>
      <c r="E37" s="277"/>
      <c r="F37" s="278" t="s">
        <v>560</v>
      </c>
      <c r="G37" s="279"/>
      <c r="H37" s="278" t="s">
        <v>561</v>
      </c>
      <c r="I37" s="279"/>
      <c r="J37" s="278" t="s">
        <v>562</v>
      </c>
      <c r="K37" s="279"/>
      <c r="L37" s="278" t="s">
        <v>562</v>
      </c>
      <c r="M37" s="279"/>
      <c r="N37" s="59"/>
    </row>
    <row r="38" spans="1:14">
      <c r="A38" s="117"/>
      <c r="B38" s="129" t="s">
        <v>474</v>
      </c>
      <c r="C38" s="130" t="s">
        <v>564</v>
      </c>
      <c r="D38" s="131" t="str">
        <f>Innehåll!D79</f>
        <v xml:space="preserve"> 2023-05</v>
      </c>
      <c r="E38" s="131" t="str">
        <f>Innehåll!D80</f>
        <v xml:space="preserve"> 2022-05</v>
      </c>
      <c r="F38" s="131" t="str">
        <f>Innehåll!D81</f>
        <v>YTD  2023</v>
      </c>
      <c r="G38" s="131" t="str">
        <f>Innehåll!D82</f>
        <v>YTD  2022</v>
      </c>
      <c r="H38" s="131" t="str">
        <f>D38</f>
        <v xml:space="preserve"> 2023-05</v>
      </c>
      <c r="I38" s="132" t="str">
        <f>F38</f>
        <v>YTD  2023</v>
      </c>
      <c r="J38" s="131" t="str">
        <f>D38</f>
        <v xml:space="preserve"> 2023-05</v>
      </c>
      <c r="K38" s="133" t="str">
        <f>F38</f>
        <v>YTD  2023</v>
      </c>
      <c r="L38" s="134" t="str">
        <f>E38</f>
        <v xml:space="preserve"> 2022-05</v>
      </c>
      <c r="M38" s="134" t="str">
        <f>G38</f>
        <v>YTD  2022</v>
      </c>
      <c r="N38" s="59"/>
    </row>
    <row r="39" spans="1:14" ht="15" hidden="1" customHeight="1">
      <c r="A39" s="59" t="s">
        <v>33</v>
      </c>
      <c r="B39" s="59" t="s">
        <v>235</v>
      </c>
      <c r="C39" s="59" t="s">
        <v>236</v>
      </c>
      <c r="D39" s="59" t="s">
        <v>35</v>
      </c>
      <c r="E39" s="59" t="s">
        <v>36</v>
      </c>
      <c r="F39" s="59" t="s">
        <v>37</v>
      </c>
      <c r="G39" s="59" t="s">
        <v>38</v>
      </c>
      <c r="H39" s="59" t="s">
        <v>39</v>
      </c>
      <c r="I39" s="59" t="s">
        <v>40</v>
      </c>
      <c r="J39" s="59" t="s">
        <v>41</v>
      </c>
      <c r="K39" s="59" t="s">
        <v>42</v>
      </c>
      <c r="L39" s="59" t="s">
        <v>43</v>
      </c>
      <c r="M39" s="59" t="s">
        <v>44</v>
      </c>
      <c r="N39" s="59"/>
    </row>
    <row r="40" spans="1:14">
      <c r="A40" s="59">
        <v>1</v>
      </c>
      <c r="B40" s="59" t="s">
        <v>627</v>
      </c>
      <c r="C40" s="59" t="s">
        <v>24</v>
      </c>
      <c r="D40" s="24">
        <v>1903</v>
      </c>
      <c r="E40" s="24">
        <v>312</v>
      </c>
      <c r="F40" s="24">
        <v>6165</v>
      </c>
      <c r="G40" s="24">
        <v>2271</v>
      </c>
      <c r="H40" s="59">
        <v>509.94</v>
      </c>
      <c r="I40" s="59">
        <v>171.47</v>
      </c>
      <c r="J40" s="59">
        <v>10.79</v>
      </c>
      <c r="K40" s="59">
        <v>9.51</v>
      </c>
      <c r="L40" s="59">
        <v>2.4900000000000002</v>
      </c>
      <c r="M40" s="59">
        <v>3.76</v>
      </c>
      <c r="N40" s="59"/>
    </row>
    <row r="41" spans="1:14">
      <c r="A41" s="59">
        <v>2</v>
      </c>
      <c r="B41" s="59" t="s">
        <v>443</v>
      </c>
      <c r="C41" s="59" t="s">
        <v>24</v>
      </c>
      <c r="D41" s="24">
        <v>1041</v>
      </c>
      <c r="E41" s="24">
        <v>318</v>
      </c>
      <c r="F41" s="24">
        <v>4483</v>
      </c>
      <c r="G41" s="24">
        <v>2131</v>
      </c>
      <c r="H41" s="59">
        <v>227.36</v>
      </c>
      <c r="I41" s="59">
        <v>110.37</v>
      </c>
      <c r="J41" s="59">
        <v>5.9</v>
      </c>
      <c r="K41" s="59">
        <v>6.92</v>
      </c>
      <c r="L41" s="59">
        <v>2.54</v>
      </c>
      <c r="M41" s="59">
        <v>3.52</v>
      </c>
      <c r="N41" s="59"/>
    </row>
    <row r="42" spans="1:14" hidden="1">
      <c r="A42" s="59">
        <v>3</v>
      </c>
      <c r="B42" s="59" t="s">
        <v>413</v>
      </c>
      <c r="C42" s="59" t="s">
        <v>23</v>
      </c>
      <c r="D42" s="24">
        <v>944</v>
      </c>
      <c r="E42" s="24">
        <v>365</v>
      </c>
      <c r="F42" s="24">
        <v>3521</v>
      </c>
      <c r="G42" s="24">
        <v>2942</v>
      </c>
      <c r="H42" s="59">
        <v>158.63</v>
      </c>
      <c r="I42" s="59">
        <v>19.68</v>
      </c>
      <c r="J42" s="59">
        <v>5.35</v>
      </c>
      <c r="K42" s="59">
        <v>5.43</v>
      </c>
      <c r="L42" s="59">
        <v>2.92</v>
      </c>
      <c r="M42" s="59">
        <v>4.87</v>
      </c>
      <c r="N42" s="59"/>
    </row>
    <row r="43" spans="1:14">
      <c r="A43" s="59">
        <v>4</v>
      </c>
      <c r="B43" s="59" t="s">
        <v>503</v>
      </c>
      <c r="C43" s="59" t="s">
        <v>24</v>
      </c>
      <c r="D43" s="24">
        <v>837</v>
      </c>
      <c r="E43" s="24">
        <v>658</v>
      </c>
      <c r="F43" s="24">
        <v>3390</v>
      </c>
      <c r="G43" s="24">
        <v>3100</v>
      </c>
      <c r="H43" s="59">
        <v>27.2</v>
      </c>
      <c r="I43" s="59">
        <v>9.35</v>
      </c>
      <c r="J43" s="59">
        <v>4.75</v>
      </c>
      <c r="K43" s="59">
        <v>5.23</v>
      </c>
      <c r="L43" s="59">
        <v>5.26</v>
      </c>
      <c r="M43" s="59">
        <v>5.13</v>
      </c>
      <c r="N43" s="59"/>
    </row>
    <row r="44" spans="1:14">
      <c r="A44" s="59">
        <v>5</v>
      </c>
      <c r="B44" s="59" t="s">
        <v>655</v>
      </c>
      <c r="C44" s="59" t="s">
        <v>24</v>
      </c>
      <c r="D44" s="24">
        <v>387</v>
      </c>
      <c r="E44" s="24">
        <v>296</v>
      </c>
      <c r="F44" s="24">
        <v>1997</v>
      </c>
      <c r="G44" s="24">
        <v>1489</v>
      </c>
      <c r="H44" s="59">
        <v>30.74</v>
      </c>
      <c r="I44" s="59">
        <v>34.119999999999997</v>
      </c>
      <c r="J44" s="59">
        <v>2.19</v>
      </c>
      <c r="K44" s="59">
        <v>3.08</v>
      </c>
      <c r="L44" s="59">
        <v>2.36</v>
      </c>
      <c r="M44" s="59">
        <v>2.46</v>
      </c>
      <c r="N44" s="59"/>
    </row>
    <row r="45" spans="1:14">
      <c r="A45" s="59">
        <v>6</v>
      </c>
      <c r="B45" s="59" t="s">
        <v>663</v>
      </c>
      <c r="C45" s="59" t="s">
        <v>24</v>
      </c>
      <c r="D45" s="24">
        <v>556</v>
      </c>
      <c r="E45" s="24">
        <v>50</v>
      </c>
      <c r="F45" s="24">
        <v>1658</v>
      </c>
      <c r="G45" s="24">
        <v>343</v>
      </c>
      <c r="H45" s="59">
        <v>1012</v>
      </c>
      <c r="I45" s="59">
        <v>383.38</v>
      </c>
      <c r="J45" s="59">
        <v>3.15</v>
      </c>
      <c r="K45" s="59">
        <v>2.56</v>
      </c>
      <c r="L45" s="59">
        <v>0.4</v>
      </c>
      <c r="M45" s="59">
        <v>0.56999999999999995</v>
      </c>
      <c r="N45" s="59"/>
    </row>
    <row r="46" spans="1:14" hidden="1">
      <c r="A46" s="59">
        <v>7</v>
      </c>
      <c r="B46" s="59" t="s">
        <v>715</v>
      </c>
      <c r="C46" s="59" t="s">
        <v>23</v>
      </c>
      <c r="D46" s="24">
        <v>336</v>
      </c>
      <c r="E46" s="24">
        <v>337</v>
      </c>
      <c r="F46" s="24">
        <v>1560</v>
      </c>
      <c r="G46" s="24">
        <v>767</v>
      </c>
      <c r="H46" s="59">
        <v>-0.3</v>
      </c>
      <c r="I46" s="59">
        <v>103.39</v>
      </c>
      <c r="J46" s="59">
        <v>1.91</v>
      </c>
      <c r="K46" s="59">
        <v>2.41</v>
      </c>
      <c r="L46" s="59">
        <v>2.69</v>
      </c>
      <c r="M46" s="59">
        <v>1.27</v>
      </c>
      <c r="N46" s="59"/>
    </row>
    <row r="47" spans="1:14">
      <c r="A47" s="59">
        <v>8</v>
      </c>
      <c r="B47" s="59" t="s">
        <v>592</v>
      </c>
      <c r="C47" s="59" t="s">
        <v>24</v>
      </c>
      <c r="D47" s="24">
        <v>438</v>
      </c>
      <c r="E47" s="24">
        <v>391</v>
      </c>
      <c r="F47" s="24">
        <v>1520</v>
      </c>
      <c r="G47" s="24">
        <v>1190</v>
      </c>
      <c r="H47" s="59">
        <v>12.02</v>
      </c>
      <c r="I47" s="59">
        <v>27.73</v>
      </c>
      <c r="J47" s="59">
        <v>2.48</v>
      </c>
      <c r="K47" s="59">
        <v>2.34</v>
      </c>
      <c r="L47" s="59">
        <v>3.12</v>
      </c>
      <c r="M47" s="59">
        <v>1.97</v>
      </c>
      <c r="N47" s="59"/>
    </row>
    <row r="48" spans="1:14">
      <c r="A48" s="59">
        <v>9</v>
      </c>
      <c r="B48" s="59" t="s">
        <v>239</v>
      </c>
      <c r="C48" s="59" t="s">
        <v>24</v>
      </c>
      <c r="D48" s="24">
        <v>349</v>
      </c>
      <c r="E48" s="24">
        <v>564</v>
      </c>
      <c r="F48" s="24">
        <v>1517</v>
      </c>
      <c r="G48" s="24">
        <v>3714</v>
      </c>
      <c r="H48" s="59">
        <v>-38.119999999999997</v>
      </c>
      <c r="I48" s="59">
        <v>-59.15</v>
      </c>
      <c r="J48" s="59">
        <v>1.98</v>
      </c>
      <c r="K48" s="59">
        <v>2.34</v>
      </c>
      <c r="L48" s="59">
        <v>4.5</v>
      </c>
      <c r="M48" s="59">
        <v>6.14</v>
      </c>
      <c r="N48" s="59"/>
    </row>
    <row r="49" spans="1:14" hidden="1">
      <c r="A49" s="59">
        <v>10</v>
      </c>
      <c r="B49" s="59" t="s">
        <v>391</v>
      </c>
      <c r="C49" s="59" t="s">
        <v>23</v>
      </c>
      <c r="D49" s="24">
        <v>298</v>
      </c>
      <c r="E49" s="24">
        <v>721</v>
      </c>
      <c r="F49" s="24">
        <v>1421</v>
      </c>
      <c r="G49" s="24">
        <v>2472</v>
      </c>
      <c r="H49" s="59">
        <v>-58.67</v>
      </c>
      <c r="I49" s="59">
        <v>-42.52</v>
      </c>
      <c r="J49" s="59">
        <v>1.69</v>
      </c>
      <c r="K49" s="59">
        <v>2.19</v>
      </c>
      <c r="L49" s="59">
        <v>5.76</v>
      </c>
      <c r="M49" s="59">
        <v>4.09</v>
      </c>
      <c r="N49" s="59"/>
    </row>
    <row r="50" spans="1:14">
      <c r="A50" s="59">
        <v>11</v>
      </c>
      <c r="B50" s="59" t="s">
        <v>424</v>
      </c>
      <c r="C50" s="59" t="s">
        <v>24</v>
      </c>
      <c r="D50" s="24">
        <v>695</v>
      </c>
      <c r="E50" s="24">
        <v>315</v>
      </c>
      <c r="F50" s="24">
        <v>1339</v>
      </c>
      <c r="G50" s="24">
        <v>1999</v>
      </c>
      <c r="H50" s="59">
        <v>120.63</v>
      </c>
      <c r="I50" s="59">
        <v>-33.020000000000003</v>
      </c>
      <c r="J50" s="59">
        <v>3.94</v>
      </c>
      <c r="K50" s="59">
        <v>2.0699999999999998</v>
      </c>
      <c r="L50" s="59">
        <v>2.52</v>
      </c>
      <c r="M50" s="59">
        <v>3.31</v>
      </c>
      <c r="N50" s="59"/>
    </row>
    <row r="51" spans="1:14">
      <c r="A51" s="59">
        <v>12</v>
      </c>
      <c r="B51" s="59" t="s">
        <v>64</v>
      </c>
      <c r="C51" s="59" t="s">
        <v>24</v>
      </c>
      <c r="D51" s="24">
        <v>188</v>
      </c>
      <c r="E51" s="24">
        <v>0</v>
      </c>
      <c r="F51" s="24">
        <v>1254</v>
      </c>
      <c r="G51" s="24">
        <v>1183</v>
      </c>
      <c r="H51" s="59">
        <v>0</v>
      </c>
      <c r="I51" s="59">
        <v>6</v>
      </c>
      <c r="J51" s="59">
        <v>1.07</v>
      </c>
      <c r="K51" s="59">
        <v>1.93</v>
      </c>
      <c r="L51" s="59">
        <v>0</v>
      </c>
      <c r="M51" s="59">
        <v>1.96</v>
      </c>
      <c r="N51" s="59"/>
    </row>
    <row r="52" spans="1:14">
      <c r="A52" s="59">
        <v>13</v>
      </c>
      <c r="B52" s="59" t="s">
        <v>437</v>
      </c>
      <c r="C52" s="59" t="s">
        <v>24</v>
      </c>
      <c r="D52" s="24">
        <v>337</v>
      </c>
      <c r="E52" s="24">
        <v>135</v>
      </c>
      <c r="F52" s="24">
        <v>1229</v>
      </c>
      <c r="G52" s="24">
        <v>621</v>
      </c>
      <c r="H52" s="59">
        <v>149.63</v>
      </c>
      <c r="I52" s="59">
        <v>97.91</v>
      </c>
      <c r="J52" s="59">
        <v>1.91</v>
      </c>
      <c r="K52" s="59">
        <v>1.9</v>
      </c>
      <c r="L52" s="59">
        <v>1.08</v>
      </c>
      <c r="M52" s="59">
        <v>1.03</v>
      </c>
      <c r="N52" s="59"/>
    </row>
    <row r="53" spans="1:14">
      <c r="A53" s="59">
        <v>14</v>
      </c>
      <c r="B53" s="59" t="s">
        <v>720</v>
      </c>
      <c r="C53" s="59" t="s">
        <v>24</v>
      </c>
      <c r="D53" s="24">
        <v>277</v>
      </c>
      <c r="E53" s="24">
        <v>61</v>
      </c>
      <c r="F53" s="24">
        <v>1155</v>
      </c>
      <c r="G53" s="24">
        <v>163</v>
      </c>
      <c r="H53" s="59">
        <v>354.1</v>
      </c>
      <c r="I53" s="59">
        <v>608.59</v>
      </c>
      <c r="J53" s="59">
        <v>1.57</v>
      </c>
      <c r="K53" s="59">
        <v>1.78</v>
      </c>
      <c r="L53" s="59">
        <v>0.49</v>
      </c>
      <c r="M53" s="59">
        <v>0.27</v>
      </c>
      <c r="N53" s="59"/>
    </row>
    <row r="54" spans="1:14">
      <c r="A54" s="59">
        <v>15</v>
      </c>
      <c r="B54" s="59" t="s">
        <v>619</v>
      </c>
      <c r="C54" s="59" t="s">
        <v>24</v>
      </c>
      <c r="D54" s="24">
        <v>387</v>
      </c>
      <c r="E54" s="24">
        <v>212</v>
      </c>
      <c r="F54" s="24">
        <v>1141</v>
      </c>
      <c r="G54" s="24">
        <v>990</v>
      </c>
      <c r="H54" s="59">
        <v>82.55</v>
      </c>
      <c r="I54" s="59">
        <v>15.25</v>
      </c>
      <c r="J54" s="59">
        <v>2.19</v>
      </c>
      <c r="K54" s="59">
        <v>1.76</v>
      </c>
      <c r="L54" s="59">
        <v>1.69</v>
      </c>
      <c r="M54" s="59">
        <v>1.64</v>
      </c>
      <c r="N54" s="59"/>
    </row>
    <row r="55" spans="1:14" hidden="1">
      <c r="A55" s="59">
        <v>16</v>
      </c>
      <c r="B55" s="59" t="s">
        <v>395</v>
      </c>
      <c r="C55" s="59" t="s">
        <v>23</v>
      </c>
      <c r="D55" s="24">
        <v>396</v>
      </c>
      <c r="E55" s="24">
        <v>717</v>
      </c>
      <c r="F55" s="24">
        <v>1019</v>
      </c>
      <c r="G55" s="24">
        <v>1775</v>
      </c>
      <c r="H55" s="59">
        <v>-44.77</v>
      </c>
      <c r="I55" s="59">
        <v>-42.59</v>
      </c>
      <c r="J55" s="59">
        <v>2.25</v>
      </c>
      <c r="K55" s="59">
        <v>1.57</v>
      </c>
      <c r="L55" s="59">
        <v>5.73</v>
      </c>
      <c r="M55" s="59">
        <v>2.94</v>
      </c>
      <c r="N55" s="59"/>
    </row>
    <row r="56" spans="1:14" hidden="1">
      <c r="A56" s="59">
        <v>17</v>
      </c>
      <c r="B56" s="59" t="s">
        <v>414</v>
      </c>
      <c r="C56" s="59" t="s">
        <v>23</v>
      </c>
      <c r="D56" s="24">
        <v>283</v>
      </c>
      <c r="E56" s="24">
        <v>129</v>
      </c>
      <c r="F56" s="24">
        <v>928</v>
      </c>
      <c r="G56" s="24">
        <v>1008</v>
      </c>
      <c r="H56" s="59">
        <v>119.38</v>
      </c>
      <c r="I56" s="59">
        <v>-7.94</v>
      </c>
      <c r="J56" s="59">
        <v>1.61</v>
      </c>
      <c r="K56" s="59">
        <v>1.43</v>
      </c>
      <c r="L56" s="59">
        <v>1.03</v>
      </c>
      <c r="M56" s="59">
        <v>1.67</v>
      </c>
      <c r="N56" s="59"/>
    </row>
    <row r="57" spans="1:14" hidden="1">
      <c r="A57" s="59">
        <v>18</v>
      </c>
      <c r="B57" s="59" t="s">
        <v>241</v>
      </c>
      <c r="C57" s="59" t="s">
        <v>23</v>
      </c>
      <c r="D57" s="24">
        <v>300</v>
      </c>
      <c r="E57" s="24">
        <v>56</v>
      </c>
      <c r="F57" s="24">
        <v>857</v>
      </c>
      <c r="G57" s="24">
        <v>537</v>
      </c>
      <c r="H57" s="59">
        <v>435.71</v>
      </c>
      <c r="I57" s="59">
        <v>59.59</v>
      </c>
      <c r="J57" s="59">
        <v>1.7</v>
      </c>
      <c r="K57" s="59">
        <v>1.32</v>
      </c>
      <c r="L57" s="59">
        <v>0.45</v>
      </c>
      <c r="M57" s="59">
        <v>0.89</v>
      </c>
      <c r="N57" s="59"/>
    </row>
    <row r="58" spans="1:14" hidden="1">
      <c r="A58" s="59">
        <v>19</v>
      </c>
      <c r="B58" s="59" t="s">
        <v>429</v>
      </c>
      <c r="C58" s="59" t="s">
        <v>23</v>
      </c>
      <c r="D58" s="24">
        <v>105</v>
      </c>
      <c r="E58" s="24">
        <v>605</v>
      </c>
      <c r="F58" s="24">
        <v>834</v>
      </c>
      <c r="G58" s="24">
        <v>2063</v>
      </c>
      <c r="H58" s="59">
        <v>-82.64</v>
      </c>
      <c r="I58" s="59">
        <v>-59.57</v>
      </c>
      <c r="J58" s="59">
        <v>0.6</v>
      </c>
      <c r="K58" s="59">
        <v>1.29</v>
      </c>
      <c r="L58" s="59">
        <v>4.83</v>
      </c>
      <c r="M58" s="59">
        <v>3.41</v>
      </c>
      <c r="N58" s="59"/>
    </row>
    <row r="59" spans="1:14" hidden="1">
      <c r="A59" s="59">
        <v>20</v>
      </c>
      <c r="B59" s="59" t="s">
        <v>597</v>
      </c>
      <c r="C59" s="59" t="s">
        <v>23</v>
      </c>
      <c r="D59" s="24">
        <v>206</v>
      </c>
      <c r="E59" s="24">
        <v>294</v>
      </c>
      <c r="F59" s="24">
        <v>786</v>
      </c>
      <c r="G59" s="24">
        <v>848</v>
      </c>
      <c r="H59" s="59">
        <v>-29.93</v>
      </c>
      <c r="I59" s="59">
        <v>-7.31</v>
      </c>
      <c r="J59" s="59">
        <v>1.17</v>
      </c>
      <c r="K59" s="59">
        <v>1.21</v>
      </c>
      <c r="L59" s="59">
        <v>2.35</v>
      </c>
      <c r="M59" s="59">
        <v>1.4</v>
      </c>
      <c r="N59" s="59"/>
    </row>
    <row r="60" spans="1:14">
      <c r="A60" s="59">
        <v>21</v>
      </c>
      <c r="B60" s="59" t="s">
        <v>664</v>
      </c>
      <c r="C60" s="59" t="s">
        <v>24</v>
      </c>
      <c r="D60" s="24">
        <v>406</v>
      </c>
      <c r="E60" s="24">
        <v>278</v>
      </c>
      <c r="F60" s="24">
        <v>747</v>
      </c>
      <c r="G60" s="24">
        <v>463</v>
      </c>
      <c r="H60" s="59">
        <v>46.04</v>
      </c>
      <c r="I60" s="59">
        <v>61.34</v>
      </c>
      <c r="J60" s="59">
        <v>2.2999999999999998</v>
      </c>
      <c r="K60" s="59">
        <v>1.1499999999999999</v>
      </c>
      <c r="L60" s="59">
        <v>2.2200000000000002</v>
      </c>
      <c r="M60" s="59">
        <v>0.77</v>
      </c>
      <c r="N60" s="59"/>
    </row>
    <row r="61" spans="1:14" hidden="1">
      <c r="A61" s="59">
        <v>22</v>
      </c>
      <c r="B61" s="59" t="s">
        <v>1011</v>
      </c>
      <c r="C61" s="59" t="s">
        <v>23</v>
      </c>
      <c r="D61" s="24">
        <v>41</v>
      </c>
      <c r="E61" s="24">
        <v>0</v>
      </c>
      <c r="F61" s="24">
        <v>706</v>
      </c>
      <c r="G61" s="24">
        <v>0</v>
      </c>
      <c r="H61" s="59">
        <v>0</v>
      </c>
      <c r="I61" s="59">
        <v>0</v>
      </c>
      <c r="J61" s="59">
        <v>0.23</v>
      </c>
      <c r="K61" s="59">
        <v>1.0900000000000001</v>
      </c>
      <c r="L61" s="59">
        <v>0</v>
      </c>
      <c r="M61" s="59">
        <v>0</v>
      </c>
      <c r="N61" s="59"/>
    </row>
    <row r="62" spans="1:14">
      <c r="A62" s="59">
        <v>23</v>
      </c>
      <c r="B62" s="59" t="s">
        <v>103</v>
      </c>
      <c r="C62" s="59" t="s">
        <v>24</v>
      </c>
      <c r="D62" s="24">
        <v>134</v>
      </c>
      <c r="E62" s="24">
        <v>231</v>
      </c>
      <c r="F62" s="24">
        <v>700</v>
      </c>
      <c r="G62" s="24">
        <v>1450</v>
      </c>
      <c r="H62" s="59">
        <v>-41.99</v>
      </c>
      <c r="I62" s="59">
        <v>-51.72</v>
      </c>
      <c r="J62" s="59">
        <v>0.76</v>
      </c>
      <c r="K62" s="59">
        <v>1.08</v>
      </c>
      <c r="L62" s="59">
        <v>1.84</v>
      </c>
      <c r="M62" s="59">
        <v>2.4</v>
      </c>
      <c r="N62" s="59"/>
    </row>
    <row r="63" spans="1:14">
      <c r="A63" s="59">
        <v>24</v>
      </c>
      <c r="B63" s="59" t="s">
        <v>1057</v>
      </c>
      <c r="C63" s="59" t="s">
        <v>24</v>
      </c>
      <c r="D63" s="24">
        <v>173</v>
      </c>
      <c r="E63" s="24">
        <v>0</v>
      </c>
      <c r="F63" s="24">
        <v>669</v>
      </c>
      <c r="G63" s="24">
        <v>0</v>
      </c>
      <c r="H63" s="59">
        <v>0</v>
      </c>
      <c r="I63" s="59">
        <v>0</v>
      </c>
      <c r="J63" s="59">
        <v>0.98</v>
      </c>
      <c r="K63" s="59">
        <v>1.03</v>
      </c>
      <c r="L63" s="59">
        <v>0</v>
      </c>
      <c r="M63" s="59">
        <v>0</v>
      </c>
      <c r="N63" s="59"/>
    </row>
    <row r="64" spans="1:14">
      <c r="A64" s="59">
        <v>25</v>
      </c>
      <c r="B64" s="59" t="s">
        <v>1038</v>
      </c>
      <c r="C64" s="59" t="s">
        <v>24</v>
      </c>
      <c r="D64" s="24">
        <v>276</v>
      </c>
      <c r="E64" s="24">
        <v>0</v>
      </c>
      <c r="F64" s="24">
        <v>663</v>
      </c>
      <c r="G64" s="24">
        <v>0</v>
      </c>
      <c r="H64" s="59">
        <v>0</v>
      </c>
      <c r="I64" s="59">
        <v>0</v>
      </c>
      <c r="J64" s="59">
        <v>1.57</v>
      </c>
      <c r="K64" s="59">
        <v>1.02</v>
      </c>
      <c r="L64" s="59">
        <v>0</v>
      </c>
      <c r="M64" s="59">
        <v>0</v>
      </c>
      <c r="N64" s="59"/>
    </row>
    <row r="65" spans="1:14">
      <c r="A65" s="59">
        <v>26</v>
      </c>
      <c r="B65" s="59" t="s">
        <v>717</v>
      </c>
      <c r="C65" s="59" t="s">
        <v>24</v>
      </c>
      <c r="D65" s="24">
        <v>64</v>
      </c>
      <c r="E65" s="24">
        <v>1</v>
      </c>
      <c r="F65" s="24">
        <v>651</v>
      </c>
      <c r="G65" s="24">
        <v>8</v>
      </c>
      <c r="H65" s="59">
        <v>6300</v>
      </c>
      <c r="I65" s="59">
        <v>8037.5</v>
      </c>
      <c r="J65" s="59">
        <v>0.36</v>
      </c>
      <c r="K65" s="59">
        <v>1</v>
      </c>
      <c r="L65" s="59">
        <v>0.01</v>
      </c>
      <c r="M65" s="59">
        <v>0.01</v>
      </c>
      <c r="N65" s="59"/>
    </row>
    <row r="66" spans="1:14" hidden="1">
      <c r="A66" s="59">
        <v>27</v>
      </c>
      <c r="B66" s="59" t="s">
        <v>420</v>
      </c>
      <c r="C66" s="59" t="s">
        <v>23</v>
      </c>
      <c r="D66" s="24">
        <v>89</v>
      </c>
      <c r="E66" s="24">
        <v>87</v>
      </c>
      <c r="F66" s="24">
        <v>623</v>
      </c>
      <c r="G66" s="24">
        <v>718</v>
      </c>
      <c r="H66" s="59">
        <v>2.2999999999999998</v>
      </c>
      <c r="I66" s="59">
        <v>-13.23</v>
      </c>
      <c r="J66" s="59">
        <v>0.5</v>
      </c>
      <c r="K66" s="59">
        <v>0.96</v>
      </c>
      <c r="L66" s="59">
        <v>0.69</v>
      </c>
      <c r="M66" s="59">
        <v>1.19</v>
      </c>
      <c r="N66" s="59"/>
    </row>
    <row r="67" spans="1:14" hidden="1">
      <c r="A67" s="59">
        <v>28</v>
      </c>
      <c r="B67" s="59" t="s">
        <v>415</v>
      </c>
      <c r="C67" s="59" t="s">
        <v>23</v>
      </c>
      <c r="D67" s="24">
        <v>311</v>
      </c>
      <c r="E67" s="24">
        <v>111</v>
      </c>
      <c r="F67" s="24">
        <v>618</v>
      </c>
      <c r="G67" s="24">
        <v>1055</v>
      </c>
      <c r="H67" s="59">
        <v>180.18</v>
      </c>
      <c r="I67" s="59">
        <v>-41.42</v>
      </c>
      <c r="J67" s="59">
        <v>1.76</v>
      </c>
      <c r="K67" s="59">
        <v>0.95</v>
      </c>
      <c r="L67" s="59">
        <v>0.89</v>
      </c>
      <c r="M67" s="59">
        <v>1.74</v>
      </c>
      <c r="N67" s="59"/>
    </row>
    <row r="68" spans="1:14">
      <c r="A68" s="59">
        <v>29</v>
      </c>
      <c r="B68" s="59" t="s">
        <v>716</v>
      </c>
      <c r="C68" s="59" t="s">
        <v>24</v>
      </c>
      <c r="D68" s="24">
        <v>152</v>
      </c>
      <c r="E68" s="24">
        <v>46</v>
      </c>
      <c r="F68" s="24">
        <v>614</v>
      </c>
      <c r="G68" s="24">
        <v>98</v>
      </c>
      <c r="H68" s="59">
        <v>230.43</v>
      </c>
      <c r="I68" s="59">
        <v>526.53</v>
      </c>
      <c r="J68" s="59">
        <v>0.86</v>
      </c>
      <c r="K68" s="59">
        <v>0.95</v>
      </c>
      <c r="L68" s="59">
        <v>0.37</v>
      </c>
      <c r="M68" s="59">
        <v>0.16</v>
      </c>
      <c r="N68" s="59"/>
    </row>
    <row r="69" spans="1:14">
      <c r="A69" s="59">
        <v>30</v>
      </c>
      <c r="B69" s="59" t="s">
        <v>146</v>
      </c>
      <c r="C69" s="59" t="s">
        <v>24</v>
      </c>
      <c r="D69" s="24">
        <v>139</v>
      </c>
      <c r="E69" s="24">
        <v>253</v>
      </c>
      <c r="F69" s="24">
        <v>584</v>
      </c>
      <c r="G69" s="24">
        <v>725</v>
      </c>
      <c r="H69" s="59">
        <v>-45.06</v>
      </c>
      <c r="I69" s="59">
        <v>-19.45</v>
      </c>
      <c r="J69" s="59">
        <v>0.79</v>
      </c>
      <c r="K69" s="59">
        <v>0.9</v>
      </c>
      <c r="L69" s="59">
        <v>2.02</v>
      </c>
      <c r="M69" s="59">
        <v>1.2</v>
      </c>
      <c r="N69" s="59"/>
    </row>
    <row r="70" spans="1:14">
      <c r="A70" s="59">
        <v>31</v>
      </c>
      <c r="B70" s="59" t="s">
        <v>672</v>
      </c>
      <c r="C70" s="59" t="s">
        <v>24</v>
      </c>
      <c r="D70" s="24">
        <v>179</v>
      </c>
      <c r="E70" s="24">
        <v>109</v>
      </c>
      <c r="F70" s="24">
        <v>584</v>
      </c>
      <c r="G70" s="24">
        <v>187</v>
      </c>
      <c r="H70" s="59">
        <v>64.22</v>
      </c>
      <c r="I70" s="59">
        <v>212.3</v>
      </c>
      <c r="J70" s="59">
        <v>1.02</v>
      </c>
      <c r="K70" s="59">
        <v>0.9</v>
      </c>
      <c r="L70" s="59">
        <v>0.87</v>
      </c>
      <c r="M70" s="59">
        <v>0.31</v>
      </c>
      <c r="N70" s="59"/>
    </row>
    <row r="71" spans="1:14" hidden="1">
      <c r="A71" s="59">
        <v>32</v>
      </c>
      <c r="B71" s="59" t="s">
        <v>670</v>
      </c>
      <c r="C71" s="59" t="s">
        <v>23</v>
      </c>
      <c r="D71" s="24">
        <v>84</v>
      </c>
      <c r="E71" s="24">
        <v>108</v>
      </c>
      <c r="F71" s="24">
        <v>569</v>
      </c>
      <c r="G71" s="24">
        <v>349</v>
      </c>
      <c r="H71" s="59">
        <v>-22.22</v>
      </c>
      <c r="I71" s="59">
        <v>63.04</v>
      </c>
      <c r="J71" s="59">
        <v>0.48</v>
      </c>
      <c r="K71" s="59">
        <v>0.88</v>
      </c>
      <c r="L71" s="59">
        <v>0.86</v>
      </c>
      <c r="M71" s="59">
        <v>0.57999999999999996</v>
      </c>
      <c r="N71" s="59"/>
    </row>
    <row r="72" spans="1:14" hidden="1">
      <c r="A72" s="59">
        <v>33</v>
      </c>
      <c r="B72" s="59" t="s">
        <v>237</v>
      </c>
      <c r="C72" s="59" t="s">
        <v>23</v>
      </c>
      <c r="D72" s="24">
        <v>203</v>
      </c>
      <c r="E72" s="24">
        <v>100</v>
      </c>
      <c r="F72" s="24">
        <v>561</v>
      </c>
      <c r="G72" s="24">
        <v>878</v>
      </c>
      <c r="H72" s="59">
        <v>103</v>
      </c>
      <c r="I72" s="59">
        <v>-36.1</v>
      </c>
      <c r="J72" s="59">
        <v>1.1499999999999999</v>
      </c>
      <c r="K72" s="59">
        <v>0.87</v>
      </c>
      <c r="L72" s="59">
        <v>0.8</v>
      </c>
      <c r="M72" s="59">
        <v>1.45</v>
      </c>
      <c r="N72" s="59"/>
    </row>
    <row r="73" spans="1:14">
      <c r="A73" s="59">
        <v>34</v>
      </c>
      <c r="B73" s="59" t="s">
        <v>722</v>
      </c>
      <c r="C73" s="59" t="s">
        <v>24</v>
      </c>
      <c r="D73" s="24">
        <v>138</v>
      </c>
      <c r="E73" s="24">
        <v>53</v>
      </c>
      <c r="F73" s="24">
        <v>554</v>
      </c>
      <c r="G73" s="24">
        <v>73</v>
      </c>
      <c r="H73" s="59">
        <v>160.38</v>
      </c>
      <c r="I73" s="59">
        <v>658.9</v>
      </c>
      <c r="J73" s="59">
        <v>0.78</v>
      </c>
      <c r="K73" s="59">
        <v>0.85</v>
      </c>
      <c r="L73" s="59">
        <v>0.42</v>
      </c>
      <c r="M73" s="59">
        <v>0.12</v>
      </c>
      <c r="N73" s="59"/>
    </row>
    <row r="74" spans="1:14">
      <c r="A74" s="59">
        <v>35</v>
      </c>
      <c r="B74" s="59" t="s">
        <v>1163</v>
      </c>
      <c r="C74" s="59" t="s">
        <v>24</v>
      </c>
      <c r="D74" s="24">
        <v>306</v>
      </c>
      <c r="E74" s="24">
        <v>0</v>
      </c>
      <c r="F74" s="24">
        <v>540</v>
      </c>
      <c r="G74" s="24">
        <v>0</v>
      </c>
      <c r="H74" s="59">
        <v>0</v>
      </c>
      <c r="I74" s="59">
        <v>0</v>
      </c>
      <c r="J74" s="59">
        <v>1.74</v>
      </c>
      <c r="K74" s="59">
        <v>0.83</v>
      </c>
      <c r="L74" s="59">
        <v>0</v>
      </c>
      <c r="M74" s="59">
        <v>0</v>
      </c>
      <c r="N74" s="59"/>
    </row>
    <row r="75" spans="1:14" hidden="1">
      <c r="A75" s="59">
        <v>36</v>
      </c>
      <c r="B75" s="59" t="s">
        <v>432</v>
      </c>
      <c r="C75" s="59" t="s">
        <v>23</v>
      </c>
      <c r="D75" s="24">
        <v>50</v>
      </c>
      <c r="E75" s="24">
        <v>135</v>
      </c>
      <c r="F75" s="24">
        <v>539</v>
      </c>
      <c r="G75" s="24">
        <v>766</v>
      </c>
      <c r="H75" s="59">
        <v>-62.96</v>
      </c>
      <c r="I75" s="59">
        <v>-29.63</v>
      </c>
      <c r="J75" s="59">
        <v>0.28000000000000003</v>
      </c>
      <c r="K75" s="59">
        <v>0.83</v>
      </c>
      <c r="L75" s="59">
        <v>1.08</v>
      </c>
      <c r="M75" s="59">
        <v>1.27</v>
      </c>
      <c r="N75" s="59"/>
    </row>
    <row r="76" spans="1:14" hidden="1">
      <c r="A76" s="59">
        <v>37</v>
      </c>
      <c r="B76" s="59" t="s">
        <v>444</v>
      </c>
      <c r="C76" s="59" t="s">
        <v>23</v>
      </c>
      <c r="D76" s="24">
        <v>233</v>
      </c>
      <c r="E76" s="24">
        <v>158</v>
      </c>
      <c r="F76" s="24">
        <v>503</v>
      </c>
      <c r="G76" s="24">
        <v>1003</v>
      </c>
      <c r="H76" s="59">
        <v>47.47</v>
      </c>
      <c r="I76" s="59">
        <v>-49.85</v>
      </c>
      <c r="J76" s="59">
        <v>1.32</v>
      </c>
      <c r="K76" s="59">
        <v>0.78</v>
      </c>
      <c r="L76" s="59">
        <v>1.26</v>
      </c>
      <c r="M76" s="59">
        <v>1.66</v>
      </c>
      <c r="N76" s="59"/>
    </row>
    <row r="77" spans="1:14" hidden="1">
      <c r="A77" s="59">
        <v>38</v>
      </c>
      <c r="B77" s="59" t="s">
        <v>401</v>
      </c>
      <c r="C77" s="59" t="s">
        <v>23</v>
      </c>
      <c r="D77" s="24">
        <v>57</v>
      </c>
      <c r="E77" s="24">
        <v>273</v>
      </c>
      <c r="F77" s="24">
        <v>494</v>
      </c>
      <c r="G77" s="24">
        <v>1008</v>
      </c>
      <c r="H77" s="59">
        <v>-79.12</v>
      </c>
      <c r="I77" s="59">
        <v>-50.99</v>
      </c>
      <c r="J77" s="59">
        <v>0.32</v>
      </c>
      <c r="K77" s="59">
        <v>0.76</v>
      </c>
      <c r="L77" s="59">
        <v>2.1800000000000002</v>
      </c>
      <c r="M77" s="59">
        <v>1.67</v>
      </c>
      <c r="N77" s="59"/>
    </row>
    <row r="78" spans="1:14">
      <c r="A78" s="59">
        <v>39</v>
      </c>
      <c r="B78" s="59" t="s">
        <v>665</v>
      </c>
      <c r="C78" s="59" t="s">
        <v>24</v>
      </c>
      <c r="D78" s="24">
        <v>143</v>
      </c>
      <c r="E78" s="24">
        <v>0</v>
      </c>
      <c r="F78" s="24">
        <v>450</v>
      </c>
      <c r="G78" s="24">
        <v>0</v>
      </c>
      <c r="H78" s="59">
        <v>0</v>
      </c>
      <c r="I78" s="59">
        <v>0</v>
      </c>
      <c r="J78" s="59">
        <v>0.81</v>
      </c>
      <c r="K78" s="59">
        <v>0.69</v>
      </c>
      <c r="L78" s="59">
        <v>0</v>
      </c>
      <c r="M78" s="59">
        <v>0</v>
      </c>
      <c r="N78" s="59"/>
    </row>
    <row r="79" spans="1:14" hidden="1">
      <c r="A79" s="59">
        <v>40</v>
      </c>
      <c r="B79" s="59" t="s">
        <v>513</v>
      </c>
      <c r="C79" s="59" t="s">
        <v>23</v>
      </c>
      <c r="D79" s="24">
        <v>143</v>
      </c>
      <c r="E79" s="24">
        <v>56</v>
      </c>
      <c r="F79" s="24">
        <v>439</v>
      </c>
      <c r="G79" s="24">
        <v>639</v>
      </c>
      <c r="H79" s="59">
        <v>155.36000000000001</v>
      </c>
      <c r="I79" s="59">
        <v>-31.3</v>
      </c>
      <c r="J79" s="59">
        <v>0.81</v>
      </c>
      <c r="K79" s="59">
        <v>0.68</v>
      </c>
      <c r="L79" s="59">
        <v>0.45</v>
      </c>
      <c r="M79" s="59">
        <v>1.06</v>
      </c>
      <c r="N79" s="59"/>
    </row>
    <row r="80" spans="1:14">
      <c r="A80" s="59">
        <v>41</v>
      </c>
      <c r="B80" s="59" t="s">
        <v>725</v>
      </c>
      <c r="C80" s="59" t="s">
        <v>24</v>
      </c>
      <c r="D80" s="24">
        <v>46</v>
      </c>
      <c r="E80" s="24">
        <v>120</v>
      </c>
      <c r="F80" s="24">
        <v>433</v>
      </c>
      <c r="G80" s="24">
        <v>184</v>
      </c>
      <c r="H80" s="59">
        <v>-61.67</v>
      </c>
      <c r="I80" s="59">
        <v>135.33000000000001</v>
      </c>
      <c r="J80" s="59">
        <v>0.26</v>
      </c>
      <c r="K80" s="59">
        <v>0.67</v>
      </c>
      <c r="L80" s="59">
        <v>0.96</v>
      </c>
      <c r="M80" s="59">
        <v>0.3</v>
      </c>
      <c r="N80" s="59"/>
    </row>
    <row r="81" spans="1:14" hidden="1">
      <c r="A81" s="59">
        <v>42</v>
      </c>
      <c r="B81" s="59" t="s">
        <v>1059</v>
      </c>
      <c r="C81" s="59" t="s">
        <v>23</v>
      </c>
      <c r="D81" s="24">
        <v>99</v>
      </c>
      <c r="E81" s="24">
        <v>0</v>
      </c>
      <c r="F81" s="24">
        <v>422</v>
      </c>
      <c r="G81" s="24">
        <v>0</v>
      </c>
      <c r="H81" s="59">
        <v>0</v>
      </c>
      <c r="I81" s="59">
        <v>0</v>
      </c>
      <c r="J81" s="59">
        <v>0.56000000000000005</v>
      </c>
      <c r="K81" s="59">
        <v>0.65</v>
      </c>
      <c r="L81" s="59">
        <v>0</v>
      </c>
      <c r="M81" s="59">
        <v>0</v>
      </c>
      <c r="N81" s="59"/>
    </row>
    <row r="82" spans="1:14">
      <c r="A82" s="59">
        <v>43</v>
      </c>
      <c r="B82" s="59" t="s">
        <v>611</v>
      </c>
      <c r="C82" s="59" t="s">
        <v>24</v>
      </c>
      <c r="D82" s="24">
        <v>97</v>
      </c>
      <c r="E82" s="24">
        <v>233</v>
      </c>
      <c r="F82" s="24">
        <v>415</v>
      </c>
      <c r="G82" s="24">
        <v>796</v>
      </c>
      <c r="H82" s="59">
        <v>-58.37</v>
      </c>
      <c r="I82" s="59">
        <v>-47.86</v>
      </c>
      <c r="J82" s="59">
        <v>0.55000000000000004</v>
      </c>
      <c r="K82" s="59">
        <v>0.64</v>
      </c>
      <c r="L82" s="59">
        <v>1.86</v>
      </c>
      <c r="M82" s="59">
        <v>1.32</v>
      </c>
      <c r="N82" s="59"/>
    </row>
    <row r="83" spans="1:14">
      <c r="A83" s="59">
        <v>44</v>
      </c>
      <c r="B83" s="59" t="s">
        <v>108</v>
      </c>
      <c r="C83" s="59" t="s">
        <v>24</v>
      </c>
      <c r="D83" s="24">
        <v>38</v>
      </c>
      <c r="E83" s="24">
        <v>156</v>
      </c>
      <c r="F83" s="24">
        <v>412</v>
      </c>
      <c r="G83" s="24">
        <v>549</v>
      </c>
      <c r="H83" s="59">
        <v>-75.64</v>
      </c>
      <c r="I83" s="59">
        <v>-24.95</v>
      </c>
      <c r="J83" s="59">
        <v>0.22</v>
      </c>
      <c r="K83" s="59">
        <v>0.64</v>
      </c>
      <c r="L83" s="59">
        <v>1.25</v>
      </c>
      <c r="M83" s="59">
        <v>0.91</v>
      </c>
      <c r="N83" s="59"/>
    </row>
    <row r="84" spans="1:14">
      <c r="A84" s="59">
        <v>45</v>
      </c>
      <c r="B84" s="59" t="s">
        <v>585</v>
      </c>
      <c r="C84" s="59" t="s">
        <v>24</v>
      </c>
      <c r="D84" s="24">
        <v>166</v>
      </c>
      <c r="E84" s="24">
        <v>101</v>
      </c>
      <c r="F84" s="24">
        <v>402</v>
      </c>
      <c r="G84" s="24">
        <v>200</v>
      </c>
      <c r="H84" s="59">
        <v>64.36</v>
      </c>
      <c r="I84" s="59">
        <v>101</v>
      </c>
      <c r="J84" s="59">
        <v>0.94</v>
      </c>
      <c r="K84" s="59">
        <v>0.62</v>
      </c>
      <c r="L84" s="59">
        <v>0.81</v>
      </c>
      <c r="M84" s="59">
        <v>0.33</v>
      </c>
      <c r="N84" s="59"/>
    </row>
    <row r="85" spans="1:14">
      <c r="A85" s="59">
        <v>46</v>
      </c>
      <c r="B85" s="59" t="s">
        <v>518</v>
      </c>
      <c r="C85" s="59" t="s">
        <v>24</v>
      </c>
      <c r="D85" s="24">
        <v>99</v>
      </c>
      <c r="E85" s="24">
        <v>24</v>
      </c>
      <c r="F85" s="24">
        <v>400</v>
      </c>
      <c r="G85" s="24">
        <v>199</v>
      </c>
      <c r="H85" s="59">
        <v>312.5</v>
      </c>
      <c r="I85" s="59">
        <v>101.01</v>
      </c>
      <c r="J85" s="59">
        <v>0.56000000000000005</v>
      </c>
      <c r="K85" s="59">
        <v>0.62</v>
      </c>
      <c r="L85" s="59">
        <v>0.19</v>
      </c>
      <c r="M85" s="59">
        <v>0.33</v>
      </c>
      <c r="N85" s="59"/>
    </row>
    <row r="86" spans="1:14" hidden="1">
      <c r="A86" s="59">
        <v>47</v>
      </c>
      <c r="B86" s="59" t="s">
        <v>376</v>
      </c>
      <c r="C86" s="59" t="s">
        <v>23</v>
      </c>
      <c r="D86" s="24">
        <v>88</v>
      </c>
      <c r="E86" s="24">
        <v>7</v>
      </c>
      <c r="F86" s="24">
        <v>388</v>
      </c>
      <c r="G86" s="24">
        <v>109</v>
      </c>
      <c r="H86" s="59">
        <v>1157.1400000000001</v>
      </c>
      <c r="I86" s="59">
        <v>255.96</v>
      </c>
      <c r="J86" s="59">
        <v>0.5</v>
      </c>
      <c r="K86" s="59">
        <v>0.6</v>
      </c>
      <c r="L86" s="59">
        <v>0.06</v>
      </c>
      <c r="M86" s="59">
        <v>0.18</v>
      </c>
      <c r="N86" s="59"/>
    </row>
    <row r="87" spans="1:14" hidden="1">
      <c r="A87" s="59">
        <v>48</v>
      </c>
      <c r="B87" s="59" t="s">
        <v>512</v>
      </c>
      <c r="C87" s="59" t="s">
        <v>23</v>
      </c>
      <c r="D87" s="24">
        <v>68</v>
      </c>
      <c r="E87" s="24">
        <v>10</v>
      </c>
      <c r="F87" s="24">
        <v>383</v>
      </c>
      <c r="G87" s="24">
        <v>159</v>
      </c>
      <c r="H87" s="59">
        <v>580</v>
      </c>
      <c r="I87" s="59">
        <v>140.88</v>
      </c>
      <c r="J87" s="59">
        <v>0.39</v>
      </c>
      <c r="K87" s="59">
        <v>0.59</v>
      </c>
      <c r="L87" s="59">
        <v>0.08</v>
      </c>
      <c r="M87" s="59">
        <v>0.26</v>
      </c>
      <c r="N87" s="59"/>
    </row>
    <row r="88" spans="1:14" hidden="1">
      <c r="A88" s="59">
        <v>49</v>
      </c>
      <c r="B88" s="59" t="s">
        <v>238</v>
      </c>
      <c r="C88" s="59" t="s">
        <v>23</v>
      </c>
      <c r="D88" s="24">
        <v>246</v>
      </c>
      <c r="E88" s="24">
        <v>85</v>
      </c>
      <c r="F88" s="24">
        <v>378</v>
      </c>
      <c r="G88" s="24">
        <v>407</v>
      </c>
      <c r="H88" s="59">
        <v>189.41</v>
      </c>
      <c r="I88" s="59">
        <v>-7.13</v>
      </c>
      <c r="J88" s="59">
        <v>1.4</v>
      </c>
      <c r="K88" s="59">
        <v>0.57999999999999996</v>
      </c>
      <c r="L88" s="59">
        <v>0.68</v>
      </c>
      <c r="M88" s="59">
        <v>0.67</v>
      </c>
      <c r="N88" s="59"/>
    </row>
    <row r="89" spans="1:14">
      <c r="A89" s="59">
        <v>50</v>
      </c>
      <c r="B89" s="59" t="s">
        <v>1054</v>
      </c>
      <c r="C89" s="59" t="s">
        <v>24</v>
      </c>
      <c r="D89" s="24">
        <v>141</v>
      </c>
      <c r="E89" s="24">
        <v>0</v>
      </c>
      <c r="F89" s="24">
        <v>373</v>
      </c>
      <c r="G89" s="24">
        <v>0</v>
      </c>
      <c r="H89" s="59">
        <v>0</v>
      </c>
      <c r="I89" s="59">
        <v>0</v>
      </c>
      <c r="J89" s="59">
        <v>0.8</v>
      </c>
      <c r="K89" s="59">
        <v>0.57999999999999996</v>
      </c>
      <c r="L89" s="59">
        <v>0</v>
      </c>
      <c r="M89" s="59">
        <v>0</v>
      </c>
      <c r="N89" s="59"/>
    </row>
    <row r="90" spans="1:14">
      <c r="A90" s="59">
        <v>51</v>
      </c>
      <c r="B90" s="59" t="s">
        <v>1044</v>
      </c>
      <c r="C90" s="59" t="s">
        <v>24</v>
      </c>
      <c r="D90" s="24">
        <v>127</v>
      </c>
      <c r="E90" s="24">
        <v>0</v>
      </c>
      <c r="F90" s="24">
        <v>359</v>
      </c>
      <c r="G90" s="24">
        <v>0</v>
      </c>
      <c r="H90" s="59">
        <v>0</v>
      </c>
      <c r="I90" s="59">
        <v>0</v>
      </c>
      <c r="J90" s="59">
        <v>0.72</v>
      </c>
      <c r="K90" s="59">
        <v>0.55000000000000004</v>
      </c>
      <c r="L90" s="59">
        <v>0</v>
      </c>
      <c r="M90" s="59">
        <v>0</v>
      </c>
      <c r="N90" s="59"/>
    </row>
    <row r="91" spans="1:14">
      <c r="A91" s="59">
        <v>52</v>
      </c>
      <c r="B91" s="59" t="s">
        <v>583</v>
      </c>
      <c r="C91" s="59" t="s">
        <v>24</v>
      </c>
      <c r="D91" s="24">
        <v>90</v>
      </c>
      <c r="E91" s="24">
        <v>35</v>
      </c>
      <c r="F91" s="24">
        <v>329</v>
      </c>
      <c r="G91" s="24">
        <v>207</v>
      </c>
      <c r="H91" s="59">
        <v>157.13999999999999</v>
      </c>
      <c r="I91" s="59">
        <v>58.94</v>
      </c>
      <c r="J91" s="59">
        <v>0.51</v>
      </c>
      <c r="K91" s="59">
        <v>0.51</v>
      </c>
      <c r="L91" s="59">
        <v>0.28000000000000003</v>
      </c>
      <c r="M91" s="59">
        <v>0.34</v>
      </c>
      <c r="N91" s="59"/>
    </row>
    <row r="92" spans="1:14">
      <c r="A92" s="59">
        <v>53</v>
      </c>
      <c r="B92" s="59" t="s">
        <v>421</v>
      </c>
      <c r="C92" s="59" t="s">
        <v>24</v>
      </c>
      <c r="D92" s="24">
        <v>61</v>
      </c>
      <c r="E92" s="24">
        <v>162</v>
      </c>
      <c r="F92" s="24">
        <v>310</v>
      </c>
      <c r="G92" s="24">
        <v>453</v>
      </c>
      <c r="H92" s="67">
        <v>-62.35</v>
      </c>
      <c r="I92" s="67">
        <v>-31.57</v>
      </c>
      <c r="J92" s="59">
        <v>0.35</v>
      </c>
      <c r="K92" s="59">
        <v>0.48</v>
      </c>
      <c r="L92" s="59">
        <v>1.29</v>
      </c>
      <c r="M92" s="59">
        <v>0.75</v>
      </c>
      <c r="N92" s="59"/>
    </row>
    <row r="93" spans="1:14">
      <c r="A93" s="59">
        <v>54</v>
      </c>
      <c r="B93" s="59" t="s">
        <v>625</v>
      </c>
      <c r="C93" s="59" t="s">
        <v>24</v>
      </c>
      <c r="D93" s="24">
        <v>28</v>
      </c>
      <c r="E93" s="24">
        <v>25</v>
      </c>
      <c r="F93" s="24">
        <v>310</v>
      </c>
      <c r="G93" s="24">
        <v>289</v>
      </c>
      <c r="H93" s="85">
        <v>12</v>
      </c>
      <c r="I93" s="85">
        <v>7.27</v>
      </c>
      <c r="J93" s="59">
        <v>0.16</v>
      </c>
      <c r="K93" s="59">
        <v>0.48</v>
      </c>
      <c r="L93" s="59">
        <v>0.2</v>
      </c>
      <c r="M93" s="59">
        <v>0.48</v>
      </c>
      <c r="N93" s="59"/>
    </row>
    <row r="94" spans="1:14">
      <c r="A94" s="59">
        <v>55</v>
      </c>
      <c r="B94" s="59" t="s">
        <v>506</v>
      </c>
      <c r="C94" s="59" t="s">
        <v>24</v>
      </c>
      <c r="D94" s="24">
        <v>10</v>
      </c>
      <c r="E94" s="24">
        <v>63</v>
      </c>
      <c r="F94" s="24">
        <v>310</v>
      </c>
      <c r="G94" s="24">
        <v>146</v>
      </c>
      <c r="H94" s="59">
        <v>-84.13</v>
      </c>
      <c r="I94" s="59">
        <v>112.33</v>
      </c>
      <c r="J94" s="59">
        <v>0.06</v>
      </c>
      <c r="K94" s="59">
        <v>0.48</v>
      </c>
      <c r="L94" s="59">
        <v>0.5</v>
      </c>
      <c r="M94" s="59">
        <v>0.24</v>
      </c>
      <c r="N94" s="59"/>
    </row>
    <row r="95" spans="1:14">
      <c r="A95" s="59">
        <v>56</v>
      </c>
      <c r="B95" s="59" t="s">
        <v>381</v>
      </c>
      <c r="C95" s="59" t="s">
        <v>24</v>
      </c>
      <c r="D95" s="24">
        <v>52</v>
      </c>
      <c r="E95" s="24">
        <v>76</v>
      </c>
      <c r="F95" s="24">
        <v>309</v>
      </c>
      <c r="G95" s="24">
        <v>391</v>
      </c>
      <c r="H95" s="59">
        <v>-31.58</v>
      </c>
      <c r="I95" s="59">
        <v>-20.97</v>
      </c>
      <c r="J95" s="59">
        <v>0.28999999999999998</v>
      </c>
      <c r="K95" s="59">
        <v>0.48</v>
      </c>
      <c r="L95" s="59">
        <v>0.61</v>
      </c>
      <c r="M95" s="59">
        <v>0.65</v>
      </c>
      <c r="N95" s="59"/>
    </row>
    <row r="96" spans="1:14" hidden="1">
      <c r="A96" s="59">
        <v>57</v>
      </c>
      <c r="B96" s="59" t="s">
        <v>244</v>
      </c>
      <c r="C96" s="59" t="s">
        <v>23</v>
      </c>
      <c r="D96" s="24">
        <v>65</v>
      </c>
      <c r="E96" s="24">
        <v>0</v>
      </c>
      <c r="F96" s="24">
        <v>305</v>
      </c>
      <c r="G96" s="24">
        <v>1</v>
      </c>
      <c r="H96" s="59">
        <v>0</v>
      </c>
      <c r="I96" s="59">
        <v>30400</v>
      </c>
      <c r="J96" s="59">
        <v>0.37</v>
      </c>
      <c r="K96" s="59">
        <v>0.47</v>
      </c>
      <c r="L96" s="59">
        <v>0</v>
      </c>
      <c r="M96" s="59">
        <v>0</v>
      </c>
      <c r="N96" s="59"/>
    </row>
    <row r="97" spans="1:14">
      <c r="A97" s="59">
        <v>58</v>
      </c>
      <c r="B97" s="59" t="s">
        <v>1065</v>
      </c>
      <c r="C97" s="59" t="s">
        <v>24</v>
      </c>
      <c r="D97" s="24">
        <v>262</v>
      </c>
      <c r="E97" s="24">
        <v>0</v>
      </c>
      <c r="F97" s="24">
        <v>303</v>
      </c>
      <c r="G97" s="24">
        <v>0</v>
      </c>
      <c r="H97" s="59">
        <v>0</v>
      </c>
      <c r="I97" s="59">
        <v>0</v>
      </c>
      <c r="J97" s="59">
        <v>1.49</v>
      </c>
      <c r="K97" s="59">
        <v>0.47</v>
      </c>
      <c r="L97" s="59">
        <v>0</v>
      </c>
      <c r="M97" s="59">
        <v>0</v>
      </c>
      <c r="N97" s="59"/>
    </row>
    <row r="98" spans="1:14" hidden="1">
      <c r="A98" s="59">
        <v>59</v>
      </c>
      <c r="B98" s="59" t="s">
        <v>126</v>
      </c>
      <c r="C98" s="59" t="s">
        <v>23</v>
      </c>
      <c r="D98" s="24">
        <v>81</v>
      </c>
      <c r="E98" s="24">
        <v>132</v>
      </c>
      <c r="F98" s="24">
        <v>302</v>
      </c>
      <c r="G98" s="24">
        <v>379</v>
      </c>
      <c r="H98" s="59">
        <v>-38.64</v>
      </c>
      <c r="I98" s="59">
        <v>-20.32</v>
      </c>
      <c r="J98" s="59">
        <v>0.46</v>
      </c>
      <c r="K98" s="59">
        <v>0.47</v>
      </c>
      <c r="L98" s="59">
        <v>1.05</v>
      </c>
      <c r="M98" s="59">
        <v>0.63</v>
      </c>
      <c r="N98" s="59"/>
    </row>
    <row r="99" spans="1:14" hidden="1">
      <c r="A99" s="59">
        <v>60</v>
      </c>
      <c r="B99" s="59" t="s">
        <v>392</v>
      </c>
      <c r="C99" s="59" t="s">
        <v>23</v>
      </c>
      <c r="D99" s="24">
        <v>81</v>
      </c>
      <c r="E99" s="24">
        <v>90</v>
      </c>
      <c r="F99" s="24">
        <v>289</v>
      </c>
      <c r="G99" s="24">
        <v>542</v>
      </c>
      <c r="H99" s="59">
        <v>-10</v>
      </c>
      <c r="I99" s="59">
        <v>-46.68</v>
      </c>
      <c r="J99" s="59">
        <v>0.46</v>
      </c>
      <c r="K99" s="59">
        <v>0.45</v>
      </c>
      <c r="L99" s="59">
        <v>0.72</v>
      </c>
      <c r="M99" s="59">
        <v>0.9</v>
      </c>
      <c r="N99" s="59"/>
    </row>
    <row r="100" spans="1:14">
      <c r="A100" s="59">
        <v>61</v>
      </c>
      <c r="B100" s="59" t="s">
        <v>686</v>
      </c>
      <c r="C100" s="59" t="s">
        <v>24</v>
      </c>
      <c r="D100" s="24">
        <v>57</v>
      </c>
      <c r="E100" s="24">
        <v>56</v>
      </c>
      <c r="F100" s="24">
        <v>278</v>
      </c>
      <c r="G100" s="24">
        <v>204</v>
      </c>
      <c r="H100" s="59">
        <v>1.79</v>
      </c>
      <c r="I100" s="59">
        <v>36.270000000000003</v>
      </c>
      <c r="J100" s="59">
        <v>0.32</v>
      </c>
      <c r="K100" s="59">
        <v>0.43</v>
      </c>
      <c r="L100" s="59">
        <v>0.45</v>
      </c>
      <c r="M100" s="59">
        <v>0.34</v>
      </c>
      <c r="N100" s="59"/>
    </row>
    <row r="101" spans="1:14" hidden="1">
      <c r="A101" s="59">
        <v>62</v>
      </c>
      <c r="B101" s="59" t="s">
        <v>425</v>
      </c>
      <c r="C101" s="59" t="s">
        <v>23</v>
      </c>
      <c r="D101" s="24">
        <v>43</v>
      </c>
      <c r="E101" s="24">
        <v>19</v>
      </c>
      <c r="F101" s="24">
        <v>271</v>
      </c>
      <c r="G101" s="24">
        <v>119</v>
      </c>
      <c r="H101" s="59">
        <v>126.32</v>
      </c>
      <c r="I101" s="59">
        <v>127.73</v>
      </c>
      <c r="J101" s="59">
        <v>0.24</v>
      </c>
      <c r="K101" s="59">
        <v>0.42</v>
      </c>
      <c r="L101" s="59">
        <v>0.15</v>
      </c>
      <c r="M101" s="59">
        <v>0.2</v>
      </c>
      <c r="N101" s="59"/>
    </row>
    <row r="102" spans="1:14" hidden="1">
      <c r="A102" s="59">
        <v>63</v>
      </c>
      <c r="B102" s="59" t="s">
        <v>84</v>
      </c>
      <c r="C102" s="59" t="s">
        <v>23</v>
      </c>
      <c r="D102" s="24">
        <v>126</v>
      </c>
      <c r="E102" s="24">
        <v>30</v>
      </c>
      <c r="F102" s="24">
        <v>250</v>
      </c>
      <c r="G102" s="24">
        <v>297</v>
      </c>
      <c r="H102" s="59">
        <v>320</v>
      </c>
      <c r="I102" s="59">
        <v>-15.82</v>
      </c>
      <c r="J102" s="59">
        <v>0.71</v>
      </c>
      <c r="K102" s="59">
        <v>0.39</v>
      </c>
      <c r="L102" s="59">
        <v>0.24</v>
      </c>
      <c r="M102" s="59">
        <v>0.49</v>
      </c>
      <c r="N102" s="59"/>
    </row>
    <row r="103" spans="1:14">
      <c r="A103" s="59">
        <v>64</v>
      </c>
      <c r="B103" s="59" t="s">
        <v>431</v>
      </c>
      <c r="C103" s="59" t="s">
        <v>24</v>
      </c>
      <c r="D103" s="24">
        <v>12</v>
      </c>
      <c r="E103" s="24">
        <v>98</v>
      </c>
      <c r="F103" s="24">
        <v>231</v>
      </c>
      <c r="G103" s="24">
        <v>562</v>
      </c>
      <c r="H103" s="59">
        <v>-87.76</v>
      </c>
      <c r="I103" s="59">
        <v>-58.9</v>
      </c>
      <c r="J103" s="59">
        <v>7.0000000000000007E-2</v>
      </c>
      <c r="K103" s="59">
        <v>0.36</v>
      </c>
      <c r="L103" s="59">
        <v>0.78</v>
      </c>
      <c r="M103" s="59">
        <v>0.93</v>
      </c>
      <c r="N103" s="59"/>
    </row>
    <row r="104" spans="1:14">
      <c r="A104" s="59">
        <v>65</v>
      </c>
      <c r="B104" s="59" t="s">
        <v>426</v>
      </c>
      <c r="C104" s="59" t="s">
        <v>24</v>
      </c>
      <c r="D104" s="24">
        <v>52</v>
      </c>
      <c r="E104" s="24">
        <v>6</v>
      </c>
      <c r="F104" s="24">
        <v>218</v>
      </c>
      <c r="G104" s="24">
        <v>240</v>
      </c>
      <c r="H104" s="59">
        <v>766.67</v>
      </c>
      <c r="I104" s="59">
        <v>-9.17</v>
      </c>
      <c r="J104" s="59">
        <v>0.28999999999999998</v>
      </c>
      <c r="K104" s="59">
        <v>0.34</v>
      </c>
      <c r="L104" s="59">
        <v>0.05</v>
      </c>
      <c r="M104" s="59">
        <v>0.4</v>
      </c>
      <c r="N104" s="59"/>
    </row>
    <row r="105" spans="1:14" hidden="1">
      <c r="A105" s="59">
        <v>66</v>
      </c>
      <c r="B105" s="59" t="s">
        <v>410</v>
      </c>
      <c r="C105" s="59" t="s">
        <v>23</v>
      </c>
      <c r="D105" s="24">
        <v>76</v>
      </c>
      <c r="E105" s="24">
        <v>145</v>
      </c>
      <c r="F105" s="24">
        <v>210</v>
      </c>
      <c r="G105" s="24">
        <v>494</v>
      </c>
      <c r="H105" s="59">
        <v>-47.59</v>
      </c>
      <c r="I105" s="59">
        <v>-57.49</v>
      </c>
      <c r="J105" s="59">
        <v>0.43</v>
      </c>
      <c r="K105" s="59">
        <v>0.32</v>
      </c>
      <c r="L105" s="59">
        <v>1.1599999999999999</v>
      </c>
      <c r="M105" s="59">
        <v>0.82</v>
      </c>
      <c r="N105" s="59"/>
    </row>
    <row r="106" spans="1:14" hidden="1">
      <c r="A106" s="59">
        <v>67</v>
      </c>
      <c r="B106" s="59" t="s">
        <v>417</v>
      </c>
      <c r="C106" s="59" t="s">
        <v>23</v>
      </c>
      <c r="D106" s="24">
        <v>65</v>
      </c>
      <c r="E106" s="24">
        <v>105</v>
      </c>
      <c r="F106" s="24">
        <v>210</v>
      </c>
      <c r="G106" s="24">
        <v>276</v>
      </c>
      <c r="H106" s="59">
        <v>-38.1</v>
      </c>
      <c r="I106" s="59">
        <v>-23.91</v>
      </c>
      <c r="J106" s="59">
        <v>0.37</v>
      </c>
      <c r="K106" s="59">
        <v>0.32</v>
      </c>
      <c r="L106" s="59">
        <v>0.84</v>
      </c>
      <c r="M106" s="59">
        <v>0.46</v>
      </c>
      <c r="N106" s="59"/>
    </row>
    <row r="107" spans="1:14" hidden="1">
      <c r="A107" s="59">
        <v>68</v>
      </c>
      <c r="B107" s="59" t="s">
        <v>370</v>
      </c>
      <c r="C107" s="59" t="s">
        <v>23</v>
      </c>
      <c r="D107" s="24">
        <v>51</v>
      </c>
      <c r="E107" s="24">
        <v>47</v>
      </c>
      <c r="F107" s="24">
        <v>199</v>
      </c>
      <c r="G107" s="24">
        <v>281</v>
      </c>
      <c r="H107" s="59">
        <v>8.51</v>
      </c>
      <c r="I107" s="59">
        <v>-29.18</v>
      </c>
      <c r="J107" s="59">
        <v>0.28999999999999998</v>
      </c>
      <c r="K107" s="59">
        <v>0.31</v>
      </c>
      <c r="L107" s="59">
        <v>0.38</v>
      </c>
      <c r="M107" s="59">
        <v>0.46</v>
      </c>
      <c r="N107" s="59"/>
    </row>
    <row r="108" spans="1:14">
      <c r="A108" s="59">
        <v>69</v>
      </c>
      <c r="B108" s="59" t="s">
        <v>596</v>
      </c>
      <c r="C108" s="59" t="s">
        <v>24</v>
      </c>
      <c r="D108" s="24">
        <v>95</v>
      </c>
      <c r="E108" s="24">
        <v>1</v>
      </c>
      <c r="F108" s="24">
        <v>196</v>
      </c>
      <c r="G108" s="24">
        <v>316</v>
      </c>
      <c r="H108" s="59">
        <v>9400</v>
      </c>
      <c r="I108" s="59">
        <v>-37.97</v>
      </c>
      <c r="J108" s="59">
        <v>0.54</v>
      </c>
      <c r="K108" s="59">
        <v>0.3</v>
      </c>
      <c r="L108" s="59">
        <v>0.01</v>
      </c>
      <c r="M108" s="59">
        <v>0.52</v>
      </c>
      <c r="N108" s="59"/>
    </row>
    <row r="109" spans="1:14" hidden="1">
      <c r="A109" s="59">
        <v>70</v>
      </c>
      <c r="B109" s="59" t="s">
        <v>394</v>
      </c>
      <c r="C109" s="59" t="s">
        <v>23</v>
      </c>
      <c r="D109" s="24">
        <v>46</v>
      </c>
      <c r="E109" s="24">
        <v>23</v>
      </c>
      <c r="F109" s="24">
        <v>183</v>
      </c>
      <c r="G109" s="24">
        <v>286</v>
      </c>
      <c r="H109" s="59">
        <v>100</v>
      </c>
      <c r="I109" s="59">
        <v>-36.01</v>
      </c>
      <c r="J109" s="59">
        <v>0.26</v>
      </c>
      <c r="K109" s="59">
        <v>0.28000000000000003</v>
      </c>
      <c r="L109" s="59">
        <v>0.18</v>
      </c>
      <c r="M109" s="59">
        <v>0.47</v>
      </c>
      <c r="N109" s="59"/>
    </row>
    <row r="110" spans="1:14">
      <c r="A110" s="59">
        <v>71</v>
      </c>
      <c r="B110" s="59" t="s">
        <v>666</v>
      </c>
      <c r="C110" s="59" t="s">
        <v>24</v>
      </c>
      <c r="D110" s="24">
        <v>55</v>
      </c>
      <c r="E110" s="24">
        <v>19</v>
      </c>
      <c r="F110" s="24">
        <v>183</v>
      </c>
      <c r="G110" s="24">
        <v>124</v>
      </c>
      <c r="H110" s="59">
        <v>189.47</v>
      </c>
      <c r="I110" s="59">
        <v>47.58</v>
      </c>
      <c r="J110" s="59">
        <v>0.31</v>
      </c>
      <c r="K110" s="59">
        <v>0.28000000000000003</v>
      </c>
      <c r="L110" s="59">
        <v>0.15</v>
      </c>
      <c r="M110" s="59">
        <v>0.21</v>
      </c>
      <c r="N110" s="59"/>
    </row>
    <row r="111" spans="1:14">
      <c r="A111" s="59">
        <v>72</v>
      </c>
      <c r="B111" s="59" t="s">
        <v>147</v>
      </c>
      <c r="C111" s="59" t="s">
        <v>24</v>
      </c>
      <c r="D111" s="24">
        <v>124</v>
      </c>
      <c r="E111" s="24">
        <v>0</v>
      </c>
      <c r="F111" s="24">
        <v>180</v>
      </c>
      <c r="G111" s="24">
        <v>0</v>
      </c>
      <c r="H111" s="59">
        <v>0</v>
      </c>
      <c r="I111" s="59">
        <v>0</v>
      </c>
      <c r="J111" s="59">
        <v>0.7</v>
      </c>
      <c r="K111" s="59">
        <v>0.28000000000000003</v>
      </c>
      <c r="L111" s="59">
        <v>0</v>
      </c>
      <c r="M111" s="59">
        <v>0</v>
      </c>
      <c r="N111" s="59"/>
    </row>
    <row r="112" spans="1:14" hidden="1">
      <c r="A112" s="59">
        <v>73</v>
      </c>
      <c r="B112" s="59" t="s">
        <v>451</v>
      </c>
      <c r="C112" s="59" t="s">
        <v>23</v>
      </c>
      <c r="D112" s="24">
        <v>14</v>
      </c>
      <c r="E112" s="24">
        <v>56</v>
      </c>
      <c r="F112" s="24">
        <v>167</v>
      </c>
      <c r="G112" s="24">
        <v>354</v>
      </c>
      <c r="H112" s="59">
        <v>-75</v>
      </c>
      <c r="I112" s="59">
        <v>-52.82</v>
      </c>
      <c r="J112" s="59">
        <v>0.08</v>
      </c>
      <c r="K112" s="59">
        <v>0.26</v>
      </c>
      <c r="L112" s="59">
        <v>0.45</v>
      </c>
      <c r="M112" s="59">
        <v>0.59</v>
      </c>
      <c r="N112" s="59"/>
    </row>
    <row r="113" spans="1:14" hidden="1">
      <c r="A113" s="59">
        <v>74</v>
      </c>
      <c r="B113" s="59" t="s">
        <v>679</v>
      </c>
      <c r="C113" s="59" t="s">
        <v>23</v>
      </c>
      <c r="D113" s="24">
        <v>28</v>
      </c>
      <c r="E113" s="24">
        <v>31</v>
      </c>
      <c r="F113" s="24">
        <v>160</v>
      </c>
      <c r="G113" s="24">
        <v>132</v>
      </c>
      <c r="H113" s="59">
        <v>-9.68</v>
      </c>
      <c r="I113" s="59">
        <v>21.21</v>
      </c>
      <c r="J113" s="59">
        <v>0.16</v>
      </c>
      <c r="K113" s="59">
        <v>0.25</v>
      </c>
      <c r="L113" s="59">
        <v>0.25</v>
      </c>
      <c r="M113" s="59">
        <v>0.22</v>
      </c>
      <c r="N113" s="59"/>
    </row>
    <row r="114" spans="1:14">
      <c r="A114" s="59">
        <v>75</v>
      </c>
      <c r="B114" s="59" t="s">
        <v>1128</v>
      </c>
      <c r="C114" s="59" t="s">
        <v>24</v>
      </c>
      <c r="D114" s="24">
        <v>80</v>
      </c>
      <c r="E114" s="24">
        <v>0</v>
      </c>
      <c r="F114" s="24">
        <v>155</v>
      </c>
      <c r="G114" s="24">
        <v>0</v>
      </c>
      <c r="H114" s="59">
        <v>0</v>
      </c>
      <c r="I114" s="59">
        <v>0</v>
      </c>
      <c r="J114" s="59">
        <v>0.45</v>
      </c>
      <c r="K114" s="59">
        <v>0.24</v>
      </c>
      <c r="L114" s="59">
        <v>0</v>
      </c>
      <c r="M114" s="59">
        <v>0</v>
      </c>
      <c r="N114" s="59"/>
    </row>
    <row r="115" spans="1:14" hidden="1">
      <c r="A115" s="59">
        <v>76</v>
      </c>
      <c r="B115" s="59" t="s">
        <v>422</v>
      </c>
      <c r="C115" s="59" t="s">
        <v>23</v>
      </c>
      <c r="D115" s="24">
        <v>29</v>
      </c>
      <c r="E115" s="24">
        <v>93</v>
      </c>
      <c r="F115" s="24">
        <v>154</v>
      </c>
      <c r="G115" s="24">
        <v>678</v>
      </c>
      <c r="H115" s="59">
        <v>-68.819999999999993</v>
      </c>
      <c r="I115" s="59">
        <v>-77.290000000000006</v>
      </c>
      <c r="J115" s="59">
        <v>0.16</v>
      </c>
      <c r="K115" s="59">
        <v>0.24</v>
      </c>
      <c r="L115" s="59">
        <v>0.74</v>
      </c>
      <c r="M115" s="59">
        <v>1.1200000000000001</v>
      </c>
      <c r="N115" s="59"/>
    </row>
    <row r="116" spans="1:14" hidden="1">
      <c r="A116" s="59">
        <v>77</v>
      </c>
      <c r="B116" s="59" t="s">
        <v>393</v>
      </c>
      <c r="C116" s="59" t="s">
        <v>23</v>
      </c>
      <c r="D116" s="24">
        <v>37</v>
      </c>
      <c r="E116" s="24">
        <v>11</v>
      </c>
      <c r="F116" s="24">
        <v>149</v>
      </c>
      <c r="G116" s="24">
        <v>53</v>
      </c>
      <c r="H116" s="59">
        <v>236.36</v>
      </c>
      <c r="I116" s="59">
        <v>181.13</v>
      </c>
      <c r="J116" s="59">
        <v>0.21</v>
      </c>
      <c r="K116" s="59">
        <v>0.23</v>
      </c>
      <c r="L116" s="59">
        <v>0.09</v>
      </c>
      <c r="M116" s="59">
        <v>0.09</v>
      </c>
      <c r="N116" s="59"/>
    </row>
    <row r="117" spans="1:14" hidden="1">
      <c r="A117" s="59">
        <v>78</v>
      </c>
      <c r="B117" s="59" t="s">
        <v>182</v>
      </c>
      <c r="C117" s="59" t="s">
        <v>23</v>
      </c>
      <c r="D117" s="24">
        <v>47</v>
      </c>
      <c r="E117" s="24">
        <v>29</v>
      </c>
      <c r="F117" s="24">
        <v>147</v>
      </c>
      <c r="G117" s="24">
        <v>198</v>
      </c>
      <c r="H117" s="59">
        <v>62.07</v>
      </c>
      <c r="I117" s="59">
        <v>-25.76</v>
      </c>
      <c r="J117" s="59">
        <v>0.27</v>
      </c>
      <c r="K117" s="59">
        <v>0.23</v>
      </c>
      <c r="L117" s="59">
        <v>0.23</v>
      </c>
      <c r="M117" s="59">
        <v>0.33</v>
      </c>
      <c r="N117" s="59"/>
    </row>
    <row r="118" spans="1:14" hidden="1">
      <c r="A118" s="59">
        <v>79</v>
      </c>
      <c r="B118" s="59" t="s">
        <v>612</v>
      </c>
      <c r="C118" s="59" t="s">
        <v>23</v>
      </c>
      <c r="D118" s="24">
        <v>0</v>
      </c>
      <c r="E118" s="24">
        <v>182</v>
      </c>
      <c r="F118" s="24">
        <v>142</v>
      </c>
      <c r="G118" s="24">
        <v>947</v>
      </c>
      <c r="H118" s="59">
        <v>-100</v>
      </c>
      <c r="I118" s="59">
        <v>-85.01</v>
      </c>
      <c r="J118" s="59">
        <v>0</v>
      </c>
      <c r="K118" s="59">
        <v>0.22</v>
      </c>
      <c r="L118" s="59">
        <v>1.45</v>
      </c>
      <c r="M118" s="59">
        <v>1.57</v>
      </c>
      <c r="N118" s="59"/>
    </row>
    <row r="119" spans="1:14" hidden="1">
      <c r="A119" s="59">
        <v>80</v>
      </c>
      <c r="B119" s="59" t="s">
        <v>378</v>
      </c>
      <c r="C119" s="59" t="s">
        <v>23</v>
      </c>
      <c r="D119" s="24">
        <v>21</v>
      </c>
      <c r="E119" s="24">
        <v>135</v>
      </c>
      <c r="F119" s="24">
        <v>138</v>
      </c>
      <c r="G119" s="24">
        <v>657</v>
      </c>
      <c r="H119" s="59">
        <v>-84.44</v>
      </c>
      <c r="I119" s="59">
        <v>-79</v>
      </c>
      <c r="J119" s="59">
        <v>0.12</v>
      </c>
      <c r="K119" s="59">
        <v>0.21</v>
      </c>
      <c r="L119" s="59">
        <v>1.08</v>
      </c>
      <c r="M119" s="59">
        <v>1.0900000000000001</v>
      </c>
      <c r="N119" s="59"/>
    </row>
    <row r="120" spans="1:14" hidden="1">
      <c r="A120" s="59">
        <v>81</v>
      </c>
      <c r="B120" s="59" t="s">
        <v>1071</v>
      </c>
      <c r="C120" s="59" t="s">
        <v>23</v>
      </c>
      <c r="D120" s="24">
        <v>23</v>
      </c>
      <c r="E120" s="24">
        <v>0</v>
      </c>
      <c r="F120" s="24">
        <v>135</v>
      </c>
      <c r="G120" s="24">
        <v>0</v>
      </c>
      <c r="H120" s="59">
        <v>0</v>
      </c>
      <c r="I120" s="59">
        <v>0</v>
      </c>
      <c r="J120" s="59">
        <v>0.13</v>
      </c>
      <c r="K120" s="59">
        <v>0.21</v>
      </c>
      <c r="L120" s="59">
        <v>0</v>
      </c>
      <c r="M120" s="59">
        <v>0</v>
      </c>
      <c r="N120" s="59"/>
    </row>
    <row r="121" spans="1:14" hidden="1">
      <c r="A121" s="59">
        <v>82</v>
      </c>
      <c r="B121" s="59" t="s">
        <v>49</v>
      </c>
      <c r="C121" s="59" t="s">
        <v>23</v>
      </c>
      <c r="D121" s="24">
        <v>55</v>
      </c>
      <c r="E121" s="24">
        <v>16</v>
      </c>
      <c r="F121" s="24">
        <v>125</v>
      </c>
      <c r="G121" s="24">
        <v>112</v>
      </c>
      <c r="H121" s="59">
        <v>243.75</v>
      </c>
      <c r="I121" s="59">
        <v>11.61</v>
      </c>
      <c r="J121" s="59">
        <v>0.31</v>
      </c>
      <c r="K121" s="59">
        <v>0.19</v>
      </c>
      <c r="L121" s="59">
        <v>0.13</v>
      </c>
      <c r="M121" s="59">
        <v>0.19</v>
      </c>
      <c r="N121" s="59"/>
    </row>
    <row r="122" spans="1:14">
      <c r="A122" s="59">
        <v>83</v>
      </c>
      <c r="B122" s="59" t="s">
        <v>416</v>
      </c>
      <c r="C122" s="59" t="s">
        <v>24</v>
      </c>
      <c r="D122" s="24">
        <v>45</v>
      </c>
      <c r="E122" s="24">
        <v>46</v>
      </c>
      <c r="F122" s="24">
        <v>124</v>
      </c>
      <c r="G122" s="24">
        <v>305</v>
      </c>
      <c r="H122" s="59">
        <v>-2.17</v>
      </c>
      <c r="I122" s="59">
        <v>-59.34</v>
      </c>
      <c r="J122" s="59">
        <v>0.26</v>
      </c>
      <c r="K122" s="59">
        <v>0.19</v>
      </c>
      <c r="L122" s="59">
        <v>0.37</v>
      </c>
      <c r="M122" s="59">
        <v>0.5</v>
      </c>
      <c r="N122" s="59"/>
    </row>
    <row r="123" spans="1:14" hidden="1">
      <c r="A123" s="59">
        <v>84</v>
      </c>
      <c r="B123" s="59" t="s">
        <v>434</v>
      </c>
      <c r="C123" s="59" t="s">
        <v>23</v>
      </c>
      <c r="D123" s="24">
        <v>22</v>
      </c>
      <c r="E123" s="24">
        <v>25</v>
      </c>
      <c r="F123" s="24">
        <v>122</v>
      </c>
      <c r="G123" s="24">
        <v>203</v>
      </c>
      <c r="H123" s="59">
        <v>-12</v>
      </c>
      <c r="I123" s="59">
        <v>-39.9</v>
      </c>
      <c r="J123" s="59">
        <v>0.12</v>
      </c>
      <c r="K123" s="59">
        <v>0.19</v>
      </c>
      <c r="L123" s="59">
        <v>0.2</v>
      </c>
      <c r="M123" s="59">
        <v>0.34</v>
      </c>
      <c r="N123" s="59"/>
    </row>
    <row r="124" spans="1:14" hidden="1">
      <c r="A124" s="59">
        <v>85</v>
      </c>
      <c r="B124" s="59" t="s">
        <v>403</v>
      </c>
      <c r="C124" s="59" t="s">
        <v>23</v>
      </c>
      <c r="D124" s="24">
        <v>33</v>
      </c>
      <c r="E124" s="24">
        <v>9</v>
      </c>
      <c r="F124" s="24">
        <v>115</v>
      </c>
      <c r="G124" s="24">
        <v>105</v>
      </c>
      <c r="H124" s="59">
        <v>266.67</v>
      </c>
      <c r="I124" s="59">
        <v>9.52</v>
      </c>
      <c r="J124" s="59">
        <v>0.19</v>
      </c>
      <c r="K124" s="59">
        <v>0.18</v>
      </c>
      <c r="L124" s="59">
        <v>7.0000000000000007E-2</v>
      </c>
      <c r="M124" s="59">
        <v>0.17</v>
      </c>
      <c r="N124" s="59"/>
    </row>
    <row r="125" spans="1:14">
      <c r="A125" s="59">
        <v>86</v>
      </c>
      <c r="B125" s="59" t="s">
        <v>462</v>
      </c>
      <c r="C125" s="59" t="s">
        <v>24</v>
      </c>
      <c r="D125" s="24">
        <v>22</v>
      </c>
      <c r="E125" s="24">
        <v>35</v>
      </c>
      <c r="F125" s="24">
        <v>113</v>
      </c>
      <c r="G125" s="24">
        <v>66</v>
      </c>
      <c r="H125" s="59">
        <v>-37.14</v>
      </c>
      <c r="I125" s="59">
        <v>71.209999999999994</v>
      </c>
      <c r="J125" s="59">
        <v>0.12</v>
      </c>
      <c r="K125" s="59">
        <v>0.17</v>
      </c>
      <c r="L125" s="59">
        <v>0.28000000000000003</v>
      </c>
      <c r="M125" s="59">
        <v>0.11</v>
      </c>
      <c r="N125" s="59"/>
    </row>
    <row r="126" spans="1:14">
      <c r="A126" s="59">
        <v>87</v>
      </c>
      <c r="B126" s="59" t="s">
        <v>1037</v>
      </c>
      <c r="C126" s="59" t="s">
        <v>24</v>
      </c>
      <c r="D126" s="24">
        <v>26</v>
      </c>
      <c r="E126" s="24">
        <v>0</v>
      </c>
      <c r="F126" s="24">
        <v>109</v>
      </c>
      <c r="G126" s="24">
        <v>0</v>
      </c>
      <c r="H126" s="59">
        <v>0</v>
      </c>
      <c r="I126" s="59">
        <v>0</v>
      </c>
      <c r="J126" s="59">
        <v>0.15</v>
      </c>
      <c r="K126" s="59">
        <v>0.17</v>
      </c>
      <c r="L126" s="59">
        <v>0</v>
      </c>
      <c r="M126" s="59">
        <v>0</v>
      </c>
      <c r="N126" s="59"/>
    </row>
    <row r="127" spans="1:14" hidden="1">
      <c r="A127" s="59">
        <v>88</v>
      </c>
      <c r="B127" s="59" t="s">
        <v>1020</v>
      </c>
      <c r="C127" s="59" t="s">
        <v>23</v>
      </c>
      <c r="D127" s="24">
        <v>19</v>
      </c>
      <c r="E127" s="24">
        <v>0</v>
      </c>
      <c r="F127" s="24">
        <v>109</v>
      </c>
      <c r="G127" s="24">
        <v>0</v>
      </c>
      <c r="H127" s="59">
        <v>0</v>
      </c>
      <c r="I127" s="59">
        <v>0</v>
      </c>
      <c r="J127" s="59">
        <v>0.11</v>
      </c>
      <c r="K127" s="59">
        <v>0.17</v>
      </c>
      <c r="L127" s="59">
        <v>0</v>
      </c>
      <c r="M127" s="59">
        <v>0</v>
      </c>
      <c r="N127" s="59"/>
    </row>
    <row r="128" spans="1:14">
      <c r="A128" s="59">
        <v>89</v>
      </c>
      <c r="B128" s="59" t="s">
        <v>618</v>
      </c>
      <c r="C128" s="59" t="s">
        <v>24</v>
      </c>
      <c r="D128" s="24">
        <v>13</v>
      </c>
      <c r="E128" s="24">
        <v>112</v>
      </c>
      <c r="F128" s="24">
        <v>106</v>
      </c>
      <c r="G128" s="24">
        <v>661</v>
      </c>
      <c r="H128" s="59">
        <v>-88.39</v>
      </c>
      <c r="I128" s="59">
        <v>-83.96</v>
      </c>
      <c r="J128" s="59">
        <v>7.0000000000000007E-2</v>
      </c>
      <c r="K128" s="59">
        <v>0.16</v>
      </c>
      <c r="L128" s="59">
        <v>0.89</v>
      </c>
      <c r="M128" s="59">
        <v>1.0900000000000001</v>
      </c>
      <c r="N128" s="59"/>
    </row>
    <row r="129" spans="1:14">
      <c r="A129" s="59">
        <v>90</v>
      </c>
      <c r="B129" s="59" t="s">
        <v>88</v>
      </c>
      <c r="C129" s="59" t="s">
        <v>24</v>
      </c>
      <c r="D129" s="24">
        <v>13</v>
      </c>
      <c r="E129" s="24">
        <v>80</v>
      </c>
      <c r="F129" s="24">
        <v>103</v>
      </c>
      <c r="G129" s="24">
        <v>335</v>
      </c>
      <c r="H129" s="59">
        <v>-83.75</v>
      </c>
      <c r="I129" s="59">
        <v>-69.25</v>
      </c>
      <c r="J129" s="59">
        <v>7.0000000000000007E-2</v>
      </c>
      <c r="K129" s="59">
        <v>0.16</v>
      </c>
      <c r="L129" s="59">
        <v>0.64</v>
      </c>
      <c r="M129" s="59">
        <v>0.55000000000000004</v>
      </c>
      <c r="N129" s="59"/>
    </row>
    <row r="130" spans="1:14" hidden="1">
      <c r="A130" s="59">
        <v>91</v>
      </c>
      <c r="B130" s="59" t="s">
        <v>433</v>
      </c>
      <c r="C130" s="59" t="s">
        <v>23</v>
      </c>
      <c r="D130" s="24">
        <v>35</v>
      </c>
      <c r="E130" s="24">
        <v>11</v>
      </c>
      <c r="F130" s="24">
        <v>101</v>
      </c>
      <c r="G130" s="24">
        <v>68</v>
      </c>
      <c r="H130" s="59">
        <v>218.18</v>
      </c>
      <c r="I130" s="59">
        <v>48.53</v>
      </c>
      <c r="J130" s="59">
        <v>0.2</v>
      </c>
      <c r="K130" s="59">
        <v>0.16</v>
      </c>
      <c r="L130" s="59">
        <v>0.09</v>
      </c>
      <c r="M130" s="59">
        <v>0.11</v>
      </c>
      <c r="N130" s="59"/>
    </row>
    <row r="131" spans="1:14" hidden="1">
      <c r="A131" s="59">
        <v>92</v>
      </c>
      <c r="B131" s="59" t="s">
        <v>656</v>
      </c>
      <c r="C131" s="59" t="s">
        <v>23</v>
      </c>
      <c r="D131" s="24">
        <v>18</v>
      </c>
      <c r="E131" s="24">
        <v>14</v>
      </c>
      <c r="F131" s="24">
        <v>100</v>
      </c>
      <c r="G131" s="24">
        <v>135</v>
      </c>
      <c r="H131" s="59">
        <v>28.57</v>
      </c>
      <c r="I131" s="59">
        <v>-25.93</v>
      </c>
      <c r="J131" s="59">
        <v>0.1</v>
      </c>
      <c r="K131" s="59">
        <v>0.15</v>
      </c>
      <c r="L131" s="59">
        <v>0.11</v>
      </c>
      <c r="M131" s="59">
        <v>0.22</v>
      </c>
      <c r="N131" s="59"/>
    </row>
    <row r="132" spans="1:14" hidden="1">
      <c r="A132" s="59">
        <v>93</v>
      </c>
      <c r="B132" s="59" t="s">
        <v>452</v>
      </c>
      <c r="C132" s="59" t="s">
        <v>23</v>
      </c>
      <c r="D132" s="24">
        <v>32</v>
      </c>
      <c r="E132" s="24">
        <v>31</v>
      </c>
      <c r="F132" s="24">
        <v>95</v>
      </c>
      <c r="G132" s="24">
        <v>198</v>
      </c>
      <c r="H132" s="59">
        <v>3.23</v>
      </c>
      <c r="I132" s="59">
        <v>-52.02</v>
      </c>
      <c r="J132" s="59">
        <v>0.18</v>
      </c>
      <c r="K132" s="59">
        <v>0.15</v>
      </c>
      <c r="L132" s="59">
        <v>0.25</v>
      </c>
      <c r="M132" s="59">
        <v>0.33</v>
      </c>
      <c r="N132" s="59"/>
    </row>
    <row r="133" spans="1:14" hidden="1">
      <c r="A133" s="59">
        <v>94</v>
      </c>
      <c r="B133" s="59" t="s">
        <v>163</v>
      </c>
      <c r="C133" s="59" t="s">
        <v>23</v>
      </c>
      <c r="D133" s="24">
        <v>9</v>
      </c>
      <c r="E133" s="24">
        <v>34</v>
      </c>
      <c r="F133" s="24">
        <v>81</v>
      </c>
      <c r="G133" s="24">
        <v>167</v>
      </c>
      <c r="H133" s="59">
        <v>-73.53</v>
      </c>
      <c r="I133" s="59">
        <v>-51.5</v>
      </c>
      <c r="J133" s="59">
        <v>0.05</v>
      </c>
      <c r="K133" s="59">
        <v>0.12</v>
      </c>
      <c r="L133" s="59">
        <v>0.27</v>
      </c>
      <c r="M133" s="59">
        <v>0.28000000000000003</v>
      </c>
      <c r="N133" s="59"/>
    </row>
    <row r="134" spans="1:14">
      <c r="A134" s="59">
        <v>95</v>
      </c>
      <c r="B134" s="59" t="s">
        <v>638</v>
      </c>
      <c r="C134" s="59" t="s">
        <v>24</v>
      </c>
      <c r="D134" s="24">
        <v>31</v>
      </c>
      <c r="E134" s="24">
        <v>87</v>
      </c>
      <c r="F134" s="24">
        <v>78</v>
      </c>
      <c r="G134" s="24">
        <v>231</v>
      </c>
      <c r="H134" s="59">
        <v>-64.37</v>
      </c>
      <c r="I134" s="59">
        <v>-66.23</v>
      </c>
      <c r="J134" s="59">
        <v>0.18</v>
      </c>
      <c r="K134" s="59">
        <v>0.12</v>
      </c>
      <c r="L134" s="59">
        <v>0.69</v>
      </c>
      <c r="M134" s="59">
        <v>0.38</v>
      </c>
      <c r="N134" s="59"/>
    </row>
    <row r="135" spans="1:14">
      <c r="A135" s="59">
        <v>96</v>
      </c>
      <c r="B135" s="59" t="s">
        <v>418</v>
      </c>
      <c r="C135" s="59" t="s">
        <v>24</v>
      </c>
      <c r="D135" s="24">
        <v>20</v>
      </c>
      <c r="E135" s="24">
        <v>24</v>
      </c>
      <c r="F135" s="24">
        <v>78</v>
      </c>
      <c r="G135" s="24">
        <v>204</v>
      </c>
      <c r="H135" s="59">
        <v>-16.670000000000002</v>
      </c>
      <c r="I135" s="59">
        <v>-61.76</v>
      </c>
      <c r="J135" s="59">
        <v>0.11</v>
      </c>
      <c r="K135" s="59">
        <v>0.12</v>
      </c>
      <c r="L135" s="59">
        <v>0.19</v>
      </c>
      <c r="M135" s="59">
        <v>0.34</v>
      </c>
      <c r="N135" s="59"/>
    </row>
    <row r="136" spans="1:14">
      <c r="A136" s="59">
        <v>97</v>
      </c>
      <c r="B136" s="59" t="s">
        <v>735</v>
      </c>
      <c r="C136" s="59" t="s">
        <v>24</v>
      </c>
      <c r="D136" s="24">
        <v>29</v>
      </c>
      <c r="E136" s="24">
        <v>0</v>
      </c>
      <c r="F136" s="24">
        <v>78</v>
      </c>
      <c r="G136" s="24">
        <v>0</v>
      </c>
      <c r="H136" s="59">
        <v>0</v>
      </c>
      <c r="I136" s="59">
        <v>0</v>
      </c>
      <c r="J136" s="59">
        <v>0.16</v>
      </c>
      <c r="K136" s="59">
        <v>0.12</v>
      </c>
      <c r="L136" s="59">
        <v>0</v>
      </c>
      <c r="M136" s="59">
        <v>0</v>
      </c>
      <c r="N136" s="59"/>
    </row>
    <row r="137" spans="1:14" hidden="1">
      <c r="A137" s="59">
        <v>98</v>
      </c>
      <c r="B137" s="59" t="s">
        <v>245</v>
      </c>
      <c r="C137" s="59" t="s">
        <v>23</v>
      </c>
      <c r="D137" s="24">
        <v>9</v>
      </c>
      <c r="E137" s="24">
        <v>13</v>
      </c>
      <c r="F137" s="24">
        <v>74</v>
      </c>
      <c r="G137" s="24">
        <v>49</v>
      </c>
      <c r="H137" s="59">
        <v>-30.77</v>
      </c>
      <c r="I137" s="59">
        <v>51.02</v>
      </c>
      <c r="J137" s="59">
        <v>0.05</v>
      </c>
      <c r="K137" s="59">
        <v>0.11</v>
      </c>
      <c r="L137" s="59">
        <v>0.1</v>
      </c>
      <c r="M137" s="59">
        <v>0.08</v>
      </c>
      <c r="N137" s="59"/>
    </row>
    <row r="138" spans="1:14" hidden="1">
      <c r="A138" s="59">
        <v>99</v>
      </c>
      <c r="B138" s="59" t="s">
        <v>521</v>
      </c>
      <c r="C138" s="59" t="s">
        <v>23</v>
      </c>
      <c r="D138" s="24">
        <v>23</v>
      </c>
      <c r="E138" s="24">
        <v>18</v>
      </c>
      <c r="F138" s="24">
        <v>73</v>
      </c>
      <c r="G138" s="24">
        <v>99</v>
      </c>
      <c r="H138" s="59">
        <v>27.78</v>
      </c>
      <c r="I138" s="59">
        <v>-26.26</v>
      </c>
      <c r="J138" s="59">
        <v>0.13</v>
      </c>
      <c r="K138" s="59">
        <v>0.11</v>
      </c>
      <c r="L138" s="59">
        <v>0.14000000000000001</v>
      </c>
      <c r="M138" s="59">
        <v>0.16</v>
      </c>
      <c r="N138" s="59"/>
    </row>
    <row r="139" spans="1:14" hidden="1">
      <c r="A139" s="59">
        <v>100</v>
      </c>
      <c r="B139" s="59" t="s">
        <v>439</v>
      </c>
      <c r="C139" s="59" t="s">
        <v>23</v>
      </c>
      <c r="D139" s="24">
        <v>47</v>
      </c>
      <c r="E139" s="24">
        <v>26</v>
      </c>
      <c r="F139" s="24">
        <v>72</v>
      </c>
      <c r="G139" s="24">
        <v>107</v>
      </c>
      <c r="H139" s="59">
        <v>80.77</v>
      </c>
      <c r="I139" s="59">
        <v>-32.71</v>
      </c>
      <c r="J139" s="59">
        <v>0.27</v>
      </c>
      <c r="K139" s="59">
        <v>0.11</v>
      </c>
      <c r="L139" s="59">
        <v>0.21</v>
      </c>
      <c r="M139" s="59">
        <v>0.18</v>
      </c>
      <c r="N139" s="59"/>
    </row>
    <row r="140" spans="1:14" hidden="1">
      <c r="A140" s="59">
        <v>101</v>
      </c>
      <c r="B140" s="59" t="s">
        <v>430</v>
      </c>
      <c r="C140" s="59" t="s">
        <v>23</v>
      </c>
      <c r="D140" s="24">
        <v>7</v>
      </c>
      <c r="E140" s="24">
        <v>42</v>
      </c>
      <c r="F140" s="24">
        <v>70</v>
      </c>
      <c r="G140" s="24">
        <v>289</v>
      </c>
      <c r="H140" s="59">
        <v>-83.33</v>
      </c>
      <c r="I140" s="59">
        <v>-75.78</v>
      </c>
      <c r="J140" s="59">
        <v>0.04</v>
      </c>
      <c r="K140" s="59">
        <v>0.11</v>
      </c>
      <c r="L140" s="59">
        <v>0.34</v>
      </c>
      <c r="M140" s="59">
        <v>0.48</v>
      </c>
      <c r="N140" s="59"/>
    </row>
    <row r="141" spans="1:14">
      <c r="A141" s="59">
        <v>102</v>
      </c>
      <c r="B141" s="59" t="s">
        <v>1013</v>
      </c>
      <c r="C141" s="59" t="s">
        <v>24</v>
      </c>
      <c r="D141" s="24">
        <v>15</v>
      </c>
      <c r="E141" s="24">
        <v>0</v>
      </c>
      <c r="F141" s="24">
        <v>70</v>
      </c>
      <c r="G141" s="24">
        <v>0</v>
      </c>
      <c r="H141" s="59">
        <v>0</v>
      </c>
      <c r="I141" s="59">
        <v>0</v>
      </c>
      <c r="J141" s="59">
        <v>0.09</v>
      </c>
      <c r="K141" s="59">
        <v>0.11</v>
      </c>
      <c r="L141" s="59">
        <v>0</v>
      </c>
      <c r="M141" s="59">
        <v>0</v>
      </c>
      <c r="N141" s="59"/>
    </row>
    <row r="142" spans="1:14" hidden="1">
      <c r="A142" s="59">
        <v>103</v>
      </c>
      <c r="B142" s="59" t="s">
        <v>1068</v>
      </c>
      <c r="C142" s="59" t="s">
        <v>23</v>
      </c>
      <c r="D142" s="24">
        <v>3</v>
      </c>
      <c r="E142" s="24">
        <v>0</v>
      </c>
      <c r="F142" s="24">
        <v>66</v>
      </c>
      <c r="G142" s="24">
        <v>0</v>
      </c>
      <c r="H142" s="59">
        <v>0</v>
      </c>
      <c r="I142" s="59">
        <v>0</v>
      </c>
      <c r="J142" s="59">
        <v>0.02</v>
      </c>
      <c r="K142" s="59">
        <v>0.1</v>
      </c>
      <c r="L142" s="59">
        <v>0</v>
      </c>
      <c r="M142" s="59">
        <v>0</v>
      </c>
      <c r="N142" s="59"/>
    </row>
    <row r="143" spans="1:14" hidden="1">
      <c r="A143" s="59">
        <v>104</v>
      </c>
      <c r="B143" s="59" t="s">
        <v>1129</v>
      </c>
      <c r="C143" s="59" t="s">
        <v>23</v>
      </c>
      <c r="D143" s="24">
        <v>15</v>
      </c>
      <c r="E143" s="24">
        <v>0</v>
      </c>
      <c r="F143" s="24">
        <v>64</v>
      </c>
      <c r="G143" s="24">
        <v>0</v>
      </c>
      <c r="H143" s="59">
        <v>0</v>
      </c>
      <c r="I143" s="59">
        <v>0</v>
      </c>
      <c r="J143" s="59">
        <v>0.09</v>
      </c>
      <c r="K143" s="59">
        <v>0.1</v>
      </c>
      <c r="L143" s="59">
        <v>0</v>
      </c>
      <c r="M143" s="59">
        <v>0</v>
      </c>
      <c r="N143" s="59"/>
    </row>
    <row r="144" spans="1:14">
      <c r="A144" s="59">
        <v>105</v>
      </c>
      <c r="B144" s="59" t="s">
        <v>453</v>
      </c>
      <c r="C144" s="59" t="s">
        <v>24</v>
      </c>
      <c r="D144" s="24">
        <v>26</v>
      </c>
      <c r="E144" s="24">
        <v>69</v>
      </c>
      <c r="F144" s="24">
        <v>62</v>
      </c>
      <c r="G144" s="24">
        <v>219</v>
      </c>
      <c r="H144" s="59">
        <v>-62.32</v>
      </c>
      <c r="I144" s="59">
        <v>-71.69</v>
      </c>
      <c r="J144" s="59">
        <v>0.15</v>
      </c>
      <c r="K144" s="59">
        <v>0.1</v>
      </c>
      <c r="L144" s="59">
        <v>0.55000000000000004</v>
      </c>
      <c r="M144" s="59">
        <v>0.36</v>
      </c>
      <c r="N144" s="59"/>
    </row>
    <row r="145" spans="1:14">
      <c r="A145" s="59">
        <v>106</v>
      </c>
      <c r="B145" s="59" t="s">
        <v>687</v>
      </c>
      <c r="C145" s="59" t="s">
        <v>24</v>
      </c>
      <c r="D145" s="24">
        <v>15</v>
      </c>
      <c r="E145" s="24">
        <v>16</v>
      </c>
      <c r="F145" s="24">
        <v>57</v>
      </c>
      <c r="G145" s="24">
        <v>110</v>
      </c>
      <c r="H145" s="59">
        <v>-6.25</v>
      </c>
      <c r="I145" s="59">
        <v>-48.18</v>
      </c>
      <c r="J145" s="59">
        <v>0.09</v>
      </c>
      <c r="K145" s="59">
        <v>0.09</v>
      </c>
      <c r="L145" s="59">
        <v>0.13</v>
      </c>
      <c r="M145" s="59">
        <v>0.18</v>
      </c>
      <c r="N145" s="59"/>
    </row>
    <row r="146" spans="1:14" hidden="1">
      <c r="A146" s="59">
        <v>107</v>
      </c>
      <c r="B146" s="59" t="s">
        <v>157</v>
      </c>
      <c r="C146" s="59" t="s">
        <v>23</v>
      </c>
      <c r="D146" s="24">
        <v>1</v>
      </c>
      <c r="E146" s="24">
        <v>18</v>
      </c>
      <c r="F146" s="24">
        <v>57</v>
      </c>
      <c r="G146" s="24">
        <v>78</v>
      </c>
      <c r="H146" s="59">
        <v>-94.44</v>
      </c>
      <c r="I146" s="59">
        <v>-26.92</v>
      </c>
      <c r="J146" s="59">
        <v>0.01</v>
      </c>
      <c r="K146" s="59">
        <v>0.09</v>
      </c>
      <c r="L146" s="59">
        <v>0.14000000000000001</v>
      </c>
      <c r="M146" s="59">
        <v>0.13</v>
      </c>
      <c r="N146" s="59"/>
    </row>
    <row r="147" spans="1:14">
      <c r="A147" s="59">
        <v>215</v>
      </c>
      <c r="B147" s="59" t="s">
        <v>457</v>
      </c>
      <c r="C147" s="59" t="s">
        <v>24</v>
      </c>
      <c r="D147" s="24">
        <v>16</v>
      </c>
      <c r="E147" s="24">
        <v>12</v>
      </c>
      <c r="F147" s="24">
        <v>55</v>
      </c>
      <c r="G147" s="24">
        <v>49</v>
      </c>
      <c r="H147" s="59">
        <v>33.33</v>
      </c>
      <c r="I147" s="59">
        <v>12.24</v>
      </c>
      <c r="J147" s="59">
        <v>0.09</v>
      </c>
      <c r="K147" s="59">
        <v>0.08</v>
      </c>
      <c r="L147" s="59">
        <v>0.1</v>
      </c>
      <c r="M147" s="59">
        <v>0.08</v>
      </c>
      <c r="N147" s="59"/>
    </row>
    <row r="148" spans="1:14">
      <c r="A148" s="59">
        <v>108</v>
      </c>
      <c r="B148" s="59" t="s">
        <v>665</v>
      </c>
      <c r="C148" s="59" t="s">
        <v>24</v>
      </c>
      <c r="D148" s="24">
        <v>9</v>
      </c>
      <c r="E148" s="24">
        <v>205</v>
      </c>
      <c r="F148" s="24">
        <v>54</v>
      </c>
      <c r="G148" s="24">
        <v>442</v>
      </c>
      <c r="H148" s="59">
        <v>-95.61</v>
      </c>
      <c r="I148" s="59">
        <v>-87.78</v>
      </c>
      <c r="J148" s="59">
        <v>0.05</v>
      </c>
      <c r="K148" s="59">
        <v>0.08</v>
      </c>
      <c r="L148" s="59">
        <v>1.64</v>
      </c>
      <c r="M148" s="59">
        <v>0.73</v>
      </c>
      <c r="N148" s="59"/>
    </row>
    <row r="149" spans="1:14">
      <c r="A149" s="59">
        <v>109</v>
      </c>
      <c r="B149" s="59" t="s">
        <v>1072</v>
      </c>
      <c r="C149" s="59" t="s">
        <v>24</v>
      </c>
      <c r="D149" s="24">
        <v>15</v>
      </c>
      <c r="E149" s="24">
        <v>0</v>
      </c>
      <c r="F149" s="24">
        <v>54</v>
      </c>
      <c r="G149" s="24">
        <v>0</v>
      </c>
      <c r="H149" s="59">
        <v>0</v>
      </c>
      <c r="I149" s="59">
        <v>0</v>
      </c>
      <c r="J149" s="59">
        <v>0.09</v>
      </c>
      <c r="K149" s="59">
        <v>0.08</v>
      </c>
      <c r="L149" s="59">
        <v>0</v>
      </c>
      <c r="M149" s="59">
        <v>0</v>
      </c>
      <c r="N149" s="59"/>
    </row>
    <row r="150" spans="1:14" hidden="1">
      <c r="A150" s="59">
        <v>110</v>
      </c>
      <c r="B150" s="59" t="s">
        <v>1126</v>
      </c>
      <c r="C150" s="59" t="s">
        <v>23</v>
      </c>
      <c r="D150" s="24">
        <v>23</v>
      </c>
      <c r="E150" s="24">
        <v>0</v>
      </c>
      <c r="F150" s="24">
        <v>54</v>
      </c>
      <c r="G150" s="24">
        <v>0</v>
      </c>
      <c r="H150" s="59">
        <v>0</v>
      </c>
      <c r="I150" s="59">
        <v>0</v>
      </c>
      <c r="J150" s="59">
        <v>0.13</v>
      </c>
      <c r="K150" s="59">
        <v>0.08</v>
      </c>
      <c r="L150" s="59">
        <v>0</v>
      </c>
      <c r="M150" s="59">
        <v>0</v>
      </c>
      <c r="N150" s="59"/>
    </row>
    <row r="151" spans="1:14" hidden="1">
      <c r="A151" s="59">
        <v>111</v>
      </c>
      <c r="B151" s="59" t="s">
        <v>516</v>
      </c>
      <c r="C151" s="59" t="s">
        <v>23</v>
      </c>
      <c r="D151" s="24">
        <v>11</v>
      </c>
      <c r="E151" s="24">
        <v>20</v>
      </c>
      <c r="F151" s="24">
        <v>53</v>
      </c>
      <c r="G151" s="24">
        <v>78</v>
      </c>
      <c r="H151" s="59">
        <v>-45</v>
      </c>
      <c r="I151" s="59">
        <v>-32.049999999999997</v>
      </c>
      <c r="J151" s="59">
        <v>0.06</v>
      </c>
      <c r="K151" s="59">
        <v>0.08</v>
      </c>
      <c r="L151" s="59">
        <v>0.16</v>
      </c>
      <c r="M151" s="59">
        <v>0.13</v>
      </c>
      <c r="N151" s="59"/>
    </row>
    <row r="152" spans="1:14" hidden="1">
      <c r="A152" s="59">
        <v>112</v>
      </c>
      <c r="B152" s="59" t="s">
        <v>623</v>
      </c>
      <c r="C152" s="59" t="s">
        <v>23</v>
      </c>
      <c r="D152" s="24">
        <v>2</v>
      </c>
      <c r="E152" s="24">
        <v>2</v>
      </c>
      <c r="F152" s="24">
        <v>52</v>
      </c>
      <c r="G152" s="24">
        <v>42</v>
      </c>
      <c r="H152" s="67">
        <v>0</v>
      </c>
      <c r="I152" s="67">
        <v>23.81</v>
      </c>
      <c r="J152" s="59">
        <v>0.01</v>
      </c>
      <c r="K152" s="59">
        <v>0.08</v>
      </c>
      <c r="L152" s="59">
        <v>0.02</v>
      </c>
      <c r="M152" s="59">
        <v>7.0000000000000007E-2</v>
      </c>
      <c r="N152" s="59"/>
    </row>
    <row r="153" spans="1:14">
      <c r="A153" s="59">
        <v>113</v>
      </c>
      <c r="B153" s="59" t="s">
        <v>680</v>
      </c>
      <c r="C153" s="59" t="s">
        <v>24</v>
      </c>
      <c r="D153" s="24">
        <v>6</v>
      </c>
      <c r="E153" s="24">
        <v>20</v>
      </c>
      <c r="F153" s="24">
        <v>50</v>
      </c>
      <c r="G153" s="24">
        <v>23</v>
      </c>
      <c r="H153" s="59">
        <v>-70</v>
      </c>
      <c r="I153" s="59">
        <v>117.39</v>
      </c>
      <c r="J153" s="59">
        <v>0.03</v>
      </c>
      <c r="K153" s="59">
        <v>0.08</v>
      </c>
      <c r="L153" s="59">
        <v>0.16</v>
      </c>
      <c r="M153" s="59">
        <v>0.04</v>
      </c>
      <c r="N153" s="59"/>
    </row>
    <row r="154" spans="1:14" hidden="1">
      <c r="A154" s="59">
        <v>114</v>
      </c>
      <c r="B154" s="59" t="s">
        <v>575</v>
      </c>
      <c r="C154" s="59" t="s">
        <v>23</v>
      </c>
      <c r="D154" s="24">
        <v>1</v>
      </c>
      <c r="E154" s="24">
        <v>17</v>
      </c>
      <c r="F154" s="24">
        <v>48</v>
      </c>
      <c r="G154" s="24">
        <v>78</v>
      </c>
      <c r="H154" s="59">
        <v>-94.12</v>
      </c>
      <c r="I154" s="59">
        <v>-38.46</v>
      </c>
      <c r="J154" s="59">
        <v>0.01</v>
      </c>
      <c r="K154" s="59">
        <v>7.0000000000000007E-2</v>
      </c>
      <c r="L154" s="59">
        <v>0.14000000000000001</v>
      </c>
      <c r="M154" s="59">
        <v>0.13</v>
      </c>
      <c r="N154" s="59"/>
    </row>
    <row r="155" spans="1:14" hidden="1">
      <c r="A155" s="59">
        <v>115</v>
      </c>
      <c r="B155" s="59" t="s">
        <v>1166</v>
      </c>
      <c r="C155" s="59" t="s">
        <v>23</v>
      </c>
      <c r="D155" s="24">
        <v>9</v>
      </c>
      <c r="E155" s="24">
        <v>0</v>
      </c>
      <c r="F155" s="24">
        <v>47</v>
      </c>
      <c r="G155" s="24">
        <v>0</v>
      </c>
      <c r="H155" s="59">
        <v>0</v>
      </c>
      <c r="I155" s="59">
        <v>0</v>
      </c>
      <c r="J155" s="59">
        <v>0.05</v>
      </c>
      <c r="K155" s="59">
        <v>7.0000000000000007E-2</v>
      </c>
      <c r="L155" s="59">
        <v>0</v>
      </c>
      <c r="M155" s="59">
        <v>0</v>
      </c>
      <c r="N155" s="59"/>
    </row>
    <row r="156" spans="1:14" hidden="1">
      <c r="A156" s="59">
        <v>116</v>
      </c>
      <c r="B156" s="59" t="s">
        <v>79</v>
      </c>
      <c r="C156" s="59" t="s">
        <v>23</v>
      </c>
      <c r="D156" s="24">
        <v>8</v>
      </c>
      <c r="E156" s="24">
        <v>74</v>
      </c>
      <c r="F156" s="24">
        <v>46</v>
      </c>
      <c r="G156" s="24">
        <v>626</v>
      </c>
      <c r="H156" s="59">
        <v>-89.19</v>
      </c>
      <c r="I156" s="59">
        <v>-92.65</v>
      </c>
      <c r="J156" s="59">
        <v>0.05</v>
      </c>
      <c r="K156" s="59">
        <v>7.0000000000000007E-2</v>
      </c>
      <c r="L156" s="59">
        <v>0.59</v>
      </c>
      <c r="M156" s="59">
        <v>1.04</v>
      </c>
      <c r="N156" s="59"/>
    </row>
    <row r="157" spans="1:14">
      <c r="A157" s="59">
        <v>117</v>
      </c>
      <c r="B157" s="59" t="s">
        <v>1058</v>
      </c>
      <c r="C157" s="59" t="s">
        <v>24</v>
      </c>
      <c r="D157" s="24">
        <v>3</v>
      </c>
      <c r="E157" s="24">
        <v>0</v>
      </c>
      <c r="F157" s="24">
        <v>45</v>
      </c>
      <c r="G157" s="24">
        <v>0</v>
      </c>
      <c r="H157" s="59">
        <v>0</v>
      </c>
      <c r="I157" s="59">
        <v>0</v>
      </c>
      <c r="J157" s="59">
        <v>0.02</v>
      </c>
      <c r="K157" s="59">
        <v>7.0000000000000007E-2</v>
      </c>
      <c r="L157" s="59">
        <v>0</v>
      </c>
      <c r="M157" s="59">
        <v>0</v>
      </c>
      <c r="N157" s="59"/>
    </row>
    <row r="158" spans="1:14" hidden="1">
      <c r="A158" s="59">
        <v>118</v>
      </c>
      <c r="B158" s="59" t="s">
        <v>135</v>
      </c>
      <c r="C158" s="59" t="s">
        <v>23</v>
      </c>
      <c r="D158" s="24">
        <v>7</v>
      </c>
      <c r="E158" s="24">
        <v>2</v>
      </c>
      <c r="F158" s="24">
        <v>43</v>
      </c>
      <c r="G158" s="24">
        <v>15</v>
      </c>
      <c r="H158" s="59">
        <v>250</v>
      </c>
      <c r="I158" s="59">
        <v>186.67</v>
      </c>
      <c r="J158" s="59">
        <v>0.04</v>
      </c>
      <c r="K158" s="59">
        <v>7.0000000000000007E-2</v>
      </c>
      <c r="L158" s="59">
        <v>0.02</v>
      </c>
      <c r="M158" s="59">
        <v>0.02</v>
      </c>
      <c r="N158" s="59"/>
    </row>
    <row r="159" spans="1:14" hidden="1">
      <c r="A159" s="59">
        <v>119</v>
      </c>
      <c r="B159" s="59" t="s">
        <v>621</v>
      </c>
      <c r="C159" s="59" t="s">
        <v>23</v>
      </c>
      <c r="D159" s="24">
        <v>26</v>
      </c>
      <c r="E159" s="24">
        <v>30</v>
      </c>
      <c r="F159" s="24">
        <v>40</v>
      </c>
      <c r="G159" s="24">
        <v>140</v>
      </c>
      <c r="H159" s="59">
        <v>-13.33</v>
      </c>
      <c r="I159" s="59">
        <v>-71.430000000000007</v>
      </c>
      <c r="J159" s="59">
        <v>0.15</v>
      </c>
      <c r="K159" s="59">
        <v>0.06</v>
      </c>
      <c r="L159" s="59">
        <v>0.24</v>
      </c>
      <c r="M159" s="59">
        <v>0.23</v>
      </c>
      <c r="N159" s="59"/>
    </row>
    <row r="160" spans="1:14" hidden="1">
      <c r="A160" s="59">
        <v>120</v>
      </c>
      <c r="B160" s="59" t="s">
        <v>1090</v>
      </c>
      <c r="C160" s="59" t="s">
        <v>23</v>
      </c>
      <c r="D160" s="24">
        <v>10</v>
      </c>
      <c r="E160" s="24">
        <v>0</v>
      </c>
      <c r="F160" s="24">
        <v>39</v>
      </c>
      <c r="G160" s="24">
        <v>0</v>
      </c>
      <c r="H160" s="59">
        <v>0</v>
      </c>
      <c r="I160" s="59">
        <v>0</v>
      </c>
      <c r="J160" s="59">
        <v>0.06</v>
      </c>
      <c r="K160" s="59">
        <v>0.06</v>
      </c>
      <c r="L160" s="59">
        <v>0</v>
      </c>
      <c r="M160" s="59">
        <v>0</v>
      </c>
      <c r="N160" s="59"/>
    </row>
    <row r="161" spans="1:14" hidden="1">
      <c r="A161" s="59">
        <v>121</v>
      </c>
      <c r="B161" s="59" t="s">
        <v>448</v>
      </c>
      <c r="C161" s="59" t="s">
        <v>23</v>
      </c>
      <c r="D161" s="24">
        <v>8</v>
      </c>
      <c r="E161" s="24">
        <v>8</v>
      </c>
      <c r="F161" s="24">
        <v>38</v>
      </c>
      <c r="G161" s="24">
        <v>44</v>
      </c>
      <c r="H161" s="59">
        <v>0</v>
      </c>
      <c r="I161" s="59">
        <v>-13.64</v>
      </c>
      <c r="J161" s="59">
        <v>0.05</v>
      </c>
      <c r="K161" s="59">
        <v>0.06</v>
      </c>
      <c r="L161" s="59">
        <v>0.06</v>
      </c>
      <c r="M161" s="59">
        <v>7.0000000000000007E-2</v>
      </c>
      <c r="N161" s="59"/>
    </row>
    <row r="162" spans="1:14" hidden="1">
      <c r="A162" s="59">
        <v>122</v>
      </c>
      <c r="B162" s="59" t="s">
        <v>636</v>
      </c>
      <c r="C162" s="59" t="s">
        <v>23</v>
      </c>
      <c r="D162" s="24">
        <v>2</v>
      </c>
      <c r="E162" s="24">
        <v>5</v>
      </c>
      <c r="F162" s="24">
        <v>37</v>
      </c>
      <c r="G162" s="24">
        <v>26</v>
      </c>
      <c r="H162" s="59">
        <v>-60</v>
      </c>
      <c r="I162" s="59">
        <v>42.31</v>
      </c>
      <c r="J162" s="59">
        <v>0.01</v>
      </c>
      <c r="K162" s="59">
        <v>0.06</v>
      </c>
      <c r="L162" s="59">
        <v>0.04</v>
      </c>
      <c r="M162" s="59">
        <v>0.04</v>
      </c>
      <c r="N162" s="59"/>
    </row>
    <row r="163" spans="1:14" hidden="1">
      <c r="A163" s="59">
        <v>123</v>
      </c>
      <c r="B163" s="59" t="s">
        <v>456</v>
      </c>
      <c r="C163" s="59" t="s">
        <v>23</v>
      </c>
      <c r="D163" s="24">
        <v>4</v>
      </c>
      <c r="E163" s="24">
        <v>0</v>
      </c>
      <c r="F163" s="24">
        <v>36</v>
      </c>
      <c r="G163" s="24">
        <v>23</v>
      </c>
      <c r="H163" s="59">
        <v>0</v>
      </c>
      <c r="I163" s="59">
        <v>56.52</v>
      </c>
      <c r="J163" s="59">
        <v>0.02</v>
      </c>
      <c r="K163" s="59">
        <v>0.06</v>
      </c>
      <c r="L163" s="59">
        <v>0</v>
      </c>
      <c r="M163" s="59">
        <v>0.04</v>
      </c>
      <c r="N163" s="59"/>
    </row>
    <row r="164" spans="1:14">
      <c r="A164" s="59">
        <v>124</v>
      </c>
      <c r="B164" s="59" t="s">
        <v>1094</v>
      </c>
      <c r="C164" s="59" t="s">
        <v>24</v>
      </c>
      <c r="D164" s="24">
        <v>12</v>
      </c>
      <c r="E164" s="24">
        <v>0</v>
      </c>
      <c r="F164" s="24">
        <v>36</v>
      </c>
      <c r="G164" s="24">
        <v>0</v>
      </c>
      <c r="H164" s="59">
        <v>0</v>
      </c>
      <c r="I164" s="59">
        <v>0</v>
      </c>
      <c r="J164" s="59">
        <v>7.0000000000000007E-2</v>
      </c>
      <c r="K164" s="59">
        <v>0.06</v>
      </c>
      <c r="L164" s="59">
        <v>0</v>
      </c>
      <c r="M164" s="59">
        <v>0</v>
      </c>
      <c r="N164" s="59"/>
    </row>
    <row r="165" spans="1:14">
      <c r="A165" s="59">
        <v>125</v>
      </c>
      <c r="B165" s="59" t="s">
        <v>1091</v>
      </c>
      <c r="C165" s="59" t="s">
        <v>24</v>
      </c>
      <c r="D165" s="24">
        <v>3</v>
      </c>
      <c r="E165" s="24">
        <v>0</v>
      </c>
      <c r="F165" s="24">
        <v>35</v>
      </c>
      <c r="G165" s="24">
        <v>0</v>
      </c>
      <c r="H165" s="59">
        <v>0</v>
      </c>
      <c r="I165" s="59">
        <v>0</v>
      </c>
      <c r="J165" s="59">
        <v>0.02</v>
      </c>
      <c r="K165" s="59">
        <v>0.05</v>
      </c>
      <c r="L165" s="59">
        <v>0</v>
      </c>
      <c r="M165" s="59">
        <v>0</v>
      </c>
      <c r="N165" s="59"/>
    </row>
    <row r="166" spans="1:14" hidden="1">
      <c r="A166" s="59">
        <v>126</v>
      </c>
      <c r="B166" s="59" t="s">
        <v>673</v>
      </c>
      <c r="C166" s="59" t="s">
        <v>23</v>
      </c>
      <c r="D166" s="24">
        <v>11</v>
      </c>
      <c r="E166" s="24">
        <v>0</v>
      </c>
      <c r="F166" s="24">
        <v>34</v>
      </c>
      <c r="G166" s="24">
        <v>68</v>
      </c>
      <c r="H166" s="59">
        <v>0</v>
      </c>
      <c r="I166" s="59">
        <v>-50</v>
      </c>
      <c r="J166" s="59">
        <v>0.06</v>
      </c>
      <c r="K166" s="59">
        <v>0.05</v>
      </c>
      <c r="L166" s="59">
        <v>0</v>
      </c>
      <c r="M166" s="59">
        <v>0.11</v>
      </c>
      <c r="N166" s="59"/>
    </row>
    <row r="167" spans="1:14" hidden="1">
      <c r="A167" s="59">
        <v>127</v>
      </c>
      <c r="B167" s="59" t="s">
        <v>447</v>
      </c>
      <c r="C167" s="59" t="s">
        <v>23</v>
      </c>
      <c r="D167" s="24">
        <v>3</v>
      </c>
      <c r="E167" s="24">
        <v>6</v>
      </c>
      <c r="F167" s="24">
        <v>34</v>
      </c>
      <c r="G167" s="24">
        <v>24</v>
      </c>
      <c r="H167" s="59">
        <v>-50</v>
      </c>
      <c r="I167" s="59">
        <v>41.67</v>
      </c>
      <c r="J167" s="59">
        <v>0.02</v>
      </c>
      <c r="K167" s="59">
        <v>0.05</v>
      </c>
      <c r="L167" s="59">
        <v>0.05</v>
      </c>
      <c r="M167" s="59">
        <v>0.04</v>
      </c>
      <c r="N167" s="59"/>
    </row>
    <row r="168" spans="1:14">
      <c r="A168" s="59">
        <v>128</v>
      </c>
      <c r="B168" s="59" t="s">
        <v>1069</v>
      </c>
      <c r="C168" s="59" t="s">
        <v>24</v>
      </c>
      <c r="D168" s="24">
        <v>9</v>
      </c>
      <c r="E168" s="24">
        <v>0</v>
      </c>
      <c r="F168" s="24">
        <v>31</v>
      </c>
      <c r="G168" s="24">
        <v>0</v>
      </c>
      <c r="H168" s="59">
        <v>0</v>
      </c>
      <c r="I168" s="59">
        <v>0</v>
      </c>
      <c r="J168" s="59">
        <v>0.05</v>
      </c>
      <c r="K168" s="59">
        <v>0.05</v>
      </c>
      <c r="L168" s="59">
        <v>0</v>
      </c>
      <c r="M168" s="59">
        <v>0</v>
      </c>
      <c r="N168" s="59"/>
    </row>
    <row r="169" spans="1:14">
      <c r="A169" s="59">
        <v>129</v>
      </c>
      <c r="B169" s="59" t="s">
        <v>523</v>
      </c>
      <c r="C169" s="59" t="s">
        <v>24</v>
      </c>
      <c r="D169" s="24">
        <v>12</v>
      </c>
      <c r="E169" s="24">
        <v>10</v>
      </c>
      <c r="F169" s="24">
        <v>30</v>
      </c>
      <c r="G169" s="24">
        <v>41</v>
      </c>
      <c r="H169" s="59">
        <v>20</v>
      </c>
      <c r="I169" s="59">
        <v>-26.83</v>
      </c>
      <c r="J169" s="59">
        <v>7.0000000000000007E-2</v>
      </c>
      <c r="K169" s="59">
        <v>0.05</v>
      </c>
      <c r="L169" s="59">
        <v>0.08</v>
      </c>
      <c r="M169" s="59">
        <v>7.0000000000000007E-2</v>
      </c>
      <c r="N169" s="59"/>
    </row>
    <row r="170" spans="1:14" hidden="1">
      <c r="A170" s="59">
        <v>130</v>
      </c>
      <c r="B170" s="59" t="s">
        <v>449</v>
      </c>
      <c r="C170" s="59" t="s">
        <v>23</v>
      </c>
      <c r="D170" s="24">
        <v>0</v>
      </c>
      <c r="E170" s="24">
        <v>6</v>
      </c>
      <c r="F170" s="24">
        <v>30</v>
      </c>
      <c r="G170" s="24">
        <v>39</v>
      </c>
      <c r="H170" s="59">
        <v>-100</v>
      </c>
      <c r="I170" s="59">
        <v>-23.08</v>
      </c>
      <c r="J170" s="59">
        <v>0</v>
      </c>
      <c r="K170" s="59">
        <v>0.05</v>
      </c>
      <c r="L170" s="59">
        <v>0.05</v>
      </c>
      <c r="M170" s="59">
        <v>0.06</v>
      </c>
      <c r="N170" s="59"/>
    </row>
    <row r="171" spans="1:14" hidden="1">
      <c r="A171" s="59">
        <v>131</v>
      </c>
      <c r="B171" s="59" t="s">
        <v>149</v>
      </c>
      <c r="C171" s="59" t="s">
        <v>23</v>
      </c>
      <c r="D171" s="24">
        <v>6</v>
      </c>
      <c r="E171" s="24">
        <v>24</v>
      </c>
      <c r="F171" s="24">
        <v>29</v>
      </c>
      <c r="G171" s="24">
        <v>59</v>
      </c>
      <c r="H171" s="59">
        <v>-75</v>
      </c>
      <c r="I171" s="59">
        <v>-50.85</v>
      </c>
      <c r="J171" s="59">
        <v>0.03</v>
      </c>
      <c r="K171" s="59">
        <v>0.04</v>
      </c>
      <c r="L171" s="59">
        <v>0.19</v>
      </c>
      <c r="M171" s="59">
        <v>0.1</v>
      </c>
      <c r="N171" s="59"/>
    </row>
    <row r="172" spans="1:14" hidden="1">
      <c r="A172" s="59">
        <v>132</v>
      </c>
      <c r="B172" s="59" t="s">
        <v>1019</v>
      </c>
      <c r="C172" s="59" t="s">
        <v>23</v>
      </c>
      <c r="D172" s="24">
        <v>11</v>
      </c>
      <c r="E172" s="24">
        <v>0</v>
      </c>
      <c r="F172" s="24">
        <v>29</v>
      </c>
      <c r="G172" s="24">
        <v>0</v>
      </c>
      <c r="H172" s="59">
        <v>0</v>
      </c>
      <c r="I172" s="59">
        <v>0</v>
      </c>
      <c r="J172" s="59">
        <v>0.06</v>
      </c>
      <c r="K172" s="59">
        <v>0.04</v>
      </c>
      <c r="L172" s="59">
        <v>0</v>
      </c>
      <c r="M172" s="59">
        <v>0</v>
      </c>
      <c r="N172" s="59"/>
    </row>
    <row r="173" spans="1:14">
      <c r="A173" s="59">
        <v>133</v>
      </c>
      <c r="B173" s="59" t="s">
        <v>1114</v>
      </c>
      <c r="C173" s="59" t="s">
        <v>24</v>
      </c>
      <c r="D173" s="24">
        <v>4</v>
      </c>
      <c r="E173" s="24">
        <v>0</v>
      </c>
      <c r="F173" s="24">
        <v>29</v>
      </c>
      <c r="G173" s="24">
        <v>0</v>
      </c>
      <c r="H173" s="59">
        <v>0</v>
      </c>
      <c r="I173" s="59">
        <v>0</v>
      </c>
      <c r="J173" s="59">
        <v>0.02</v>
      </c>
      <c r="K173" s="59">
        <v>0.04</v>
      </c>
      <c r="L173" s="59">
        <v>0</v>
      </c>
      <c r="M173" s="59">
        <v>0</v>
      </c>
      <c r="N173" s="59"/>
    </row>
    <row r="174" spans="1:14">
      <c r="A174" s="59">
        <v>134</v>
      </c>
      <c r="B174" s="59" t="s">
        <v>1127</v>
      </c>
      <c r="C174" s="59" t="s">
        <v>24</v>
      </c>
      <c r="D174" s="24">
        <v>12</v>
      </c>
      <c r="E174" s="24">
        <v>4</v>
      </c>
      <c r="F174" s="24">
        <v>28</v>
      </c>
      <c r="G174" s="24">
        <v>34</v>
      </c>
      <c r="H174" s="59">
        <v>200</v>
      </c>
      <c r="I174" s="59">
        <v>-17.649999999999999</v>
      </c>
      <c r="J174" s="59">
        <v>7.0000000000000007E-2</v>
      </c>
      <c r="K174" s="59">
        <v>0.04</v>
      </c>
      <c r="L174" s="59">
        <v>0.03</v>
      </c>
      <c r="M174" s="59">
        <v>0.06</v>
      </c>
      <c r="N174" s="59"/>
    </row>
    <row r="175" spans="1:14" hidden="1">
      <c r="A175" s="59">
        <v>135</v>
      </c>
      <c r="B175" s="59" t="s">
        <v>1113</v>
      </c>
      <c r="C175" s="59" t="s">
        <v>23</v>
      </c>
      <c r="D175" s="24">
        <v>6</v>
      </c>
      <c r="E175" s="24">
        <v>0</v>
      </c>
      <c r="F175" s="24">
        <v>28</v>
      </c>
      <c r="G175" s="24">
        <v>0</v>
      </c>
      <c r="H175" s="59">
        <v>0</v>
      </c>
      <c r="I175" s="59">
        <v>0</v>
      </c>
      <c r="J175" s="59">
        <v>0.03</v>
      </c>
      <c r="K175" s="59">
        <v>0.04</v>
      </c>
      <c r="L175" s="59">
        <v>0</v>
      </c>
      <c r="M175" s="59">
        <v>0</v>
      </c>
      <c r="N175" s="59"/>
    </row>
    <row r="176" spans="1:14">
      <c r="A176" s="59">
        <v>136</v>
      </c>
      <c r="B176" s="59" t="s">
        <v>1237</v>
      </c>
      <c r="C176" s="59" t="s">
        <v>24</v>
      </c>
      <c r="D176" s="24">
        <v>28</v>
      </c>
      <c r="E176" s="24">
        <v>0</v>
      </c>
      <c r="F176" s="24">
        <v>28</v>
      </c>
      <c r="G176" s="24">
        <v>0</v>
      </c>
      <c r="H176" s="59">
        <v>0</v>
      </c>
      <c r="I176" s="59">
        <v>0</v>
      </c>
      <c r="J176" s="59">
        <v>0.16</v>
      </c>
      <c r="K176" s="59">
        <v>0.04</v>
      </c>
      <c r="L176" s="59">
        <v>0</v>
      </c>
      <c r="M176" s="59">
        <v>0</v>
      </c>
      <c r="N176" s="59"/>
    </row>
    <row r="177" spans="1:14">
      <c r="A177" s="59">
        <v>137</v>
      </c>
      <c r="B177" s="59" t="s">
        <v>1192</v>
      </c>
      <c r="C177" s="59" t="s">
        <v>24</v>
      </c>
      <c r="D177" s="24">
        <v>16</v>
      </c>
      <c r="E177" s="24">
        <v>0</v>
      </c>
      <c r="F177" s="24">
        <v>28</v>
      </c>
      <c r="G177" s="24">
        <v>0</v>
      </c>
      <c r="H177" s="59">
        <v>0</v>
      </c>
      <c r="I177" s="59">
        <v>0</v>
      </c>
      <c r="J177" s="59">
        <v>0.09</v>
      </c>
      <c r="K177" s="59">
        <v>0.04</v>
      </c>
      <c r="L177" s="59">
        <v>0</v>
      </c>
      <c r="M177" s="59">
        <v>0</v>
      </c>
      <c r="N177" s="59"/>
    </row>
    <row r="178" spans="1:14" hidden="1">
      <c r="A178" s="59">
        <v>138</v>
      </c>
      <c r="B178" s="59" t="s">
        <v>248</v>
      </c>
      <c r="C178" s="59" t="s">
        <v>23</v>
      </c>
      <c r="D178" s="24">
        <v>12</v>
      </c>
      <c r="E178" s="24">
        <v>9</v>
      </c>
      <c r="F178" s="24">
        <v>26</v>
      </c>
      <c r="G178" s="24">
        <v>28</v>
      </c>
      <c r="H178" s="67">
        <v>33.33</v>
      </c>
      <c r="I178" s="67">
        <v>-7.14</v>
      </c>
      <c r="J178" s="59">
        <v>7.0000000000000007E-2</v>
      </c>
      <c r="K178" s="59">
        <v>0.04</v>
      </c>
      <c r="L178" s="59">
        <v>7.0000000000000007E-2</v>
      </c>
      <c r="M178" s="59">
        <v>0.05</v>
      </c>
      <c r="N178" s="59"/>
    </row>
    <row r="179" spans="1:14">
      <c r="A179" s="59">
        <v>139</v>
      </c>
      <c r="B179" s="59" t="s">
        <v>674</v>
      </c>
      <c r="C179" s="59" t="s">
        <v>24</v>
      </c>
      <c r="D179" s="24">
        <v>7</v>
      </c>
      <c r="E179" s="24">
        <v>12</v>
      </c>
      <c r="F179" s="24">
        <v>26</v>
      </c>
      <c r="G179" s="24">
        <v>18</v>
      </c>
      <c r="H179" s="59">
        <v>-41.67</v>
      </c>
      <c r="I179" s="59">
        <v>44.44</v>
      </c>
      <c r="J179" s="59">
        <v>0.04</v>
      </c>
      <c r="K179" s="59">
        <v>0.04</v>
      </c>
      <c r="L179" s="59">
        <v>0.1</v>
      </c>
      <c r="M179" s="59">
        <v>0.03</v>
      </c>
      <c r="N179" s="59"/>
    </row>
    <row r="180" spans="1:14">
      <c r="A180" s="59">
        <v>140</v>
      </c>
      <c r="B180" s="59" t="s">
        <v>732</v>
      </c>
      <c r="C180" s="59" t="s">
        <v>24</v>
      </c>
      <c r="D180" s="24">
        <v>4</v>
      </c>
      <c r="E180" s="24">
        <v>2</v>
      </c>
      <c r="F180" s="24">
        <v>26</v>
      </c>
      <c r="G180" s="24">
        <v>2</v>
      </c>
      <c r="H180" s="67">
        <v>100</v>
      </c>
      <c r="I180" s="67">
        <v>1200</v>
      </c>
      <c r="J180" s="59">
        <v>0.02</v>
      </c>
      <c r="K180" s="59">
        <v>0.04</v>
      </c>
      <c r="L180" s="59">
        <v>0.02</v>
      </c>
      <c r="M180" s="59">
        <v>0</v>
      </c>
      <c r="N180" s="59"/>
    </row>
    <row r="181" spans="1:14">
      <c r="A181" s="59">
        <v>141</v>
      </c>
      <c r="B181" s="59" t="s">
        <v>1111</v>
      </c>
      <c r="C181" s="59" t="s">
        <v>24</v>
      </c>
      <c r="D181" s="24">
        <v>3</v>
      </c>
      <c r="E181" s="24">
        <v>0</v>
      </c>
      <c r="F181" s="24">
        <v>25</v>
      </c>
      <c r="G181" s="24">
        <v>0</v>
      </c>
      <c r="H181" s="59">
        <v>0</v>
      </c>
      <c r="I181" s="59">
        <v>0</v>
      </c>
      <c r="J181" s="59">
        <v>0.02</v>
      </c>
      <c r="K181" s="59">
        <v>0.04</v>
      </c>
      <c r="L181" s="59">
        <v>0</v>
      </c>
      <c r="M181" s="59">
        <v>0</v>
      </c>
      <c r="N181" s="59"/>
    </row>
    <row r="182" spans="1:14" hidden="1">
      <c r="A182" s="59">
        <v>142</v>
      </c>
      <c r="B182" s="59" t="s">
        <v>438</v>
      </c>
      <c r="C182" s="59" t="s">
        <v>23</v>
      </c>
      <c r="D182" s="24">
        <v>9</v>
      </c>
      <c r="E182" s="24">
        <v>4</v>
      </c>
      <c r="F182" s="24">
        <v>24</v>
      </c>
      <c r="G182" s="24">
        <v>45</v>
      </c>
      <c r="H182" s="59">
        <v>125</v>
      </c>
      <c r="I182" s="59">
        <v>-46.67</v>
      </c>
      <c r="J182" s="59">
        <v>0.05</v>
      </c>
      <c r="K182" s="59">
        <v>0.04</v>
      </c>
      <c r="L182" s="59">
        <v>0.03</v>
      </c>
      <c r="M182" s="59">
        <v>7.0000000000000007E-2</v>
      </c>
      <c r="N182" s="59"/>
    </row>
    <row r="183" spans="1:14" hidden="1">
      <c r="A183" s="59">
        <v>143</v>
      </c>
      <c r="B183" s="59" t="s">
        <v>200</v>
      </c>
      <c r="C183" s="59" t="s">
        <v>23</v>
      </c>
      <c r="D183" s="24">
        <v>8</v>
      </c>
      <c r="E183" s="24">
        <v>0</v>
      </c>
      <c r="F183" s="24">
        <v>22</v>
      </c>
      <c r="G183" s="24">
        <v>0</v>
      </c>
      <c r="H183" s="59">
        <v>0</v>
      </c>
      <c r="I183" s="59">
        <v>0</v>
      </c>
      <c r="J183" s="59">
        <v>0.05</v>
      </c>
      <c r="K183" s="59">
        <v>0.03</v>
      </c>
      <c r="L183" s="59">
        <v>0</v>
      </c>
      <c r="M183" s="59">
        <v>0</v>
      </c>
      <c r="N183" s="59"/>
    </row>
    <row r="184" spans="1:14">
      <c r="A184" s="59">
        <v>144</v>
      </c>
      <c r="B184" s="59" t="s">
        <v>419</v>
      </c>
      <c r="C184" s="59" t="s">
        <v>24</v>
      </c>
      <c r="D184" s="24">
        <v>2</v>
      </c>
      <c r="E184" s="24">
        <v>10</v>
      </c>
      <c r="F184" s="24">
        <v>21</v>
      </c>
      <c r="G184" s="24">
        <v>77</v>
      </c>
      <c r="H184" s="59">
        <v>-80</v>
      </c>
      <c r="I184" s="59">
        <v>-72.73</v>
      </c>
      <c r="J184" s="59">
        <v>0.01</v>
      </c>
      <c r="K184" s="59">
        <v>0.03</v>
      </c>
      <c r="L184" s="59">
        <v>0.08</v>
      </c>
      <c r="M184" s="59">
        <v>0.13</v>
      </c>
      <c r="N184" s="59"/>
    </row>
    <row r="185" spans="1:14">
      <c r="A185" s="59">
        <v>145</v>
      </c>
      <c r="B185" s="59" t="s">
        <v>581</v>
      </c>
      <c r="C185" s="59" t="s">
        <v>24</v>
      </c>
      <c r="D185" s="24">
        <v>5</v>
      </c>
      <c r="E185" s="24">
        <v>18</v>
      </c>
      <c r="F185" s="24">
        <v>20</v>
      </c>
      <c r="G185" s="24">
        <v>82</v>
      </c>
      <c r="H185" s="59">
        <v>-72.22</v>
      </c>
      <c r="I185" s="59">
        <v>-75.61</v>
      </c>
      <c r="J185" s="59">
        <v>0.03</v>
      </c>
      <c r="K185" s="59">
        <v>0.03</v>
      </c>
      <c r="L185" s="59">
        <v>0.14000000000000001</v>
      </c>
      <c r="M185" s="59">
        <v>0.14000000000000001</v>
      </c>
      <c r="N185" s="59"/>
    </row>
    <row r="186" spans="1:14" hidden="1">
      <c r="A186" s="59">
        <v>146</v>
      </c>
      <c r="B186" s="59" t="s">
        <v>515</v>
      </c>
      <c r="C186" s="59" t="s">
        <v>23</v>
      </c>
      <c r="D186" s="24">
        <v>2</v>
      </c>
      <c r="E186" s="24">
        <v>6</v>
      </c>
      <c r="F186" s="24">
        <v>20</v>
      </c>
      <c r="G186" s="24">
        <v>40</v>
      </c>
      <c r="H186" s="59">
        <v>-66.67</v>
      </c>
      <c r="I186" s="59">
        <v>-50</v>
      </c>
      <c r="J186" s="59">
        <v>0.01</v>
      </c>
      <c r="K186" s="59">
        <v>0.03</v>
      </c>
      <c r="L186" s="59">
        <v>0.05</v>
      </c>
      <c r="M186" s="59">
        <v>7.0000000000000007E-2</v>
      </c>
      <c r="N186" s="59"/>
    </row>
    <row r="187" spans="1:14">
      <c r="A187" s="59">
        <v>147</v>
      </c>
      <c r="B187" s="59" t="s">
        <v>598</v>
      </c>
      <c r="C187" s="59" t="s">
        <v>24</v>
      </c>
      <c r="D187" s="24">
        <v>2</v>
      </c>
      <c r="E187" s="24">
        <v>0</v>
      </c>
      <c r="F187" s="24">
        <v>20</v>
      </c>
      <c r="G187" s="24">
        <v>25</v>
      </c>
      <c r="H187" s="59">
        <v>0</v>
      </c>
      <c r="I187" s="59">
        <v>-20</v>
      </c>
      <c r="J187" s="59">
        <v>0.01</v>
      </c>
      <c r="K187" s="59">
        <v>0.03</v>
      </c>
      <c r="L187" s="59">
        <v>0</v>
      </c>
      <c r="M187" s="59">
        <v>0.04</v>
      </c>
      <c r="N187" s="59"/>
    </row>
    <row r="188" spans="1:14">
      <c r="A188" s="59">
        <v>148</v>
      </c>
      <c r="B188" s="59" t="s">
        <v>450</v>
      </c>
      <c r="C188" s="59" t="s">
        <v>24</v>
      </c>
      <c r="D188" s="24">
        <v>1</v>
      </c>
      <c r="E188" s="24">
        <v>3</v>
      </c>
      <c r="F188" s="24">
        <v>19</v>
      </c>
      <c r="G188" s="24">
        <v>17</v>
      </c>
      <c r="H188" s="59">
        <v>-66.67</v>
      </c>
      <c r="I188" s="59">
        <v>11.76</v>
      </c>
      <c r="J188" s="59">
        <v>0.01</v>
      </c>
      <c r="K188" s="59">
        <v>0.03</v>
      </c>
      <c r="L188" s="59">
        <v>0.02</v>
      </c>
      <c r="M188" s="59">
        <v>0.03</v>
      </c>
      <c r="N188" s="59"/>
    </row>
    <row r="189" spans="1:14" hidden="1">
      <c r="A189" s="59">
        <v>149</v>
      </c>
      <c r="B189" s="59" t="s">
        <v>1185</v>
      </c>
      <c r="C189" s="59" t="s">
        <v>23</v>
      </c>
      <c r="D189" s="24">
        <v>11</v>
      </c>
      <c r="E189" s="24">
        <v>0</v>
      </c>
      <c r="F189" s="24">
        <v>19</v>
      </c>
      <c r="G189" s="24">
        <v>0</v>
      </c>
      <c r="H189" s="59">
        <v>0</v>
      </c>
      <c r="I189" s="59">
        <v>0</v>
      </c>
      <c r="J189" s="59">
        <v>0.06</v>
      </c>
      <c r="K189" s="59">
        <v>0.03</v>
      </c>
      <c r="L189" s="59">
        <v>0</v>
      </c>
      <c r="M189" s="59">
        <v>0</v>
      </c>
      <c r="N189" s="59"/>
    </row>
    <row r="190" spans="1:14" hidden="1">
      <c r="A190" s="59">
        <v>150</v>
      </c>
      <c r="B190" s="59" t="s">
        <v>1095</v>
      </c>
      <c r="C190" s="59" t="s">
        <v>23</v>
      </c>
      <c r="D190" s="24">
        <v>4</v>
      </c>
      <c r="E190" s="24">
        <v>0</v>
      </c>
      <c r="F190" s="24">
        <v>18</v>
      </c>
      <c r="G190" s="24">
        <v>0</v>
      </c>
      <c r="H190" s="59">
        <v>0</v>
      </c>
      <c r="I190" s="59">
        <v>0</v>
      </c>
      <c r="J190" s="59">
        <v>0.02</v>
      </c>
      <c r="K190" s="59">
        <v>0.03</v>
      </c>
      <c r="L190" s="59">
        <v>0</v>
      </c>
      <c r="M190" s="59">
        <v>0</v>
      </c>
      <c r="N190" s="59"/>
    </row>
    <row r="191" spans="1:14" hidden="1">
      <c r="A191" s="59">
        <v>151</v>
      </c>
      <c r="B191" s="59" t="s">
        <v>455</v>
      </c>
      <c r="C191" s="59" t="s">
        <v>23</v>
      </c>
      <c r="D191" s="24">
        <v>6</v>
      </c>
      <c r="E191" s="24">
        <v>13</v>
      </c>
      <c r="F191" s="24">
        <v>17</v>
      </c>
      <c r="G191" s="24">
        <v>49</v>
      </c>
      <c r="H191" s="59">
        <v>-53.85</v>
      </c>
      <c r="I191" s="59">
        <v>-65.31</v>
      </c>
      <c r="J191" s="59">
        <v>0.03</v>
      </c>
      <c r="K191" s="59">
        <v>0.03</v>
      </c>
      <c r="L191" s="59">
        <v>0.1</v>
      </c>
      <c r="M191" s="59">
        <v>0.08</v>
      </c>
      <c r="N191" s="59"/>
    </row>
    <row r="192" spans="1:14" hidden="1">
      <c r="A192" s="59">
        <v>152</v>
      </c>
      <c r="B192" s="59" t="s">
        <v>730</v>
      </c>
      <c r="C192" s="59" t="s">
        <v>23</v>
      </c>
      <c r="D192" s="24">
        <v>5</v>
      </c>
      <c r="E192" s="24">
        <v>45</v>
      </c>
      <c r="F192" s="24">
        <v>17</v>
      </c>
      <c r="G192" s="24">
        <v>45</v>
      </c>
      <c r="H192" s="59">
        <v>-88.89</v>
      </c>
      <c r="I192" s="59">
        <v>-62.22</v>
      </c>
      <c r="J192" s="59">
        <v>0.03</v>
      </c>
      <c r="K192" s="59">
        <v>0.03</v>
      </c>
      <c r="L192" s="59">
        <v>0.36</v>
      </c>
      <c r="M192" s="59">
        <v>7.0000000000000007E-2</v>
      </c>
      <c r="N192" s="59"/>
    </row>
    <row r="193" spans="1:14">
      <c r="A193" s="59">
        <v>153</v>
      </c>
      <c r="B193" s="59" t="s">
        <v>637</v>
      </c>
      <c r="C193" s="59" t="s">
        <v>24</v>
      </c>
      <c r="D193" s="24">
        <v>8</v>
      </c>
      <c r="E193" s="24">
        <v>0</v>
      </c>
      <c r="F193" s="24">
        <v>17</v>
      </c>
      <c r="G193" s="24">
        <v>14</v>
      </c>
      <c r="H193" s="59">
        <v>0</v>
      </c>
      <c r="I193" s="59">
        <v>21.43</v>
      </c>
      <c r="J193" s="59">
        <v>0.05</v>
      </c>
      <c r="K193" s="59">
        <v>0.03</v>
      </c>
      <c r="L193" s="59">
        <v>0</v>
      </c>
      <c r="M193" s="59">
        <v>0.02</v>
      </c>
      <c r="N193" s="59"/>
    </row>
    <row r="194" spans="1:14" hidden="1">
      <c r="A194" s="59">
        <v>154</v>
      </c>
      <c r="B194" s="59" t="s">
        <v>726</v>
      </c>
      <c r="C194" s="59" t="s">
        <v>23</v>
      </c>
      <c r="D194" s="24">
        <v>0</v>
      </c>
      <c r="E194" s="24">
        <v>1</v>
      </c>
      <c r="F194" s="24">
        <v>17</v>
      </c>
      <c r="G194" s="24">
        <v>2</v>
      </c>
      <c r="H194" s="67">
        <v>-100</v>
      </c>
      <c r="I194" s="67">
        <v>750</v>
      </c>
      <c r="J194" s="67">
        <v>0</v>
      </c>
      <c r="K194" s="67">
        <v>0.03</v>
      </c>
      <c r="L194" s="67">
        <v>0.01</v>
      </c>
      <c r="M194" s="67">
        <v>0</v>
      </c>
      <c r="N194" s="59"/>
    </row>
    <row r="195" spans="1:14">
      <c r="A195" s="59">
        <v>155</v>
      </c>
      <c r="B195" s="59" t="s">
        <v>671</v>
      </c>
      <c r="C195" s="59" t="s">
        <v>24</v>
      </c>
      <c r="D195" s="24">
        <v>7</v>
      </c>
      <c r="E195" s="24">
        <v>10</v>
      </c>
      <c r="F195" s="24">
        <v>16</v>
      </c>
      <c r="G195" s="24">
        <v>37</v>
      </c>
      <c r="H195" s="59">
        <v>-30</v>
      </c>
      <c r="I195" s="59">
        <v>-56.76</v>
      </c>
      <c r="J195" s="59">
        <v>0.04</v>
      </c>
      <c r="K195" s="59">
        <v>0.02</v>
      </c>
      <c r="L195" s="59">
        <v>0.08</v>
      </c>
      <c r="M195" s="59">
        <v>0.06</v>
      </c>
      <c r="N195" s="59"/>
    </row>
    <row r="196" spans="1:14">
      <c r="A196" s="59">
        <v>156</v>
      </c>
      <c r="B196" s="59" t="s">
        <v>458</v>
      </c>
      <c r="C196" s="59" t="s">
        <v>24</v>
      </c>
      <c r="D196" s="24">
        <v>5</v>
      </c>
      <c r="E196" s="24">
        <v>1</v>
      </c>
      <c r="F196" s="24">
        <v>16</v>
      </c>
      <c r="G196" s="24">
        <v>9</v>
      </c>
      <c r="H196" s="59">
        <v>400</v>
      </c>
      <c r="I196" s="59">
        <v>77.78</v>
      </c>
      <c r="J196" s="59">
        <v>0.03</v>
      </c>
      <c r="K196" s="59">
        <v>0.02</v>
      </c>
      <c r="L196" s="59">
        <v>0.01</v>
      </c>
      <c r="M196" s="59">
        <v>0.01</v>
      </c>
      <c r="N196" s="59"/>
    </row>
    <row r="197" spans="1:14" hidden="1">
      <c r="A197" s="59">
        <v>157</v>
      </c>
      <c r="B197" s="59" t="s">
        <v>718</v>
      </c>
      <c r="C197" s="59" t="s">
        <v>23</v>
      </c>
      <c r="D197" s="24">
        <v>6</v>
      </c>
      <c r="E197" s="24">
        <v>2</v>
      </c>
      <c r="F197" s="24">
        <v>16</v>
      </c>
      <c r="G197" s="24">
        <v>4</v>
      </c>
      <c r="H197" s="59">
        <v>200</v>
      </c>
      <c r="I197" s="59">
        <v>300</v>
      </c>
      <c r="J197" s="59">
        <v>0.03</v>
      </c>
      <c r="K197" s="59">
        <v>0.02</v>
      </c>
      <c r="L197" s="59">
        <v>0.02</v>
      </c>
      <c r="M197" s="59">
        <v>0.01</v>
      </c>
      <c r="N197" s="59"/>
    </row>
    <row r="198" spans="1:14">
      <c r="A198" s="59">
        <v>158</v>
      </c>
      <c r="B198" s="59" t="s">
        <v>1070</v>
      </c>
      <c r="C198" s="59" t="s">
        <v>24</v>
      </c>
      <c r="D198" s="24">
        <v>3</v>
      </c>
      <c r="E198" s="24">
        <v>0</v>
      </c>
      <c r="F198" s="24">
        <v>16</v>
      </c>
      <c r="G198" s="24">
        <v>0</v>
      </c>
      <c r="H198" s="59">
        <v>0</v>
      </c>
      <c r="I198" s="59">
        <v>0</v>
      </c>
      <c r="J198" s="59">
        <v>0.02</v>
      </c>
      <c r="K198" s="59">
        <v>0.02</v>
      </c>
      <c r="L198" s="59">
        <v>0</v>
      </c>
      <c r="M198" s="59">
        <v>0</v>
      </c>
      <c r="N198" s="59"/>
    </row>
    <row r="199" spans="1:14">
      <c r="A199" s="59">
        <v>159</v>
      </c>
      <c r="B199" s="59" t="s">
        <v>520</v>
      </c>
      <c r="C199" s="59" t="s">
        <v>24</v>
      </c>
      <c r="D199" s="24">
        <v>2</v>
      </c>
      <c r="E199" s="24">
        <v>13</v>
      </c>
      <c r="F199" s="24">
        <v>15</v>
      </c>
      <c r="G199" s="24">
        <v>49</v>
      </c>
      <c r="H199" s="59">
        <v>-84.62</v>
      </c>
      <c r="I199" s="59">
        <v>-69.39</v>
      </c>
      <c r="J199" s="59">
        <v>0.01</v>
      </c>
      <c r="K199" s="59">
        <v>0.02</v>
      </c>
      <c r="L199" s="59">
        <v>0.1</v>
      </c>
      <c r="M199" s="59">
        <v>0.08</v>
      </c>
      <c r="N199" s="59"/>
    </row>
    <row r="200" spans="1:14">
      <c r="A200" s="59">
        <v>160</v>
      </c>
      <c r="B200" s="59" t="s">
        <v>1164</v>
      </c>
      <c r="C200" s="59" t="s">
        <v>24</v>
      </c>
      <c r="D200" s="24">
        <v>5</v>
      </c>
      <c r="E200" s="24">
        <v>0</v>
      </c>
      <c r="F200" s="24">
        <v>14</v>
      </c>
      <c r="G200" s="24">
        <v>0</v>
      </c>
      <c r="H200" s="59">
        <v>0</v>
      </c>
      <c r="I200" s="59">
        <v>0</v>
      </c>
      <c r="J200" s="59">
        <v>0.03</v>
      </c>
      <c r="K200" s="59">
        <v>0.02</v>
      </c>
      <c r="L200" s="59">
        <v>0</v>
      </c>
      <c r="M200" s="59">
        <v>0</v>
      </c>
      <c r="N200" s="59"/>
    </row>
    <row r="201" spans="1:14" hidden="1">
      <c r="A201" s="59">
        <v>161</v>
      </c>
      <c r="B201" s="59" t="s">
        <v>517</v>
      </c>
      <c r="C201" s="59" t="s">
        <v>23</v>
      </c>
      <c r="D201" s="24">
        <v>2</v>
      </c>
      <c r="E201" s="24">
        <v>1</v>
      </c>
      <c r="F201" s="24">
        <v>13</v>
      </c>
      <c r="G201" s="24">
        <v>6</v>
      </c>
      <c r="H201" s="59">
        <v>100</v>
      </c>
      <c r="I201" s="59">
        <v>116.67</v>
      </c>
      <c r="J201" s="59">
        <v>0.01</v>
      </c>
      <c r="K201" s="59">
        <v>0.02</v>
      </c>
      <c r="L201" s="59">
        <v>0.01</v>
      </c>
      <c r="M201" s="59">
        <v>0.01</v>
      </c>
      <c r="N201" s="59"/>
    </row>
    <row r="202" spans="1:14" hidden="1">
      <c r="A202" s="59">
        <v>162</v>
      </c>
      <c r="B202" s="59" t="s">
        <v>139</v>
      </c>
      <c r="C202" s="59" t="s">
        <v>23</v>
      </c>
      <c r="D202" s="24">
        <v>1</v>
      </c>
      <c r="E202" s="24">
        <v>9</v>
      </c>
      <c r="F202" s="24">
        <v>12</v>
      </c>
      <c r="G202" s="24">
        <v>63</v>
      </c>
      <c r="H202" s="59">
        <v>-88.89</v>
      </c>
      <c r="I202" s="59">
        <v>-80.95</v>
      </c>
      <c r="J202" s="59">
        <v>0.01</v>
      </c>
      <c r="K202" s="59">
        <v>0.02</v>
      </c>
      <c r="L202" s="59">
        <v>7.0000000000000007E-2</v>
      </c>
      <c r="M202" s="59">
        <v>0.1</v>
      </c>
      <c r="N202" s="59"/>
    </row>
    <row r="203" spans="1:14" hidden="1">
      <c r="A203" s="59">
        <v>163</v>
      </c>
      <c r="B203" s="59" t="s">
        <v>622</v>
      </c>
      <c r="C203" s="59" t="s">
        <v>23</v>
      </c>
      <c r="D203" s="24">
        <v>5</v>
      </c>
      <c r="E203" s="24">
        <v>16</v>
      </c>
      <c r="F203" s="24">
        <v>10</v>
      </c>
      <c r="G203" s="24">
        <v>44</v>
      </c>
      <c r="H203" s="59">
        <v>-68.75</v>
      </c>
      <c r="I203" s="59">
        <v>-77.27</v>
      </c>
      <c r="J203" s="59">
        <v>0.03</v>
      </c>
      <c r="K203" s="59">
        <v>0.02</v>
      </c>
      <c r="L203" s="59">
        <v>0.13</v>
      </c>
      <c r="M203" s="59">
        <v>7.0000000000000007E-2</v>
      </c>
      <c r="N203" s="59"/>
    </row>
    <row r="204" spans="1:14" hidden="1">
      <c r="A204" s="152">
        <v>164</v>
      </c>
      <c r="B204" s="152" t="s">
        <v>181</v>
      </c>
      <c r="C204" s="152" t="s">
        <v>23</v>
      </c>
      <c r="D204" s="159">
        <v>0</v>
      </c>
      <c r="E204" s="159">
        <v>6</v>
      </c>
      <c r="F204" s="159">
        <v>10</v>
      </c>
      <c r="G204" s="159">
        <v>16</v>
      </c>
      <c r="H204" s="152">
        <v>-100</v>
      </c>
      <c r="I204" s="152">
        <v>-37.5</v>
      </c>
      <c r="J204" s="152">
        <v>0</v>
      </c>
      <c r="K204" s="152">
        <v>0.02</v>
      </c>
      <c r="L204" s="152">
        <v>0.05</v>
      </c>
      <c r="M204" s="152">
        <v>0.03</v>
      </c>
      <c r="N204" s="59"/>
    </row>
    <row r="205" spans="1:14">
      <c r="A205" s="152">
        <v>165</v>
      </c>
      <c r="B205" s="152" t="s">
        <v>1134</v>
      </c>
      <c r="C205" s="152" t="s">
        <v>24</v>
      </c>
      <c r="D205" s="159">
        <v>0</v>
      </c>
      <c r="E205" s="159">
        <v>3</v>
      </c>
      <c r="F205" s="159">
        <v>9</v>
      </c>
      <c r="G205" s="159">
        <v>9</v>
      </c>
      <c r="H205" s="152">
        <v>-100</v>
      </c>
      <c r="I205" s="152">
        <v>0</v>
      </c>
      <c r="J205" s="152">
        <v>0</v>
      </c>
      <c r="K205" s="152">
        <v>0.01</v>
      </c>
      <c r="L205" s="152">
        <v>0.02</v>
      </c>
      <c r="M205" s="152">
        <v>0.01</v>
      </c>
      <c r="N205" s="59"/>
    </row>
    <row r="206" spans="1:14">
      <c r="A206" s="152">
        <v>166</v>
      </c>
      <c r="B206" s="152" t="s">
        <v>1119</v>
      </c>
      <c r="C206" s="152" t="s">
        <v>24</v>
      </c>
      <c r="D206" s="159">
        <v>2</v>
      </c>
      <c r="E206" s="159">
        <v>0</v>
      </c>
      <c r="F206" s="159">
        <v>9</v>
      </c>
      <c r="G206" s="159">
        <v>0</v>
      </c>
      <c r="H206" s="152">
        <v>0</v>
      </c>
      <c r="I206" s="152">
        <v>0</v>
      </c>
      <c r="J206" s="152">
        <v>0.01</v>
      </c>
      <c r="K206" s="152">
        <v>0.01</v>
      </c>
      <c r="L206" s="152">
        <v>0</v>
      </c>
      <c r="M206" s="152">
        <v>0</v>
      </c>
      <c r="N206" s="59"/>
    </row>
    <row r="207" spans="1:14" hidden="1">
      <c r="A207" s="152">
        <v>167</v>
      </c>
      <c r="B207" s="152" t="s">
        <v>440</v>
      </c>
      <c r="C207" s="152" t="s">
        <v>23</v>
      </c>
      <c r="D207" s="159">
        <v>3</v>
      </c>
      <c r="E207" s="159">
        <v>10</v>
      </c>
      <c r="F207" s="159">
        <v>8</v>
      </c>
      <c r="G207" s="159">
        <v>23</v>
      </c>
      <c r="H207" s="152">
        <v>-70</v>
      </c>
      <c r="I207" s="152">
        <v>-65.22</v>
      </c>
      <c r="J207" s="152">
        <v>0.02</v>
      </c>
      <c r="K207" s="152">
        <v>0.01</v>
      </c>
      <c r="L207" s="152">
        <v>0.08</v>
      </c>
      <c r="M207" s="152">
        <v>0.04</v>
      </c>
      <c r="N207" s="59"/>
    </row>
    <row r="208" spans="1:14" hidden="1">
      <c r="A208" s="152">
        <v>168</v>
      </c>
      <c r="B208" s="152" t="s">
        <v>377</v>
      </c>
      <c r="C208" s="152" t="s">
        <v>23</v>
      </c>
      <c r="D208" s="159">
        <v>1</v>
      </c>
      <c r="E208" s="159">
        <v>0</v>
      </c>
      <c r="F208" s="159">
        <v>8</v>
      </c>
      <c r="G208" s="159">
        <v>5</v>
      </c>
      <c r="H208" s="152">
        <v>0</v>
      </c>
      <c r="I208" s="152">
        <v>60</v>
      </c>
      <c r="J208" s="152">
        <v>0.01</v>
      </c>
      <c r="K208" s="152">
        <v>0.01</v>
      </c>
      <c r="L208" s="152">
        <v>0</v>
      </c>
      <c r="M208" s="152">
        <v>0.01</v>
      </c>
      <c r="N208" s="59"/>
    </row>
    <row r="209" spans="1:14" hidden="1">
      <c r="A209" s="152">
        <v>169</v>
      </c>
      <c r="B209" s="152" t="s">
        <v>514</v>
      </c>
      <c r="C209" s="152" t="s">
        <v>23</v>
      </c>
      <c r="D209" s="159">
        <v>3</v>
      </c>
      <c r="E209" s="159">
        <v>1</v>
      </c>
      <c r="F209" s="159">
        <v>7</v>
      </c>
      <c r="G209" s="159">
        <v>26</v>
      </c>
      <c r="H209" s="152">
        <v>200</v>
      </c>
      <c r="I209" s="152">
        <v>-73.08</v>
      </c>
      <c r="J209" s="152">
        <v>0.02</v>
      </c>
      <c r="K209" s="152">
        <v>0.01</v>
      </c>
      <c r="L209" s="152">
        <v>0.01</v>
      </c>
      <c r="M209" s="152">
        <v>0.04</v>
      </c>
      <c r="N209" s="59"/>
    </row>
    <row r="210" spans="1:14" hidden="1">
      <c r="A210" s="152">
        <v>170</v>
      </c>
      <c r="B210" s="152" t="s">
        <v>522</v>
      </c>
      <c r="C210" s="152" t="s">
        <v>23</v>
      </c>
      <c r="D210" s="159">
        <v>0</v>
      </c>
      <c r="E210" s="159">
        <v>4</v>
      </c>
      <c r="F210" s="159">
        <v>7</v>
      </c>
      <c r="G210" s="159">
        <v>20</v>
      </c>
      <c r="H210" s="152">
        <v>-100</v>
      </c>
      <c r="I210" s="152">
        <v>-65</v>
      </c>
      <c r="J210" s="152">
        <v>0</v>
      </c>
      <c r="K210" s="152">
        <v>0.01</v>
      </c>
      <c r="L210" s="152">
        <v>0.03</v>
      </c>
      <c r="M210" s="152">
        <v>0.03</v>
      </c>
      <c r="N210" s="59"/>
    </row>
    <row r="211" spans="1:14" hidden="1">
      <c r="A211" s="152">
        <v>171</v>
      </c>
      <c r="B211" s="152" t="s">
        <v>242</v>
      </c>
      <c r="C211" s="152" t="s">
        <v>23</v>
      </c>
      <c r="D211" s="159">
        <v>1</v>
      </c>
      <c r="E211" s="159">
        <v>1</v>
      </c>
      <c r="F211" s="159">
        <v>7</v>
      </c>
      <c r="G211" s="159">
        <v>16</v>
      </c>
      <c r="H211" s="152">
        <v>0</v>
      </c>
      <c r="I211" s="152">
        <v>-56.25</v>
      </c>
      <c r="J211" s="152">
        <v>0.01</v>
      </c>
      <c r="K211" s="152">
        <v>0.01</v>
      </c>
      <c r="L211" s="152">
        <v>0.01</v>
      </c>
      <c r="M211" s="152">
        <v>0.03</v>
      </c>
      <c r="N211" s="59"/>
    </row>
    <row r="212" spans="1:14" hidden="1">
      <c r="A212" s="152">
        <v>172</v>
      </c>
      <c r="B212" s="152" t="s">
        <v>410</v>
      </c>
      <c r="C212" s="152" t="s">
        <v>23</v>
      </c>
      <c r="D212" s="159">
        <v>2</v>
      </c>
      <c r="E212" s="159">
        <v>0</v>
      </c>
      <c r="F212" s="159">
        <v>7</v>
      </c>
      <c r="G212" s="159">
        <v>0</v>
      </c>
      <c r="H212" s="152">
        <v>0</v>
      </c>
      <c r="I212" s="152">
        <v>0</v>
      </c>
      <c r="J212" s="152">
        <v>0.01</v>
      </c>
      <c r="K212" s="152">
        <v>0.01</v>
      </c>
      <c r="L212" s="152">
        <v>0</v>
      </c>
      <c r="M212" s="152">
        <v>0</v>
      </c>
      <c r="N212" s="59"/>
    </row>
    <row r="213" spans="1:14">
      <c r="A213" s="152">
        <v>173</v>
      </c>
      <c r="B213" s="152" t="s">
        <v>1045</v>
      </c>
      <c r="C213" s="152" t="s">
        <v>24</v>
      </c>
      <c r="D213" s="159">
        <v>1</v>
      </c>
      <c r="E213" s="159">
        <v>0</v>
      </c>
      <c r="F213" s="159">
        <v>7</v>
      </c>
      <c r="G213" s="159">
        <v>0</v>
      </c>
      <c r="H213" s="154">
        <v>0</v>
      </c>
      <c r="I213" s="154">
        <v>0</v>
      </c>
      <c r="J213" s="154">
        <v>0.01</v>
      </c>
      <c r="K213" s="154">
        <v>0.01</v>
      </c>
      <c r="L213" s="154">
        <v>0</v>
      </c>
      <c r="M213" s="154">
        <v>0</v>
      </c>
      <c r="N213" s="59"/>
    </row>
    <row r="214" spans="1:14">
      <c r="A214" s="152">
        <v>174</v>
      </c>
      <c r="B214" s="152" t="s">
        <v>407</v>
      </c>
      <c r="C214" s="152" t="s">
        <v>24</v>
      </c>
      <c r="D214" s="159">
        <v>1</v>
      </c>
      <c r="E214" s="159">
        <v>9</v>
      </c>
      <c r="F214" s="159">
        <v>6</v>
      </c>
      <c r="G214" s="159">
        <v>68</v>
      </c>
      <c r="H214" s="152">
        <v>-88.89</v>
      </c>
      <c r="I214" s="152">
        <v>-91.18</v>
      </c>
      <c r="J214" s="152">
        <v>0.01</v>
      </c>
      <c r="K214" s="152">
        <v>0.01</v>
      </c>
      <c r="L214" s="152">
        <v>7.0000000000000007E-2</v>
      </c>
      <c r="M214" s="152">
        <v>0.11</v>
      </c>
      <c r="N214" s="59"/>
    </row>
    <row r="215" spans="1:14" hidden="1">
      <c r="A215" s="152">
        <v>175</v>
      </c>
      <c r="B215" s="152" t="s">
        <v>396</v>
      </c>
      <c r="C215" s="152" t="s">
        <v>23</v>
      </c>
      <c r="D215" s="159">
        <v>0</v>
      </c>
      <c r="E215" s="159">
        <v>12</v>
      </c>
      <c r="F215" s="159">
        <v>6</v>
      </c>
      <c r="G215" s="159">
        <v>55</v>
      </c>
      <c r="H215" s="152">
        <v>-100</v>
      </c>
      <c r="I215" s="152">
        <v>-89.09</v>
      </c>
      <c r="J215" s="152">
        <v>0</v>
      </c>
      <c r="K215" s="152">
        <v>0.01</v>
      </c>
      <c r="L215" s="152">
        <v>0.1</v>
      </c>
      <c r="M215" s="152">
        <v>0.09</v>
      </c>
      <c r="N215" s="59"/>
    </row>
    <row r="216" spans="1:14">
      <c r="A216" s="152">
        <v>176</v>
      </c>
      <c r="B216" s="152" t="s">
        <v>1116</v>
      </c>
      <c r="C216" s="152" t="s">
        <v>24</v>
      </c>
      <c r="D216" s="159">
        <v>1</v>
      </c>
      <c r="E216" s="159">
        <v>5</v>
      </c>
      <c r="F216" s="159">
        <v>6</v>
      </c>
      <c r="G216" s="159">
        <v>13</v>
      </c>
      <c r="H216" s="152">
        <v>-80</v>
      </c>
      <c r="I216" s="152">
        <v>-53.85</v>
      </c>
      <c r="J216" s="152">
        <v>0.01</v>
      </c>
      <c r="K216" s="152">
        <v>0.01</v>
      </c>
      <c r="L216" s="152">
        <v>0.04</v>
      </c>
      <c r="M216" s="152">
        <v>0.02</v>
      </c>
      <c r="N216" s="59"/>
    </row>
    <row r="217" spans="1:14" hidden="1">
      <c r="A217" s="152">
        <v>177</v>
      </c>
      <c r="B217" s="152" t="s">
        <v>442</v>
      </c>
      <c r="C217" s="152" t="s">
        <v>23</v>
      </c>
      <c r="D217" s="159">
        <v>0</v>
      </c>
      <c r="E217" s="159">
        <v>4</v>
      </c>
      <c r="F217" s="159">
        <v>5</v>
      </c>
      <c r="G217" s="159">
        <v>27</v>
      </c>
      <c r="H217" s="152">
        <v>-100</v>
      </c>
      <c r="I217" s="152">
        <v>-81.48</v>
      </c>
      <c r="J217" s="152">
        <v>0</v>
      </c>
      <c r="K217" s="152">
        <v>0.01</v>
      </c>
      <c r="L217" s="152">
        <v>0.03</v>
      </c>
      <c r="M217" s="152">
        <v>0.04</v>
      </c>
      <c r="N217" s="59"/>
    </row>
    <row r="218" spans="1:14" hidden="1">
      <c r="A218" s="152">
        <v>178</v>
      </c>
      <c r="B218" s="152" t="s">
        <v>1131</v>
      </c>
      <c r="C218" s="152" t="s">
        <v>23</v>
      </c>
      <c r="D218" s="159">
        <v>0</v>
      </c>
      <c r="E218" s="159">
        <v>0</v>
      </c>
      <c r="F218" s="159">
        <v>5</v>
      </c>
      <c r="G218" s="159">
        <v>0</v>
      </c>
      <c r="H218" s="152">
        <v>0</v>
      </c>
      <c r="I218" s="152">
        <v>0</v>
      </c>
      <c r="J218" s="152">
        <v>0</v>
      </c>
      <c r="K218" s="152">
        <v>0.01</v>
      </c>
      <c r="L218" s="152">
        <v>0</v>
      </c>
      <c r="M218" s="152">
        <v>0</v>
      </c>
      <c r="N218" s="59"/>
    </row>
    <row r="219" spans="1:14">
      <c r="A219" s="152">
        <v>179</v>
      </c>
      <c r="B219" s="152" t="s">
        <v>1170</v>
      </c>
      <c r="C219" s="152" t="s">
        <v>24</v>
      </c>
      <c r="D219" s="159">
        <v>0</v>
      </c>
      <c r="E219" s="159">
        <v>0</v>
      </c>
      <c r="F219" s="159">
        <v>4</v>
      </c>
      <c r="G219" s="159">
        <v>0</v>
      </c>
      <c r="H219" s="152">
        <v>0</v>
      </c>
      <c r="I219" s="152">
        <v>0</v>
      </c>
      <c r="J219" s="152">
        <v>0</v>
      </c>
      <c r="K219" s="152">
        <v>0.01</v>
      </c>
      <c r="L219" s="152">
        <v>0</v>
      </c>
      <c r="M219" s="152">
        <v>0</v>
      </c>
      <c r="N219" s="59"/>
    </row>
    <row r="220" spans="1:14" hidden="1">
      <c r="A220" s="152">
        <v>180</v>
      </c>
      <c r="B220" s="152" t="s">
        <v>150</v>
      </c>
      <c r="C220" s="152" t="s">
        <v>23</v>
      </c>
      <c r="D220" s="159">
        <v>0</v>
      </c>
      <c r="E220" s="159">
        <v>5</v>
      </c>
      <c r="F220" s="159">
        <v>3</v>
      </c>
      <c r="G220" s="159">
        <v>86</v>
      </c>
      <c r="H220" s="152">
        <v>-100</v>
      </c>
      <c r="I220" s="152">
        <v>-96.51</v>
      </c>
      <c r="J220" s="152">
        <v>0</v>
      </c>
      <c r="K220" s="152">
        <v>0</v>
      </c>
      <c r="L220" s="152">
        <v>0.04</v>
      </c>
      <c r="M220" s="152">
        <v>0.14000000000000001</v>
      </c>
      <c r="N220" s="59"/>
    </row>
    <row r="221" spans="1:14" hidden="1">
      <c r="A221" s="152">
        <v>181</v>
      </c>
      <c r="B221" s="152" t="s">
        <v>1130</v>
      </c>
      <c r="C221" s="152" t="s">
        <v>23</v>
      </c>
      <c r="D221" s="159">
        <v>0</v>
      </c>
      <c r="E221" s="159">
        <v>0</v>
      </c>
      <c r="F221" s="159">
        <v>3</v>
      </c>
      <c r="G221" s="159">
        <v>2</v>
      </c>
      <c r="H221" s="152">
        <v>0</v>
      </c>
      <c r="I221" s="152">
        <v>50</v>
      </c>
      <c r="J221" s="152">
        <v>0</v>
      </c>
      <c r="K221" s="152">
        <v>0</v>
      </c>
      <c r="L221" s="152">
        <v>0</v>
      </c>
      <c r="M221" s="152">
        <v>0</v>
      </c>
      <c r="N221" s="59"/>
    </row>
    <row r="222" spans="1:14" hidden="1">
      <c r="A222" s="152">
        <v>182</v>
      </c>
      <c r="B222" s="152" t="s">
        <v>1193</v>
      </c>
      <c r="C222" s="152" t="s">
        <v>1194</v>
      </c>
      <c r="D222" s="159">
        <v>0</v>
      </c>
      <c r="E222" s="159">
        <v>0</v>
      </c>
      <c r="F222" s="159">
        <v>3</v>
      </c>
      <c r="G222" s="159">
        <v>0</v>
      </c>
      <c r="H222" s="152">
        <v>0</v>
      </c>
      <c r="I222" s="152">
        <v>0</v>
      </c>
      <c r="J222" s="152">
        <v>0</v>
      </c>
      <c r="K222" s="152">
        <v>0</v>
      </c>
      <c r="L222" s="152">
        <v>0</v>
      </c>
      <c r="M222" s="152">
        <v>0</v>
      </c>
      <c r="N222" s="59"/>
    </row>
    <row r="223" spans="1:14" hidden="1">
      <c r="A223" s="152">
        <v>183</v>
      </c>
      <c r="B223" s="152" t="s">
        <v>1195</v>
      </c>
      <c r="C223" s="152" t="s">
        <v>23</v>
      </c>
      <c r="D223" s="159">
        <v>1</v>
      </c>
      <c r="E223" s="159">
        <v>0</v>
      </c>
      <c r="F223" s="159">
        <v>3</v>
      </c>
      <c r="G223" s="159">
        <v>0</v>
      </c>
      <c r="H223" s="152">
        <v>0</v>
      </c>
      <c r="I223" s="152">
        <v>0</v>
      </c>
      <c r="J223" s="152">
        <v>0.01</v>
      </c>
      <c r="K223" s="152">
        <v>0</v>
      </c>
      <c r="L223" s="152">
        <v>0</v>
      </c>
      <c r="M223" s="152">
        <v>0</v>
      </c>
      <c r="N223" s="59"/>
    </row>
    <row r="224" spans="1:14" hidden="1">
      <c r="A224" s="152">
        <v>184</v>
      </c>
      <c r="B224" s="152" t="s">
        <v>1096</v>
      </c>
      <c r="C224" s="152" t="s">
        <v>23</v>
      </c>
      <c r="D224" s="159">
        <v>1</v>
      </c>
      <c r="E224" s="159">
        <v>0</v>
      </c>
      <c r="F224" s="159">
        <v>3</v>
      </c>
      <c r="G224" s="159">
        <v>0</v>
      </c>
      <c r="H224" s="152">
        <v>0</v>
      </c>
      <c r="I224" s="152">
        <v>0</v>
      </c>
      <c r="J224" s="152">
        <v>0.01</v>
      </c>
      <c r="K224" s="152">
        <v>0</v>
      </c>
      <c r="L224" s="152">
        <v>0</v>
      </c>
      <c r="M224" s="152">
        <v>0</v>
      </c>
      <c r="N224" s="59"/>
    </row>
    <row r="225" spans="1:14">
      <c r="A225" s="152">
        <v>185</v>
      </c>
      <c r="B225" s="152" t="s">
        <v>240</v>
      </c>
      <c r="C225" s="152" t="s">
        <v>24</v>
      </c>
      <c r="D225" s="159">
        <v>0</v>
      </c>
      <c r="E225" s="159">
        <v>108</v>
      </c>
      <c r="F225" s="159">
        <v>2</v>
      </c>
      <c r="G225" s="159">
        <v>1279</v>
      </c>
      <c r="H225" s="152">
        <v>-100</v>
      </c>
      <c r="I225" s="152">
        <v>-99.84</v>
      </c>
      <c r="J225" s="152">
        <v>0</v>
      </c>
      <c r="K225" s="152">
        <v>0</v>
      </c>
      <c r="L225" s="152">
        <v>0.86</v>
      </c>
      <c r="M225" s="152">
        <v>2.12</v>
      </c>
      <c r="N225" s="59"/>
    </row>
    <row r="226" spans="1:14" hidden="1">
      <c r="A226" s="152">
        <v>186</v>
      </c>
      <c r="B226" s="152" t="s">
        <v>576</v>
      </c>
      <c r="C226" s="152" t="s">
        <v>23</v>
      </c>
      <c r="D226" s="159">
        <v>0</v>
      </c>
      <c r="E226" s="159">
        <v>0</v>
      </c>
      <c r="F226" s="159">
        <v>2</v>
      </c>
      <c r="G226" s="159">
        <v>2</v>
      </c>
      <c r="H226" s="152">
        <v>0</v>
      </c>
      <c r="I226" s="152">
        <v>0</v>
      </c>
      <c r="J226" s="152">
        <v>0</v>
      </c>
      <c r="K226" s="152">
        <v>0</v>
      </c>
      <c r="L226" s="152">
        <v>0</v>
      </c>
      <c r="M226" s="152">
        <v>0</v>
      </c>
      <c r="N226" s="59"/>
    </row>
    <row r="227" spans="1:14" hidden="1">
      <c r="A227" s="152">
        <v>187</v>
      </c>
      <c r="B227" s="152" t="s">
        <v>1133</v>
      </c>
      <c r="C227" s="152" t="s">
        <v>23</v>
      </c>
      <c r="D227" s="159">
        <v>0</v>
      </c>
      <c r="E227" s="159">
        <v>1</v>
      </c>
      <c r="F227" s="159">
        <v>2</v>
      </c>
      <c r="G227" s="159">
        <v>2</v>
      </c>
      <c r="H227" s="152">
        <v>-100</v>
      </c>
      <c r="I227" s="152">
        <v>0</v>
      </c>
      <c r="J227" s="152">
        <v>0</v>
      </c>
      <c r="K227" s="152">
        <v>0</v>
      </c>
      <c r="L227" s="152">
        <v>0.01</v>
      </c>
      <c r="M227" s="152">
        <v>0</v>
      </c>
      <c r="N227" s="59"/>
    </row>
    <row r="228" spans="1:14" hidden="1">
      <c r="A228" s="152">
        <v>188</v>
      </c>
      <c r="B228" s="152" t="s">
        <v>511</v>
      </c>
      <c r="C228" s="152" t="s">
        <v>1021</v>
      </c>
      <c r="D228" s="159">
        <v>0</v>
      </c>
      <c r="E228" s="159">
        <v>0</v>
      </c>
      <c r="F228" s="159">
        <v>2</v>
      </c>
      <c r="G228" s="159">
        <v>2</v>
      </c>
      <c r="H228" s="152">
        <v>0</v>
      </c>
      <c r="I228" s="152">
        <v>0</v>
      </c>
      <c r="J228" s="152">
        <v>0</v>
      </c>
      <c r="K228" s="152">
        <v>0</v>
      </c>
      <c r="L228" s="152">
        <v>0</v>
      </c>
      <c r="M228" s="152">
        <v>0</v>
      </c>
      <c r="N228" s="59"/>
    </row>
    <row r="229" spans="1:14" hidden="1">
      <c r="A229" s="152">
        <v>189</v>
      </c>
      <c r="B229" s="152" t="s">
        <v>1137</v>
      </c>
      <c r="C229" s="152" t="s">
        <v>23</v>
      </c>
      <c r="D229" s="159">
        <v>1</v>
      </c>
      <c r="E229" s="159">
        <v>1</v>
      </c>
      <c r="F229" s="159">
        <v>2</v>
      </c>
      <c r="G229" s="159">
        <v>2</v>
      </c>
      <c r="H229" s="152">
        <v>0</v>
      </c>
      <c r="I229" s="152">
        <v>0</v>
      </c>
      <c r="J229" s="152">
        <v>0.01</v>
      </c>
      <c r="K229" s="152">
        <v>0</v>
      </c>
      <c r="L229" s="152">
        <v>0.01</v>
      </c>
      <c r="M229" s="152">
        <v>0</v>
      </c>
      <c r="N229" s="59"/>
    </row>
    <row r="230" spans="1:14" hidden="1">
      <c r="A230" s="152">
        <v>190</v>
      </c>
      <c r="B230" s="152" t="s">
        <v>697</v>
      </c>
      <c r="C230" s="152" t="s">
        <v>23</v>
      </c>
      <c r="D230" s="159">
        <v>0</v>
      </c>
      <c r="E230" s="159">
        <v>1</v>
      </c>
      <c r="F230" s="159">
        <v>2</v>
      </c>
      <c r="G230" s="159">
        <v>2</v>
      </c>
      <c r="H230" s="152">
        <v>-100</v>
      </c>
      <c r="I230" s="152">
        <v>0</v>
      </c>
      <c r="J230" s="152">
        <v>0</v>
      </c>
      <c r="K230" s="152">
        <v>0</v>
      </c>
      <c r="L230" s="152">
        <v>0.01</v>
      </c>
      <c r="M230" s="152">
        <v>0</v>
      </c>
      <c r="N230" s="59"/>
    </row>
    <row r="231" spans="1:14">
      <c r="A231" s="152">
        <v>191</v>
      </c>
      <c r="B231" s="152" t="s">
        <v>1196</v>
      </c>
      <c r="C231" s="152" t="s">
        <v>24</v>
      </c>
      <c r="D231" s="159">
        <v>1</v>
      </c>
      <c r="E231" s="159">
        <v>0</v>
      </c>
      <c r="F231" s="159">
        <v>2</v>
      </c>
      <c r="G231" s="159">
        <v>1</v>
      </c>
      <c r="H231" s="152">
        <v>0</v>
      </c>
      <c r="I231" s="152">
        <v>100</v>
      </c>
      <c r="J231" s="152">
        <v>0.01</v>
      </c>
      <c r="K231" s="152">
        <v>0</v>
      </c>
      <c r="L231" s="152">
        <v>0</v>
      </c>
      <c r="M231" s="152">
        <v>0</v>
      </c>
      <c r="N231" s="59"/>
    </row>
    <row r="232" spans="1:14" hidden="1">
      <c r="A232" s="152">
        <v>192</v>
      </c>
      <c r="B232" s="152" t="s">
        <v>1197</v>
      </c>
      <c r="C232" s="152" t="s">
        <v>23</v>
      </c>
      <c r="D232" s="159">
        <v>1</v>
      </c>
      <c r="E232" s="159">
        <v>0</v>
      </c>
      <c r="F232" s="159">
        <v>2</v>
      </c>
      <c r="G232" s="159">
        <v>0</v>
      </c>
      <c r="H232" s="152">
        <v>0</v>
      </c>
      <c r="I232" s="152">
        <v>0</v>
      </c>
      <c r="J232" s="152">
        <v>0.01</v>
      </c>
      <c r="K232" s="152">
        <v>0</v>
      </c>
      <c r="L232" s="152">
        <v>0</v>
      </c>
      <c r="M232" s="152">
        <v>0</v>
      </c>
      <c r="N232" s="59"/>
    </row>
    <row r="233" spans="1:14">
      <c r="A233" s="152">
        <v>193</v>
      </c>
      <c r="B233" s="152" t="s">
        <v>1186</v>
      </c>
      <c r="C233" s="152" t="s">
        <v>24</v>
      </c>
      <c r="D233" s="159">
        <v>0</v>
      </c>
      <c r="E233" s="159">
        <v>0</v>
      </c>
      <c r="F233" s="159">
        <v>2</v>
      </c>
      <c r="G233" s="159">
        <v>0</v>
      </c>
      <c r="H233" s="152">
        <v>0</v>
      </c>
      <c r="I233" s="152">
        <v>0</v>
      </c>
      <c r="J233" s="152">
        <v>0</v>
      </c>
      <c r="K233" s="152">
        <v>0</v>
      </c>
      <c r="L233" s="152">
        <v>0</v>
      </c>
      <c r="M233" s="152">
        <v>0</v>
      </c>
      <c r="N233" s="59"/>
    </row>
    <row r="234" spans="1:14" hidden="1">
      <c r="A234" s="152">
        <v>194</v>
      </c>
      <c r="B234" s="152" t="s">
        <v>441</v>
      </c>
      <c r="C234" s="152" t="s">
        <v>23</v>
      </c>
      <c r="D234" s="159">
        <v>0</v>
      </c>
      <c r="E234" s="159">
        <v>30</v>
      </c>
      <c r="F234" s="159">
        <v>1</v>
      </c>
      <c r="G234" s="159">
        <v>112</v>
      </c>
      <c r="H234" s="152">
        <v>-100</v>
      </c>
      <c r="I234" s="152">
        <v>-99.11</v>
      </c>
      <c r="J234" s="152">
        <v>0</v>
      </c>
      <c r="K234" s="152">
        <v>0</v>
      </c>
      <c r="L234" s="152">
        <v>0.24</v>
      </c>
      <c r="M234" s="152">
        <v>0.19</v>
      </c>
      <c r="N234" s="59"/>
    </row>
    <row r="235" spans="1:14" hidden="1">
      <c r="A235" s="152">
        <v>195</v>
      </c>
      <c r="B235" s="152" t="s">
        <v>1135</v>
      </c>
      <c r="C235" s="152" t="s">
        <v>23</v>
      </c>
      <c r="D235" s="159">
        <v>0</v>
      </c>
      <c r="E235" s="159">
        <v>0</v>
      </c>
      <c r="F235" s="159">
        <v>1</v>
      </c>
      <c r="G235" s="159">
        <v>32</v>
      </c>
      <c r="H235" s="152">
        <v>0</v>
      </c>
      <c r="I235" s="152">
        <v>-96.88</v>
      </c>
      <c r="J235" s="152">
        <v>0</v>
      </c>
      <c r="K235" s="152">
        <v>0</v>
      </c>
      <c r="L235" s="152">
        <v>0</v>
      </c>
      <c r="M235" s="152">
        <v>0.05</v>
      </c>
    </row>
    <row r="236" spans="1:14" hidden="1">
      <c r="A236" s="152">
        <v>196</v>
      </c>
      <c r="B236" s="152" t="s">
        <v>519</v>
      </c>
      <c r="C236" s="152" t="s">
        <v>23</v>
      </c>
      <c r="D236" s="159">
        <v>0</v>
      </c>
      <c r="E236" s="159">
        <v>2</v>
      </c>
      <c r="F236" s="159">
        <v>1</v>
      </c>
      <c r="G236" s="159">
        <v>28</v>
      </c>
      <c r="H236" s="152">
        <v>-100</v>
      </c>
      <c r="I236" s="152">
        <v>-96.43</v>
      </c>
      <c r="J236" s="152">
        <v>0</v>
      </c>
      <c r="K236" s="152">
        <v>0</v>
      </c>
      <c r="L236" s="152">
        <v>0.02</v>
      </c>
      <c r="M236" s="152">
        <v>0.05</v>
      </c>
    </row>
    <row r="237" spans="1:14" hidden="1">
      <c r="A237" s="152">
        <v>197</v>
      </c>
      <c r="B237" s="152" t="s">
        <v>1132</v>
      </c>
      <c r="C237" s="152" t="s">
        <v>23</v>
      </c>
      <c r="D237" s="159">
        <v>0</v>
      </c>
      <c r="E237" s="159">
        <v>7</v>
      </c>
      <c r="F237" s="159">
        <v>1</v>
      </c>
      <c r="G237" s="159">
        <v>8</v>
      </c>
      <c r="H237" s="152">
        <v>-100</v>
      </c>
      <c r="I237" s="152">
        <v>-87.5</v>
      </c>
      <c r="J237" s="152">
        <v>0</v>
      </c>
      <c r="K237" s="152">
        <v>0</v>
      </c>
      <c r="L237" s="152">
        <v>0.06</v>
      </c>
      <c r="M237" s="152">
        <v>0.01</v>
      </c>
    </row>
    <row r="238" spans="1:14" hidden="1">
      <c r="A238" s="152">
        <v>198</v>
      </c>
      <c r="B238" s="152" t="s">
        <v>180</v>
      </c>
      <c r="C238" s="152" t="s">
        <v>23</v>
      </c>
      <c r="D238" s="159">
        <v>0</v>
      </c>
      <c r="E238" s="159">
        <v>0</v>
      </c>
      <c r="F238" s="159">
        <v>1</v>
      </c>
      <c r="G238" s="159">
        <v>2</v>
      </c>
      <c r="H238" s="152">
        <v>0</v>
      </c>
      <c r="I238" s="152">
        <v>-50</v>
      </c>
      <c r="J238" s="152">
        <v>0</v>
      </c>
      <c r="K238" s="152">
        <v>0</v>
      </c>
      <c r="L238" s="152">
        <v>0</v>
      </c>
      <c r="M238" s="152">
        <v>0</v>
      </c>
    </row>
    <row r="239" spans="1:14" hidden="1">
      <c r="A239" s="152">
        <v>199</v>
      </c>
      <c r="B239" s="152" t="s">
        <v>1171</v>
      </c>
      <c r="C239" s="152" t="s">
        <v>23</v>
      </c>
      <c r="D239" s="159">
        <v>0</v>
      </c>
      <c r="E239" s="159">
        <v>0</v>
      </c>
      <c r="F239" s="159">
        <v>1</v>
      </c>
      <c r="G239" s="159">
        <v>0</v>
      </c>
      <c r="H239" s="152">
        <v>0</v>
      </c>
      <c r="I239" s="152">
        <v>0</v>
      </c>
      <c r="J239" s="152">
        <v>0</v>
      </c>
      <c r="K239" s="152">
        <v>0</v>
      </c>
      <c r="L239" s="152">
        <v>0</v>
      </c>
      <c r="M239" s="152">
        <v>0</v>
      </c>
    </row>
    <row r="240" spans="1:14" hidden="1">
      <c r="A240" s="152">
        <v>200</v>
      </c>
      <c r="B240" s="152" t="s">
        <v>1238</v>
      </c>
      <c r="C240" s="152" t="s">
        <v>23</v>
      </c>
      <c r="D240" s="159">
        <v>1</v>
      </c>
      <c r="E240" s="159">
        <v>0</v>
      </c>
      <c r="F240" s="159">
        <v>1</v>
      </c>
      <c r="G240" s="159">
        <v>0</v>
      </c>
      <c r="H240" s="152">
        <v>0</v>
      </c>
      <c r="I240" s="152">
        <v>0</v>
      </c>
      <c r="J240" s="152">
        <v>0.01</v>
      </c>
      <c r="K240" s="152">
        <v>0</v>
      </c>
      <c r="L240" s="152">
        <v>0</v>
      </c>
      <c r="M240" s="152">
        <v>0</v>
      </c>
    </row>
    <row r="241" spans="1:13">
      <c r="A241" s="152">
        <v>201</v>
      </c>
      <c r="B241" s="152" t="s">
        <v>584</v>
      </c>
      <c r="C241" s="152" t="s">
        <v>24</v>
      </c>
      <c r="D241" s="159">
        <v>0</v>
      </c>
      <c r="E241" s="159">
        <v>11</v>
      </c>
      <c r="F241" s="159">
        <v>0</v>
      </c>
      <c r="G241" s="159">
        <v>33</v>
      </c>
      <c r="H241" s="152">
        <v>-100</v>
      </c>
      <c r="I241" s="152">
        <v>-100</v>
      </c>
      <c r="J241" s="152">
        <v>0</v>
      </c>
      <c r="K241" s="152">
        <v>0</v>
      </c>
      <c r="L241" s="152">
        <v>0.09</v>
      </c>
      <c r="M241" s="152">
        <v>0.05</v>
      </c>
    </row>
    <row r="242" spans="1:13" hidden="1">
      <c r="A242" s="152">
        <v>202</v>
      </c>
      <c r="B242" s="152" t="s">
        <v>243</v>
      </c>
      <c r="C242" s="152" t="s">
        <v>23</v>
      </c>
      <c r="D242" s="159">
        <v>0</v>
      </c>
      <c r="E242" s="159">
        <v>6</v>
      </c>
      <c r="F242" s="159">
        <v>0</v>
      </c>
      <c r="G242" s="159">
        <v>24</v>
      </c>
      <c r="H242" s="152">
        <v>-100</v>
      </c>
      <c r="I242" s="152">
        <v>-100</v>
      </c>
      <c r="J242" s="152">
        <v>0</v>
      </c>
      <c r="K242" s="152">
        <v>0</v>
      </c>
      <c r="L242" s="152">
        <v>0.05</v>
      </c>
      <c r="M242" s="152">
        <v>0.04</v>
      </c>
    </row>
    <row r="243" spans="1:13" hidden="1">
      <c r="A243" s="152">
        <v>203</v>
      </c>
      <c r="B243" s="152" t="s">
        <v>371</v>
      </c>
      <c r="C243" s="152" t="s">
        <v>23</v>
      </c>
      <c r="D243" s="159">
        <v>0</v>
      </c>
      <c r="E243" s="159">
        <v>1</v>
      </c>
      <c r="F243" s="159">
        <v>0</v>
      </c>
      <c r="G243" s="159">
        <v>18</v>
      </c>
      <c r="H243" s="152">
        <v>-100</v>
      </c>
      <c r="I243" s="152">
        <v>-100</v>
      </c>
      <c r="J243" s="152">
        <v>0</v>
      </c>
      <c r="K243" s="152">
        <v>0</v>
      </c>
      <c r="L243" s="152">
        <v>0.01</v>
      </c>
      <c r="M243" s="152">
        <v>0.03</v>
      </c>
    </row>
    <row r="244" spans="1:13" hidden="1">
      <c r="A244" s="152">
        <v>204</v>
      </c>
      <c r="B244" s="152" t="s">
        <v>247</v>
      </c>
      <c r="C244" s="152" t="s">
        <v>23</v>
      </c>
      <c r="D244" s="159">
        <v>0</v>
      </c>
      <c r="E244" s="159">
        <v>0</v>
      </c>
      <c r="F244" s="159">
        <v>0</v>
      </c>
      <c r="G244" s="159">
        <v>11</v>
      </c>
      <c r="H244" s="152">
        <v>0</v>
      </c>
      <c r="I244" s="152">
        <v>-100</v>
      </c>
      <c r="J244" s="152">
        <v>0</v>
      </c>
      <c r="K244" s="152">
        <v>0</v>
      </c>
      <c r="L244" s="152">
        <v>0</v>
      </c>
      <c r="M244" s="152">
        <v>0.02</v>
      </c>
    </row>
    <row r="245" spans="1:13" hidden="1">
      <c r="A245" s="152">
        <v>205</v>
      </c>
      <c r="B245" s="152" t="s">
        <v>366</v>
      </c>
      <c r="C245" s="152" t="s">
        <v>23</v>
      </c>
      <c r="D245" s="159">
        <v>0</v>
      </c>
      <c r="E245" s="159">
        <v>1</v>
      </c>
      <c r="F245" s="159">
        <v>0</v>
      </c>
      <c r="G245" s="159">
        <v>11</v>
      </c>
      <c r="H245" s="152">
        <v>-100</v>
      </c>
      <c r="I245" s="152">
        <v>-100</v>
      </c>
      <c r="J245" s="152">
        <v>0</v>
      </c>
      <c r="K245" s="152">
        <v>0</v>
      </c>
      <c r="L245" s="152">
        <v>0.01</v>
      </c>
      <c r="M245" s="152">
        <v>0.02</v>
      </c>
    </row>
    <row r="246" spans="1:13" hidden="1">
      <c r="A246" s="152">
        <v>206</v>
      </c>
      <c r="B246" s="152" t="s">
        <v>402</v>
      </c>
      <c r="C246" s="152" t="s">
        <v>23</v>
      </c>
      <c r="D246" s="159">
        <v>0</v>
      </c>
      <c r="E246" s="159">
        <v>1</v>
      </c>
      <c r="F246" s="159">
        <v>0</v>
      </c>
      <c r="G246" s="159">
        <v>9</v>
      </c>
      <c r="H246" s="152">
        <v>-100</v>
      </c>
      <c r="I246" s="152">
        <v>-100</v>
      </c>
      <c r="J246" s="152">
        <v>0</v>
      </c>
      <c r="K246" s="152">
        <v>0</v>
      </c>
      <c r="L246" s="152">
        <v>0.01</v>
      </c>
      <c r="M246" s="152">
        <v>0.01</v>
      </c>
    </row>
    <row r="247" spans="1:13" hidden="1">
      <c r="A247" s="152">
        <v>207</v>
      </c>
      <c r="B247" s="152" t="s">
        <v>423</v>
      </c>
      <c r="C247" s="152" t="s">
        <v>1097</v>
      </c>
      <c r="D247" s="159">
        <v>0</v>
      </c>
      <c r="E247" s="159">
        <v>0</v>
      </c>
      <c r="F247" s="159">
        <v>0</v>
      </c>
      <c r="G247" s="159">
        <v>5</v>
      </c>
      <c r="H247" s="152">
        <v>0</v>
      </c>
      <c r="I247" s="152">
        <v>-100</v>
      </c>
      <c r="J247" s="152">
        <v>0</v>
      </c>
      <c r="K247" s="152">
        <v>0</v>
      </c>
      <c r="L247" s="152">
        <v>0</v>
      </c>
      <c r="M247" s="152">
        <v>0.01</v>
      </c>
    </row>
    <row r="248" spans="1:13">
      <c r="A248" s="152">
        <v>208</v>
      </c>
      <c r="B248" s="152" t="s">
        <v>1188</v>
      </c>
      <c r="C248" s="152" t="s">
        <v>24</v>
      </c>
      <c r="D248" s="159">
        <v>0</v>
      </c>
      <c r="E248" s="159">
        <v>0</v>
      </c>
      <c r="F248" s="159">
        <v>0</v>
      </c>
      <c r="G248" s="159">
        <v>5</v>
      </c>
      <c r="H248" s="152">
        <v>0</v>
      </c>
      <c r="I248" s="152">
        <v>-100</v>
      </c>
      <c r="J248" s="152">
        <v>0</v>
      </c>
      <c r="K248" s="152">
        <v>0</v>
      </c>
      <c r="L248" s="152">
        <v>0</v>
      </c>
      <c r="M248" s="152">
        <v>0.01</v>
      </c>
    </row>
    <row r="249" spans="1:13" hidden="1">
      <c r="A249" s="152">
        <v>209</v>
      </c>
      <c r="B249" s="152" t="s">
        <v>454</v>
      </c>
      <c r="C249" s="152" t="s">
        <v>23</v>
      </c>
      <c r="D249" s="159">
        <v>0</v>
      </c>
      <c r="E249" s="159">
        <v>1</v>
      </c>
      <c r="F249" s="159">
        <v>0</v>
      </c>
      <c r="G249" s="159">
        <v>3</v>
      </c>
      <c r="H249" s="152">
        <v>-100</v>
      </c>
      <c r="I249" s="152">
        <v>-100</v>
      </c>
      <c r="J249" s="152">
        <v>0</v>
      </c>
      <c r="K249" s="152">
        <v>0</v>
      </c>
      <c r="L249" s="152">
        <v>0.01</v>
      </c>
      <c r="M249" s="152">
        <v>0</v>
      </c>
    </row>
    <row r="250" spans="1:13" hidden="1">
      <c r="A250" s="152">
        <v>210</v>
      </c>
      <c r="B250" s="152" t="s">
        <v>1198</v>
      </c>
      <c r="C250" s="152" t="s">
        <v>23</v>
      </c>
      <c r="D250" s="159">
        <v>0</v>
      </c>
      <c r="E250" s="159">
        <v>2</v>
      </c>
      <c r="F250" s="159">
        <v>0</v>
      </c>
      <c r="G250" s="159">
        <v>3</v>
      </c>
      <c r="H250" s="152">
        <v>-100</v>
      </c>
      <c r="I250" s="152">
        <v>-100</v>
      </c>
      <c r="J250" s="152">
        <v>0</v>
      </c>
      <c r="K250" s="152">
        <v>0</v>
      </c>
      <c r="L250" s="152">
        <v>0.02</v>
      </c>
      <c r="M250" s="152">
        <v>0</v>
      </c>
    </row>
    <row r="251" spans="1:13" hidden="1">
      <c r="A251" s="152">
        <v>211</v>
      </c>
      <c r="B251" s="152" t="s">
        <v>1172</v>
      </c>
      <c r="C251" s="152" t="s">
        <v>23</v>
      </c>
      <c r="D251" s="159">
        <v>0</v>
      </c>
      <c r="E251" s="159">
        <v>2</v>
      </c>
      <c r="F251" s="159">
        <v>0</v>
      </c>
      <c r="G251" s="159">
        <v>3</v>
      </c>
      <c r="H251" s="152">
        <v>-100</v>
      </c>
      <c r="I251" s="152">
        <v>-100</v>
      </c>
      <c r="J251" s="152">
        <v>0</v>
      </c>
      <c r="K251" s="152">
        <v>0</v>
      </c>
      <c r="L251" s="152">
        <v>0.02</v>
      </c>
      <c r="M251" s="152">
        <v>0</v>
      </c>
    </row>
    <row r="252" spans="1:13" hidden="1">
      <c r="A252" s="152">
        <v>212</v>
      </c>
      <c r="B252" s="152" t="s">
        <v>214</v>
      </c>
      <c r="C252" s="152" t="s">
        <v>23</v>
      </c>
      <c r="D252" s="159">
        <v>0</v>
      </c>
      <c r="E252" s="159">
        <v>0</v>
      </c>
      <c r="F252" s="159">
        <v>0</v>
      </c>
      <c r="G252" s="159">
        <v>2</v>
      </c>
      <c r="H252" s="152">
        <v>0</v>
      </c>
      <c r="I252" s="152">
        <v>-100</v>
      </c>
      <c r="J252" s="152">
        <v>0</v>
      </c>
      <c r="K252" s="152">
        <v>0</v>
      </c>
      <c r="L252" s="152">
        <v>0</v>
      </c>
      <c r="M252" s="152">
        <v>0</v>
      </c>
    </row>
    <row r="253" spans="1:13">
      <c r="A253" s="152">
        <v>213</v>
      </c>
      <c r="B253" s="152" t="s">
        <v>1189</v>
      </c>
      <c r="C253" s="152" t="s">
        <v>24</v>
      </c>
      <c r="D253" s="159">
        <v>0</v>
      </c>
      <c r="E253" s="159">
        <v>0</v>
      </c>
      <c r="F253" s="159">
        <v>0</v>
      </c>
      <c r="G253" s="159">
        <v>2</v>
      </c>
      <c r="H253" s="152">
        <v>0</v>
      </c>
      <c r="I253" s="152">
        <v>-100</v>
      </c>
      <c r="J253" s="152">
        <v>0</v>
      </c>
      <c r="K253" s="152">
        <v>0</v>
      </c>
      <c r="L253" s="152">
        <v>0</v>
      </c>
      <c r="M253" s="152">
        <v>0</v>
      </c>
    </row>
    <row r="254" spans="1:13" hidden="1">
      <c r="A254" s="152">
        <v>214</v>
      </c>
      <c r="B254" s="152" t="s">
        <v>1136</v>
      </c>
      <c r="C254" s="152" t="s">
        <v>23</v>
      </c>
      <c r="D254" s="159">
        <v>0</v>
      </c>
      <c r="E254" s="159">
        <v>0</v>
      </c>
      <c r="F254" s="159">
        <v>0</v>
      </c>
      <c r="G254" s="159">
        <v>1</v>
      </c>
      <c r="H254" s="152">
        <v>0</v>
      </c>
      <c r="I254" s="152">
        <v>-100</v>
      </c>
      <c r="J254" s="152">
        <v>0</v>
      </c>
      <c r="K254" s="152">
        <v>0</v>
      </c>
      <c r="L254" s="152">
        <v>0</v>
      </c>
      <c r="M254" s="152">
        <v>0</v>
      </c>
    </row>
    <row r="255" spans="1:13">
      <c r="A255" s="152"/>
      <c r="B255" s="152" t="s">
        <v>475</v>
      </c>
      <c r="C255" s="152"/>
      <c r="D255" s="159">
        <f>SUBTOTAL(109,getAggRechargeModels6[antalPerioden])</f>
        <v>11657</v>
      </c>
      <c r="E255" s="159">
        <f>SUBTOTAL(109,getAggRechargeModels6[antalFGPeriod])</f>
        <v>6383</v>
      </c>
      <c r="F255" s="159">
        <f>SUBTOTAL(109,getAggRechargeModels6[antalÅret])</f>
        <v>41489</v>
      </c>
      <c r="G255" s="159">
        <f>SUBTOTAL(109,getAggRechargeModels6[antalFGAr])</f>
        <v>31518</v>
      </c>
      <c r="H255" s="154">
        <f>IF(getAggRechargeModels6[[#Totals],[antalFGPeriod]] &gt;0,(getAggRechargeModels6[[#Totals],[antalPerioden]] - getAggRechargeModels6[[#Totals],[antalFGPeriod]] ) / getAggRechargeModels6[[#Totals],[antalFGPeriod]] *100,0)</f>
        <v>82.62572458091806</v>
      </c>
      <c r="I255" s="154">
        <f>IF(getAggRechargeModels6[[#Totals],[antalFGAr]] &gt; 0,( getAggRechargeModels6[[#Totals],[antalÅret]] - getAggRechargeModels6[[#Totals],[antalFGAr]] ) / getAggRechargeModels6[[#Totals],[antalFGAr]] * 100,0)</f>
        <v>31.63589060219557</v>
      </c>
      <c r="J255" s="160">
        <f>IF(getAggModelsPB[[#Totals],[antalPerioden]] &gt; 0,getAggRechargeModels6[[#Totals],[antalPerioden]]  / getAggModelsPB[[#Totals],[antalPerioden]] * 100,0)</f>
        <v>40.916110916110917</v>
      </c>
      <c r="K255" s="160">
        <f>IF(getAggModelsPB[[#Totals],[antalÅret]] &gt; 0,getAggRechargeModels6[[#Totals],[antalÅret]]  / getAggModelsPB[[#Totals],[antalÅret]] * 100,0)</f>
        <v>36.918490834668091</v>
      </c>
      <c r="L255" s="160">
        <f>IF(getAggModelsPB[[#Totals],[antalFGPeriod]] &gt; 0,getAggRechargeModels6[[#Totals],[antalFGPeriod]]  / getAggModelsPB[[#Totals],[antalFGPeriod]] * 100,0)</f>
        <v>24.166130314617799</v>
      </c>
      <c r="M255" s="160">
        <f>IF(getAggModelsPB[[#Totals],[antalFGAr]] &gt; 0,getAggRechargeModels6[[#Totals],[antalFGAr]]  / getAggModelsPB[[#Totals],[antalFGAr]] * 100,0)</f>
        <v>26.688908835334562</v>
      </c>
    </row>
    <row r="259" spans="1:1">
      <c r="A259" t="s">
        <v>705</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60"/>
  <sheetViews>
    <sheetView workbookViewId="0">
      <selection activeCell="P57" sqref="P57"/>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72" t="s">
        <v>643</v>
      </c>
      <c r="P2" s="72"/>
      <c r="Q2" s="72"/>
      <c r="R2" s="72"/>
      <c r="S2" s="72"/>
      <c r="T2" s="72"/>
    </row>
    <row r="3" spans="15:21">
      <c r="O3" s="27" t="s">
        <v>642</v>
      </c>
      <c r="P3" s="27"/>
      <c r="Q3" s="27"/>
      <c r="R3" s="27"/>
      <c r="S3" s="27"/>
      <c r="T3" s="27"/>
      <c r="U3" s="27"/>
    </row>
    <row r="4" spans="15:21">
      <c r="O4" s="7"/>
      <c r="P4" s="7"/>
      <c r="Q4" s="17"/>
      <c r="R4" s="17"/>
      <c r="S4" s="17"/>
      <c r="T4" s="17"/>
      <c r="U4" s="27"/>
    </row>
    <row r="5" spans="15:21" ht="16" thickBot="1">
      <c r="O5" s="20" t="s">
        <v>476</v>
      </c>
      <c r="P5" s="20">
        <v>2021</v>
      </c>
      <c r="Q5" s="20">
        <v>2022</v>
      </c>
      <c r="R5" s="20">
        <v>2023</v>
      </c>
      <c r="S5" s="27"/>
      <c r="T5" s="27"/>
      <c r="U5" s="27"/>
    </row>
    <row r="6" spans="15:21">
      <c r="O6" s="17" t="s">
        <v>2</v>
      </c>
      <c r="P6" s="37">
        <v>5787</v>
      </c>
      <c r="Q6" s="37">
        <v>5363</v>
      </c>
      <c r="R6" s="37">
        <v>3401</v>
      </c>
      <c r="S6" s="27"/>
      <c r="T6" s="27"/>
      <c r="U6" s="27"/>
    </row>
    <row r="7" spans="15:21">
      <c r="O7" s="17" t="s">
        <v>3</v>
      </c>
      <c r="P7" s="38">
        <v>6559</v>
      </c>
      <c r="Q7" s="38">
        <v>5495</v>
      </c>
      <c r="R7" s="38">
        <v>3841</v>
      </c>
      <c r="S7" s="27"/>
      <c r="T7" s="27"/>
      <c r="U7" s="27"/>
    </row>
    <row r="8" spans="15:21">
      <c r="O8" s="17" t="s">
        <v>4</v>
      </c>
      <c r="P8" s="38">
        <v>14934</v>
      </c>
      <c r="Q8" s="38">
        <v>6809</v>
      </c>
      <c r="R8" s="38">
        <v>5540</v>
      </c>
      <c r="S8" s="27"/>
      <c r="T8" s="27"/>
      <c r="U8" s="27"/>
    </row>
    <row r="9" spans="15:21">
      <c r="O9" s="17" t="s">
        <v>5</v>
      </c>
      <c r="P9" s="38">
        <v>4563</v>
      </c>
      <c r="Q9" s="38">
        <v>5146</v>
      </c>
      <c r="R9" s="38">
        <v>4549</v>
      </c>
      <c r="S9" s="27"/>
      <c r="T9" s="27"/>
      <c r="U9" s="27"/>
    </row>
    <row r="10" spans="15:21">
      <c r="O10" s="17" t="s">
        <v>6</v>
      </c>
      <c r="P10" s="38">
        <v>5547</v>
      </c>
      <c r="Q10" s="38">
        <v>6138</v>
      </c>
      <c r="R10" s="38">
        <v>5975</v>
      </c>
      <c r="S10" s="27"/>
      <c r="T10" s="27"/>
      <c r="U10" s="27"/>
    </row>
    <row r="11" spans="15:21">
      <c r="O11" s="17" t="s">
        <v>7</v>
      </c>
      <c r="P11" s="38">
        <v>9142</v>
      </c>
      <c r="Q11" s="38">
        <v>6137</v>
      </c>
      <c r="R11" s="38"/>
      <c r="S11" s="27"/>
      <c r="T11" s="27"/>
      <c r="U11" s="27"/>
    </row>
    <row r="12" spans="15:21">
      <c r="O12" s="17" t="s">
        <v>8</v>
      </c>
      <c r="P12" s="38">
        <v>3777</v>
      </c>
      <c r="Q12" s="38">
        <v>4239</v>
      </c>
      <c r="R12" s="38"/>
      <c r="S12" s="27"/>
      <c r="T12" s="27"/>
      <c r="U12" s="27"/>
    </row>
    <row r="13" spans="15:21">
      <c r="O13" s="17" t="s">
        <v>9</v>
      </c>
      <c r="P13" s="38">
        <v>4541</v>
      </c>
      <c r="Q13" s="38">
        <v>3649</v>
      </c>
      <c r="R13" s="38"/>
      <c r="S13" s="27"/>
      <c r="T13" s="27"/>
      <c r="U13" s="27"/>
    </row>
    <row r="14" spans="15:21">
      <c r="O14" s="17" t="s">
        <v>10</v>
      </c>
      <c r="P14" s="38">
        <v>4754</v>
      </c>
      <c r="Q14" s="38">
        <v>4370</v>
      </c>
      <c r="R14" s="38"/>
      <c r="S14" s="27"/>
      <c r="T14" s="27"/>
      <c r="U14" s="27"/>
    </row>
    <row r="15" spans="15:21">
      <c r="O15" s="17" t="s">
        <v>11</v>
      </c>
      <c r="P15" s="38">
        <v>5583</v>
      </c>
      <c r="Q15" s="38">
        <v>5359</v>
      </c>
      <c r="R15" s="38"/>
      <c r="S15" s="27"/>
      <c r="T15" s="27"/>
      <c r="U15" s="27"/>
    </row>
    <row r="16" spans="15:21">
      <c r="O16" s="17" t="s">
        <v>12</v>
      </c>
      <c r="P16" s="38">
        <v>5962</v>
      </c>
      <c r="Q16" s="38">
        <v>5650</v>
      </c>
      <c r="R16" s="38"/>
      <c r="S16" s="27"/>
      <c r="T16" s="27"/>
      <c r="U16" s="27"/>
    </row>
    <row r="17" spans="15:21" ht="16" thickBot="1">
      <c r="O17" s="28" t="s">
        <v>13</v>
      </c>
      <c r="P17" s="149">
        <v>6692</v>
      </c>
      <c r="Q17" s="149">
        <v>8259</v>
      </c>
      <c r="R17" s="149"/>
      <c r="S17" s="27"/>
      <c r="T17" s="27"/>
      <c r="U17" s="27"/>
    </row>
    <row r="18" spans="15:21">
      <c r="O18" s="7" t="s">
        <v>559</v>
      </c>
      <c r="P18" s="36">
        <f>SUMIF(R6:R17,"&gt;0",P6:P17)</f>
        <v>37390</v>
      </c>
      <c r="Q18" s="36">
        <f>SUMIF(R6:R17,"&gt;0",Q6:Q17)</f>
        <v>28951</v>
      </c>
      <c r="R18" s="36">
        <f>SUM(R6:R17)</f>
        <v>23306</v>
      </c>
      <c r="S18" s="27"/>
      <c r="T18" s="27"/>
      <c r="U18" s="27"/>
    </row>
    <row r="19" spans="15:21">
      <c r="O19" s="7" t="s">
        <v>558</v>
      </c>
      <c r="P19" s="33">
        <f>SUM(P6:P17)</f>
        <v>77841</v>
      </c>
      <c r="Q19" s="33">
        <f>SUM(Q6:Q17)</f>
        <v>66614</v>
      </c>
      <c r="R19" s="27"/>
      <c r="S19" s="27"/>
      <c r="T19" s="27"/>
      <c r="U19" s="27"/>
    </row>
    <row r="35" spans="1:15" ht="21" thickBot="1">
      <c r="A35" s="72" t="s">
        <v>689</v>
      </c>
      <c r="B35" s="72"/>
      <c r="C35" s="10"/>
      <c r="D35" s="291" t="s">
        <v>1299</v>
      </c>
    </row>
    <row r="36" spans="1:15" ht="20">
      <c r="A36" s="10"/>
    </row>
    <row r="37" spans="1:15">
      <c r="A37" s="8" t="s">
        <v>472</v>
      </c>
      <c r="B37" s="59"/>
      <c r="C37" s="59"/>
      <c r="D37" s="59"/>
      <c r="E37" s="59"/>
      <c r="F37" s="59"/>
      <c r="G37" s="59"/>
      <c r="H37" s="275" t="s">
        <v>473</v>
      </c>
      <c r="I37" s="275"/>
      <c r="J37" s="275"/>
      <c r="K37" s="275"/>
      <c r="L37" s="275"/>
      <c r="M37" s="275"/>
      <c r="N37" s="59"/>
      <c r="O37" s="59"/>
    </row>
    <row r="38" spans="1:15">
      <c r="A38" s="117"/>
      <c r="B38" s="128"/>
      <c r="C38" s="128"/>
      <c r="D38" s="276" t="s">
        <v>560</v>
      </c>
      <c r="E38" s="277"/>
      <c r="F38" s="278" t="s">
        <v>560</v>
      </c>
      <c r="G38" s="279"/>
      <c r="H38" s="278" t="s">
        <v>561</v>
      </c>
      <c r="I38" s="279"/>
      <c r="J38" s="278" t="s">
        <v>562</v>
      </c>
      <c r="K38" s="279"/>
      <c r="L38" s="278" t="s">
        <v>562</v>
      </c>
      <c r="M38" s="279"/>
      <c r="N38" s="59"/>
      <c r="O38" s="59"/>
    </row>
    <row r="39" spans="1:15">
      <c r="A39" s="117"/>
      <c r="B39" s="129" t="s">
        <v>474</v>
      </c>
      <c r="C39" s="130" t="s">
        <v>564</v>
      </c>
      <c r="D39" s="131" t="str">
        <f>Innehåll!D79</f>
        <v xml:space="preserve"> 2023-05</v>
      </c>
      <c r="E39" s="131" t="str">
        <f>Innehåll!D80</f>
        <v xml:space="preserve"> 2022-05</v>
      </c>
      <c r="F39" s="131" t="str">
        <f>Innehåll!D81</f>
        <v>YTD  2023</v>
      </c>
      <c r="G39" s="131" t="str">
        <f>Innehåll!D82</f>
        <v>YTD  2022</v>
      </c>
      <c r="H39" s="131" t="str">
        <f>D39</f>
        <v xml:space="preserve"> 2023-05</v>
      </c>
      <c r="I39" s="132" t="str">
        <f>F39</f>
        <v>YTD  2023</v>
      </c>
      <c r="J39" s="131" t="str">
        <f>D39</f>
        <v xml:space="preserve"> 2023-05</v>
      </c>
      <c r="K39" s="133" t="str">
        <f>F39</f>
        <v>YTD  2023</v>
      </c>
      <c r="L39" s="134" t="str">
        <f>E39</f>
        <v xml:space="preserve"> 2022-05</v>
      </c>
      <c r="M39" s="134" t="str">
        <f>G39</f>
        <v>YTD  2022</v>
      </c>
      <c r="N39" s="59"/>
      <c r="O39" s="59"/>
    </row>
    <row r="40" spans="1:15" ht="15" hidden="1" customHeight="1">
      <c r="A40" s="59" t="s">
        <v>33</v>
      </c>
      <c r="B40" s="59" t="s">
        <v>235</v>
      </c>
      <c r="C40" s="59" t="s">
        <v>236</v>
      </c>
      <c r="D40" s="59" t="s">
        <v>35</v>
      </c>
      <c r="E40" s="59" t="s">
        <v>36</v>
      </c>
      <c r="F40" s="59" t="s">
        <v>37</v>
      </c>
      <c r="G40" s="59" t="s">
        <v>38</v>
      </c>
      <c r="H40" s="59" t="s">
        <v>39</v>
      </c>
      <c r="I40" s="59" t="s">
        <v>40</v>
      </c>
      <c r="J40" s="59" t="s">
        <v>41</v>
      </c>
      <c r="K40" s="59" t="s">
        <v>42</v>
      </c>
      <c r="L40" s="59" t="s">
        <v>43</v>
      </c>
      <c r="M40" s="59" t="s">
        <v>44</v>
      </c>
      <c r="N40" s="59"/>
      <c r="O40" s="59"/>
    </row>
    <row r="41" spans="1:15" hidden="1">
      <c r="A41" s="59">
        <v>1</v>
      </c>
      <c r="B41" s="59" t="s">
        <v>627</v>
      </c>
      <c r="C41" s="59" t="s">
        <v>24</v>
      </c>
      <c r="D41" s="24">
        <v>1903</v>
      </c>
      <c r="E41" s="24">
        <v>312</v>
      </c>
      <c r="F41" s="24">
        <v>6165</v>
      </c>
      <c r="G41" s="24">
        <v>2271</v>
      </c>
      <c r="H41" s="59">
        <v>509.94</v>
      </c>
      <c r="I41" s="59">
        <v>171.47</v>
      </c>
      <c r="J41" s="59">
        <v>10.79</v>
      </c>
      <c r="K41" s="59">
        <v>9.51</v>
      </c>
      <c r="L41" s="59">
        <v>2.4900000000000002</v>
      </c>
      <c r="M41" s="59">
        <v>3.76</v>
      </c>
      <c r="N41" s="59"/>
      <c r="O41" s="59"/>
    </row>
    <row r="42" spans="1:15" hidden="1">
      <c r="A42" s="59">
        <v>2</v>
      </c>
      <c r="B42" s="59" t="s">
        <v>443</v>
      </c>
      <c r="C42" s="59" t="s">
        <v>24</v>
      </c>
      <c r="D42" s="24">
        <v>1041</v>
      </c>
      <c r="E42" s="24">
        <v>318</v>
      </c>
      <c r="F42" s="24">
        <v>4483</v>
      </c>
      <c r="G42" s="24">
        <v>2131</v>
      </c>
      <c r="H42" s="59">
        <v>227.36</v>
      </c>
      <c r="I42" s="59">
        <v>110.37</v>
      </c>
      <c r="J42" s="59">
        <v>5.9</v>
      </c>
      <c r="K42" s="59">
        <v>6.92</v>
      </c>
      <c r="L42" s="59">
        <v>2.54</v>
      </c>
      <c r="M42" s="59">
        <v>3.52</v>
      </c>
      <c r="N42" s="59"/>
      <c r="O42" s="59"/>
    </row>
    <row r="43" spans="1:15">
      <c r="A43" s="59">
        <v>3</v>
      </c>
      <c r="B43" s="59" t="s">
        <v>413</v>
      </c>
      <c r="C43" s="59" t="s">
        <v>23</v>
      </c>
      <c r="D43" s="24">
        <v>944</v>
      </c>
      <c r="E43" s="24">
        <v>365</v>
      </c>
      <c r="F43" s="24">
        <v>3521</v>
      </c>
      <c r="G43" s="24">
        <v>2942</v>
      </c>
      <c r="H43" s="59">
        <v>158.63</v>
      </c>
      <c r="I43" s="59">
        <v>19.68</v>
      </c>
      <c r="J43" s="59">
        <v>5.35</v>
      </c>
      <c r="K43" s="59">
        <v>5.43</v>
      </c>
      <c r="L43" s="59">
        <v>2.92</v>
      </c>
      <c r="M43" s="59">
        <v>4.87</v>
      </c>
      <c r="N43" s="59"/>
      <c r="O43" s="59"/>
    </row>
    <row r="44" spans="1:15" hidden="1">
      <c r="A44" s="59">
        <v>4</v>
      </c>
      <c r="B44" s="59" t="s">
        <v>503</v>
      </c>
      <c r="C44" s="59" t="s">
        <v>24</v>
      </c>
      <c r="D44" s="24">
        <v>837</v>
      </c>
      <c r="E44" s="24">
        <v>658</v>
      </c>
      <c r="F44" s="24">
        <v>3390</v>
      </c>
      <c r="G44" s="24">
        <v>3100</v>
      </c>
      <c r="H44" s="59">
        <v>27.2</v>
      </c>
      <c r="I44" s="59">
        <v>9.35</v>
      </c>
      <c r="J44" s="59">
        <v>4.75</v>
      </c>
      <c r="K44" s="59">
        <v>5.23</v>
      </c>
      <c r="L44" s="59">
        <v>5.26</v>
      </c>
      <c r="M44" s="59">
        <v>5.13</v>
      </c>
      <c r="N44" s="59"/>
      <c r="O44" s="59"/>
    </row>
    <row r="45" spans="1:15" hidden="1">
      <c r="A45" s="59">
        <v>5</v>
      </c>
      <c r="B45" s="59" t="s">
        <v>655</v>
      </c>
      <c r="C45" s="59" t="s">
        <v>24</v>
      </c>
      <c r="D45" s="24">
        <v>387</v>
      </c>
      <c r="E45" s="24">
        <v>296</v>
      </c>
      <c r="F45" s="24">
        <v>1997</v>
      </c>
      <c r="G45" s="24">
        <v>1489</v>
      </c>
      <c r="H45" s="59">
        <v>30.74</v>
      </c>
      <c r="I45" s="59">
        <v>34.119999999999997</v>
      </c>
      <c r="J45" s="59">
        <v>2.19</v>
      </c>
      <c r="K45" s="59">
        <v>3.08</v>
      </c>
      <c r="L45" s="59">
        <v>2.36</v>
      </c>
      <c r="M45" s="59">
        <v>2.46</v>
      </c>
      <c r="N45" s="59"/>
      <c r="O45" s="59"/>
    </row>
    <row r="46" spans="1:15" hidden="1">
      <c r="A46" s="59">
        <v>6</v>
      </c>
      <c r="B46" s="59" t="s">
        <v>663</v>
      </c>
      <c r="C46" s="59" t="s">
        <v>24</v>
      </c>
      <c r="D46" s="24">
        <v>556</v>
      </c>
      <c r="E46" s="24">
        <v>50</v>
      </c>
      <c r="F46" s="24">
        <v>1658</v>
      </c>
      <c r="G46" s="24">
        <v>343</v>
      </c>
      <c r="H46" s="59">
        <v>1012</v>
      </c>
      <c r="I46" s="59">
        <v>383.38</v>
      </c>
      <c r="J46" s="59">
        <v>3.15</v>
      </c>
      <c r="K46" s="59">
        <v>2.56</v>
      </c>
      <c r="L46" s="59">
        <v>0.4</v>
      </c>
      <c r="M46" s="59">
        <v>0.56999999999999995</v>
      </c>
      <c r="N46" s="59"/>
      <c r="O46" s="59"/>
    </row>
    <row r="47" spans="1:15">
      <c r="A47" s="59">
        <v>7</v>
      </c>
      <c r="B47" s="59" t="s">
        <v>715</v>
      </c>
      <c r="C47" s="59" t="s">
        <v>23</v>
      </c>
      <c r="D47" s="24">
        <v>336</v>
      </c>
      <c r="E47" s="24">
        <v>337</v>
      </c>
      <c r="F47" s="24">
        <v>1560</v>
      </c>
      <c r="G47" s="24">
        <v>767</v>
      </c>
      <c r="H47" s="59">
        <v>-0.3</v>
      </c>
      <c r="I47" s="59">
        <v>103.39</v>
      </c>
      <c r="J47" s="59">
        <v>1.91</v>
      </c>
      <c r="K47" s="59">
        <v>2.41</v>
      </c>
      <c r="L47" s="59">
        <v>2.69</v>
      </c>
      <c r="M47" s="59">
        <v>1.27</v>
      </c>
      <c r="N47" s="59"/>
      <c r="O47" s="59"/>
    </row>
    <row r="48" spans="1:15" hidden="1">
      <c r="A48" s="59">
        <v>8</v>
      </c>
      <c r="B48" s="59" t="s">
        <v>592</v>
      </c>
      <c r="C48" s="59" t="s">
        <v>24</v>
      </c>
      <c r="D48" s="24">
        <v>438</v>
      </c>
      <c r="E48" s="24">
        <v>391</v>
      </c>
      <c r="F48" s="24">
        <v>1520</v>
      </c>
      <c r="G48" s="24">
        <v>1190</v>
      </c>
      <c r="H48" s="59">
        <v>12.02</v>
      </c>
      <c r="I48" s="59">
        <v>27.73</v>
      </c>
      <c r="J48" s="59">
        <v>2.48</v>
      </c>
      <c r="K48" s="59">
        <v>2.34</v>
      </c>
      <c r="L48" s="59">
        <v>3.12</v>
      </c>
      <c r="M48" s="59">
        <v>1.97</v>
      </c>
      <c r="N48" s="59"/>
      <c r="O48" s="59"/>
    </row>
    <row r="49" spans="1:15" hidden="1">
      <c r="A49" s="59">
        <v>9</v>
      </c>
      <c r="B49" s="59" t="s">
        <v>239</v>
      </c>
      <c r="C49" s="59" t="s">
        <v>24</v>
      </c>
      <c r="D49" s="24">
        <v>349</v>
      </c>
      <c r="E49" s="24">
        <v>564</v>
      </c>
      <c r="F49" s="24">
        <v>1517</v>
      </c>
      <c r="G49" s="24">
        <v>3714</v>
      </c>
      <c r="H49" s="59">
        <v>-38.119999999999997</v>
      </c>
      <c r="I49" s="59">
        <v>-59.15</v>
      </c>
      <c r="J49" s="59">
        <v>1.98</v>
      </c>
      <c r="K49" s="59">
        <v>2.34</v>
      </c>
      <c r="L49" s="59">
        <v>4.5</v>
      </c>
      <c r="M49" s="59">
        <v>6.14</v>
      </c>
      <c r="N49" s="59"/>
      <c r="O49" s="59"/>
    </row>
    <row r="50" spans="1:15">
      <c r="A50" s="59">
        <v>10</v>
      </c>
      <c r="B50" s="59" t="s">
        <v>391</v>
      </c>
      <c r="C50" s="59" t="s">
        <v>23</v>
      </c>
      <c r="D50" s="24">
        <v>298</v>
      </c>
      <c r="E50" s="24">
        <v>721</v>
      </c>
      <c r="F50" s="24">
        <v>1421</v>
      </c>
      <c r="G50" s="24">
        <v>2472</v>
      </c>
      <c r="H50" s="59">
        <v>-58.67</v>
      </c>
      <c r="I50" s="59">
        <v>-42.52</v>
      </c>
      <c r="J50" s="59">
        <v>1.69</v>
      </c>
      <c r="K50" s="59">
        <v>2.19</v>
      </c>
      <c r="L50" s="59">
        <v>5.76</v>
      </c>
      <c r="M50" s="59">
        <v>4.09</v>
      </c>
      <c r="N50" s="59"/>
      <c r="O50" s="59"/>
    </row>
    <row r="51" spans="1:15" hidden="1">
      <c r="A51" s="59">
        <v>11</v>
      </c>
      <c r="B51" s="59" t="s">
        <v>424</v>
      </c>
      <c r="C51" s="59" t="s">
        <v>24</v>
      </c>
      <c r="D51" s="24">
        <v>695</v>
      </c>
      <c r="E51" s="24">
        <v>315</v>
      </c>
      <c r="F51" s="24">
        <v>1339</v>
      </c>
      <c r="G51" s="24">
        <v>1999</v>
      </c>
      <c r="H51" s="59">
        <v>120.63</v>
      </c>
      <c r="I51" s="59">
        <v>-33.020000000000003</v>
      </c>
      <c r="J51" s="59">
        <v>3.94</v>
      </c>
      <c r="K51" s="59">
        <v>2.0699999999999998</v>
      </c>
      <c r="L51" s="59">
        <v>2.52</v>
      </c>
      <c r="M51" s="59">
        <v>3.31</v>
      </c>
      <c r="N51" s="59"/>
      <c r="O51" s="59"/>
    </row>
    <row r="52" spans="1:15" hidden="1">
      <c r="A52" s="59">
        <v>12</v>
      </c>
      <c r="B52" s="59" t="s">
        <v>64</v>
      </c>
      <c r="C52" s="59" t="s">
        <v>24</v>
      </c>
      <c r="D52" s="24">
        <v>188</v>
      </c>
      <c r="E52" s="24">
        <v>0</v>
      </c>
      <c r="F52" s="24">
        <v>1254</v>
      </c>
      <c r="G52" s="24">
        <v>1183</v>
      </c>
      <c r="H52" s="59">
        <v>0</v>
      </c>
      <c r="I52" s="59">
        <v>6</v>
      </c>
      <c r="J52" s="59">
        <v>1.07</v>
      </c>
      <c r="K52" s="59">
        <v>1.93</v>
      </c>
      <c r="L52" s="59">
        <v>0</v>
      </c>
      <c r="M52" s="59">
        <v>1.96</v>
      </c>
      <c r="N52" s="59"/>
      <c r="O52" s="59"/>
    </row>
    <row r="53" spans="1:15" hidden="1">
      <c r="A53" s="59">
        <v>13</v>
      </c>
      <c r="B53" s="59" t="s">
        <v>437</v>
      </c>
      <c r="C53" s="59" t="s">
        <v>24</v>
      </c>
      <c r="D53" s="24">
        <v>337</v>
      </c>
      <c r="E53" s="24">
        <v>135</v>
      </c>
      <c r="F53" s="24">
        <v>1229</v>
      </c>
      <c r="G53" s="24">
        <v>621</v>
      </c>
      <c r="H53" s="59">
        <v>149.63</v>
      </c>
      <c r="I53" s="59">
        <v>97.91</v>
      </c>
      <c r="J53" s="59">
        <v>1.91</v>
      </c>
      <c r="K53" s="59">
        <v>1.9</v>
      </c>
      <c r="L53" s="59">
        <v>1.08</v>
      </c>
      <c r="M53" s="59">
        <v>1.03</v>
      </c>
      <c r="N53" s="59"/>
      <c r="O53" s="59"/>
    </row>
    <row r="54" spans="1:15" hidden="1">
      <c r="A54" s="59">
        <v>14</v>
      </c>
      <c r="B54" s="59" t="s">
        <v>720</v>
      </c>
      <c r="C54" s="59" t="s">
        <v>24</v>
      </c>
      <c r="D54" s="24">
        <v>277</v>
      </c>
      <c r="E54" s="24">
        <v>61</v>
      </c>
      <c r="F54" s="24">
        <v>1155</v>
      </c>
      <c r="G54" s="24">
        <v>163</v>
      </c>
      <c r="H54" s="59">
        <v>354.1</v>
      </c>
      <c r="I54" s="59">
        <v>608.59</v>
      </c>
      <c r="J54" s="59">
        <v>1.57</v>
      </c>
      <c r="K54" s="59">
        <v>1.78</v>
      </c>
      <c r="L54" s="59">
        <v>0.49</v>
      </c>
      <c r="M54" s="59">
        <v>0.27</v>
      </c>
      <c r="N54" s="59"/>
      <c r="O54" s="59"/>
    </row>
    <row r="55" spans="1:15" hidden="1">
      <c r="A55" s="59">
        <v>15</v>
      </c>
      <c r="B55" s="59" t="s">
        <v>619</v>
      </c>
      <c r="C55" s="59" t="s">
        <v>24</v>
      </c>
      <c r="D55" s="24">
        <v>387</v>
      </c>
      <c r="E55" s="24">
        <v>212</v>
      </c>
      <c r="F55" s="24">
        <v>1141</v>
      </c>
      <c r="G55" s="24">
        <v>990</v>
      </c>
      <c r="H55" s="59">
        <v>82.55</v>
      </c>
      <c r="I55" s="59">
        <v>15.25</v>
      </c>
      <c r="J55" s="59">
        <v>2.19</v>
      </c>
      <c r="K55" s="59">
        <v>1.76</v>
      </c>
      <c r="L55" s="59">
        <v>1.69</v>
      </c>
      <c r="M55" s="59">
        <v>1.64</v>
      </c>
      <c r="N55" s="59"/>
      <c r="O55" s="59"/>
    </row>
    <row r="56" spans="1:15">
      <c r="A56" s="59">
        <v>16</v>
      </c>
      <c r="B56" s="59" t="s">
        <v>395</v>
      </c>
      <c r="C56" s="59" t="s">
        <v>23</v>
      </c>
      <c r="D56" s="24">
        <v>396</v>
      </c>
      <c r="E56" s="24">
        <v>717</v>
      </c>
      <c r="F56" s="24">
        <v>1019</v>
      </c>
      <c r="G56" s="24">
        <v>1775</v>
      </c>
      <c r="H56" s="59">
        <v>-44.77</v>
      </c>
      <c r="I56" s="59">
        <v>-42.59</v>
      </c>
      <c r="J56" s="59">
        <v>2.25</v>
      </c>
      <c r="K56" s="59">
        <v>1.57</v>
      </c>
      <c r="L56" s="59">
        <v>5.73</v>
      </c>
      <c r="M56" s="59">
        <v>2.94</v>
      </c>
      <c r="N56" s="59"/>
      <c r="O56" s="59"/>
    </row>
    <row r="57" spans="1:15">
      <c r="A57" s="59">
        <v>17</v>
      </c>
      <c r="B57" s="59" t="s">
        <v>414</v>
      </c>
      <c r="C57" s="59" t="s">
        <v>23</v>
      </c>
      <c r="D57" s="24">
        <v>283</v>
      </c>
      <c r="E57" s="24">
        <v>129</v>
      </c>
      <c r="F57" s="24">
        <v>928</v>
      </c>
      <c r="G57" s="24">
        <v>1008</v>
      </c>
      <c r="H57" s="59">
        <v>119.38</v>
      </c>
      <c r="I57" s="59">
        <v>-7.94</v>
      </c>
      <c r="J57" s="59">
        <v>1.61</v>
      </c>
      <c r="K57" s="59">
        <v>1.43</v>
      </c>
      <c r="L57" s="59">
        <v>1.03</v>
      </c>
      <c r="M57" s="59">
        <v>1.67</v>
      </c>
      <c r="N57" s="59"/>
      <c r="O57" s="59"/>
    </row>
    <row r="58" spans="1:15">
      <c r="A58" s="59">
        <v>18</v>
      </c>
      <c r="B58" s="59" t="s">
        <v>241</v>
      </c>
      <c r="C58" s="59" t="s">
        <v>23</v>
      </c>
      <c r="D58" s="24">
        <v>300</v>
      </c>
      <c r="E58" s="24">
        <v>56</v>
      </c>
      <c r="F58" s="24">
        <v>857</v>
      </c>
      <c r="G58" s="24">
        <v>537</v>
      </c>
      <c r="H58" s="59">
        <v>435.71</v>
      </c>
      <c r="I58" s="59">
        <v>59.59</v>
      </c>
      <c r="J58" s="59">
        <v>1.7</v>
      </c>
      <c r="K58" s="59">
        <v>1.32</v>
      </c>
      <c r="L58" s="59">
        <v>0.45</v>
      </c>
      <c r="M58" s="59">
        <v>0.89</v>
      </c>
      <c r="N58" s="59"/>
      <c r="O58" s="59"/>
    </row>
    <row r="59" spans="1:15">
      <c r="A59" s="59">
        <v>19</v>
      </c>
      <c r="B59" s="59" t="s">
        <v>429</v>
      </c>
      <c r="C59" s="59" t="s">
        <v>23</v>
      </c>
      <c r="D59" s="24">
        <v>105</v>
      </c>
      <c r="E59" s="24">
        <v>605</v>
      </c>
      <c r="F59" s="24">
        <v>834</v>
      </c>
      <c r="G59" s="24">
        <v>2063</v>
      </c>
      <c r="H59" s="59">
        <v>-82.64</v>
      </c>
      <c r="I59" s="59">
        <v>-59.57</v>
      </c>
      <c r="J59" s="59">
        <v>0.6</v>
      </c>
      <c r="K59" s="59">
        <v>1.29</v>
      </c>
      <c r="L59" s="59">
        <v>4.83</v>
      </c>
      <c r="M59" s="59">
        <v>3.41</v>
      </c>
      <c r="N59" s="59"/>
      <c r="O59" s="59"/>
    </row>
    <row r="60" spans="1:15">
      <c r="A60" s="59">
        <v>20</v>
      </c>
      <c r="B60" s="59" t="s">
        <v>597</v>
      </c>
      <c r="C60" s="59" t="s">
        <v>23</v>
      </c>
      <c r="D60" s="24">
        <v>206</v>
      </c>
      <c r="E60" s="24">
        <v>294</v>
      </c>
      <c r="F60" s="24">
        <v>786</v>
      </c>
      <c r="G60" s="24">
        <v>848</v>
      </c>
      <c r="H60" s="59">
        <v>-29.93</v>
      </c>
      <c r="I60" s="59">
        <v>-7.31</v>
      </c>
      <c r="J60" s="59">
        <v>1.17</v>
      </c>
      <c r="K60" s="59">
        <v>1.21</v>
      </c>
      <c r="L60" s="59">
        <v>2.35</v>
      </c>
      <c r="M60" s="59">
        <v>1.4</v>
      </c>
      <c r="N60" s="59"/>
      <c r="O60" s="59"/>
    </row>
    <row r="61" spans="1:15" hidden="1">
      <c r="A61" s="59">
        <v>21</v>
      </c>
      <c r="B61" s="59" t="s">
        <v>664</v>
      </c>
      <c r="C61" s="59" t="s">
        <v>24</v>
      </c>
      <c r="D61" s="24">
        <v>406</v>
      </c>
      <c r="E61" s="24">
        <v>278</v>
      </c>
      <c r="F61" s="24">
        <v>747</v>
      </c>
      <c r="G61" s="24">
        <v>463</v>
      </c>
      <c r="H61" s="59">
        <v>46.04</v>
      </c>
      <c r="I61" s="59">
        <v>61.34</v>
      </c>
      <c r="J61" s="59">
        <v>2.2999999999999998</v>
      </c>
      <c r="K61" s="59">
        <v>1.1499999999999999</v>
      </c>
      <c r="L61" s="59">
        <v>2.2200000000000002</v>
      </c>
      <c r="M61" s="59">
        <v>0.77</v>
      </c>
      <c r="N61" s="59"/>
      <c r="O61" s="59"/>
    </row>
    <row r="62" spans="1:15">
      <c r="A62" s="59">
        <v>22</v>
      </c>
      <c r="B62" s="59" t="s">
        <v>1011</v>
      </c>
      <c r="C62" s="59" t="s">
        <v>23</v>
      </c>
      <c r="D62" s="24">
        <v>41</v>
      </c>
      <c r="E62" s="24">
        <v>0</v>
      </c>
      <c r="F62" s="24">
        <v>706</v>
      </c>
      <c r="G62" s="24">
        <v>0</v>
      </c>
      <c r="H62" s="59">
        <v>0</v>
      </c>
      <c r="I62" s="59">
        <v>0</v>
      </c>
      <c r="J62" s="59">
        <v>0.23</v>
      </c>
      <c r="K62" s="59">
        <v>1.0900000000000001</v>
      </c>
      <c r="L62" s="59">
        <v>0</v>
      </c>
      <c r="M62" s="59">
        <v>0</v>
      </c>
      <c r="N62" s="59"/>
      <c r="O62" s="59"/>
    </row>
    <row r="63" spans="1:15" hidden="1">
      <c r="A63" s="59">
        <v>23</v>
      </c>
      <c r="B63" s="59" t="s">
        <v>103</v>
      </c>
      <c r="C63" s="59" t="s">
        <v>24</v>
      </c>
      <c r="D63" s="24">
        <v>134</v>
      </c>
      <c r="E63" s="24">
        <v>231</v>
      </c>
      <c r="F63" s="24">
        <v>700</v>
      </c>
      <c r="G63" s="24">
        <v>1450</v>
      </c>
      <c r="H63" s="59">
        <v>-41.99</v>
      </c>
      <c r="I63" s="59">
        <v>-51.72</v>
      </c>
      <c r="J63" s="59">
        <v>0.76</v>
      </c>
      <c r="K63" s="59">
        <v>1.08</v>
      </c>
      <c r="L63" s="59">
        <v>1.84</v>
      </c>
      <c r="M63" s="59">
        <v>2.4</v>
      </c>
      <c r="N63" s="59"/>
      <c r="O63" s="59"/>
    </row>
    <row r="64" spans="1:15" hidden="1">
      <c r="A64" s="59">
        <v>24</v>
      </c>
      <c r="B64" s="59" t="s">
        <v>1057</v>
      </c>
      <c r="C64" s="59" t="s">
        <v>24</v>
      </c>
      <c r="D64" s="24">
        <v>173</v>
      </c>
      <c r="E64" s="24">
        <v>0</v>
      </c>
      <c r="F64" s="24">
        <v>669</v>
      </c>
      <c r="G64" s="24">
        <v>0</v>
      </c>
      <c r="H64" s="59">
        <v>0</v>
      </c>
      <c r="I64" s="59">
        <v>0</v>
      </c>
      <c r="J64" s="59">
        <v>0.98</v>
      </c>
      <c r="K64" s="59">
        <v>1.03</v>
      </c>
      <c r="L64" s="59">
        <v>0</v>
      </c>
      <c r="M64" s="59">
        <v>0</v>
      </c>
      <c r="N64" s="59"/>
      <c r="O64" s="59"/>
    </row>
    <row r="65" spans="1:15" hidden="1">
      <c r="A65" s="59">
        <v>25</v>
      </c>
      <c r="B65" s="59" t="s">
        <v>1038</v>
      </c>
      <c r="C65" s="59" t="s">
        <v>24</v>
      </c>
      <c r="D65" s="24">
        <v>276</v>
      </c>
      <c r="E65" s="24">
        <v>0</v>
      </c>
      <c r="F65" s="24">
        <v>663</v>
      </c>
      <c r="G65" s="24">
        <v>0</v>
      </c>
      <c r="H65" s="59">
        <v>0</v>
      </c>
      <c r="I65" s="59">
        <v>0</v>
      </c>
      <c r="J65" s="59">
        <v>1.57</v>
      </c>
      <c r="K65" s="59">
        <v>1.02</v>
      </c>
      <c r="L65" s="59">
        <v>0</v>
      </c>
      <c r="M65" s="59">
        <v>0</v>
      </c>
      <c r="N65" s="59"/>
      <c r="O65" s="59"/>
    </row>
    <row r="66" spans="1:15" hidden="1">
      <c r="A66" s="59">
        <v>26</v>
      </c>
      <c r="B66" s="59" t="s">
        <v>717</v>
      </c>
      <c r="C66" s="59" t="s">
        <v>24</v>
      </c>
      <c r="D66" s="24">
        <v>64</v>
      </c>
      <c r="E66" s="24">
        <v>1</v>
      </c>
      <c r="F66" s="24">
        <v>651</v>
      </c>
      <c r="G66" s="24">
        <v>8</v>
      </c>
      <c r="H66" s="59">
        <v>6300</v>
      </c>
      <c r="I66" s="59">
        <v>8037.5</v>
      </c>
      <c r="J66" s="59">
        <v>0.36</v>
      </c>
      <c r="K66" s="59">
        <v>1</v>
      </c>
      <c r="L66" s="59">
        <v>0.01</v>
      </c>
      <c r="M66" s="59">
        <v>0.01</v>
      </c>
      <c r="N66" s="59"/>
      <c r="O66" s="59"/>
    </row>
    <row r="67" spans="1:15">
      <c r="A67" s="59">
        <v>27</v>
      </c>
      <c r="B67" s="59" t="s">
        <v>420</v>
      </c>
      <c r="C67" s="59" t="s">
        <v>23</v>
      </c>
      <c r="D67" s="24">
        <v>89</v>
      </c>
      <c r="E67" s="24">
        <v>87</v>
      </c>
      <c r="F67" s="24">
        <v>623</v>
      </c>
      <c r="G67" s="24">
        <v>718</v>
      </c>
      <c r="H67" s="59">
        <v>2.2999999999999998</v>
      </c>
      <c r="I67" s="59">
        <v>-13.23</v>
      </c>
      <c r="J67" s="59">
        <v>0.5</v>
      </c>
      <c r="K67" s="59">
        <v>0.96</v>
      </c>
      <c r="L67" s="59">
        <v>0.69</v>
      </c>
      <c r="M67" s="59">
        <v>1.19</v>
      </c>
      <c r="N67" s="59"/>
      <c r="O67" s="59"/>
    </row>
    <row r="68" spans="1:15">
      <c r="A68" s="59">
        <v>28</v>
      </c>
      <c r="B68" s="59" t="s">
        <v>415</v>
      </c>
      <c r="C68" s="59" t="s">
        <v>23</v>
      </c>
      <c r="D68" s="24">
        <v>311</v>
      </c>
      <c r="E68" s="24">
        <v>111</v>
      </c>
      <c r="F68" s="24">
        <v>618</v>
      </c>
      <c r="G68" s="24">
        <v>1055</v>
      </c>
      <c r="H68" s="59">
        <v>180.18</v>
      </c>
      <c r="I68" s="59">
        <v>-41.42</v>
      </c>
      <c r="J68" s="59">
        <v>1.76</v>
      </c>
      <c r="K68" s="59">
        <v>0.95</v>
      </c>
      <c r="L68" s="59">
        <v>0.89</v>
      </c>
      <c r="M68" s="59">
        <v>1.74</v>
      </c>
      <c r="N68" s="59"/>
      <c r="O68" s="59"/>
    </row>
    <row r="69" spans="1:15" hidden="1">
      <c r="A69" s="59">
        <v>29</v>
      </c>
      <c r="B69" s="59" t="s">
        <v>716</v>
      </c>
      <c r="C69" s="59" t="s">
        <v>24</v>
      </c>
      <c r="D69" s="24">
        <v>152</v>
      </c>
      <c r="E69" s="24">
        <v>46</v>
      </c>
      <c r="F69" s="24">
        <v>614</v>
      </c>
      <c r="G69" s="24">
        <v>98</v>
      </c>
      <c r="H69" s="59">
        <v>230.43</v>
      </c>
      <c r="I69" s="59">
        <v>526.53</v>
      </c>
      <c r="J69" s="59">
        <v>0.86</v>
      </c>
      <c r="K69" s="59">
        <v>0.95</v>
      </c>
      <c r="L69" s="59">
        <v>0.37</v>
      </c>
      <c r="M69" s="59">
        <v>0.16</v>
      </c>
      <c r="N69" s="59"/>
      <c r="O69" s="59"/>
    </row>
    <row r="70" spans="1:15" hidden="1">
      <c r="A70" s="59">
        <v>30</v>
      </c>
      <c r="B70" s="59" t="s">
        <v>146</v>
      </c>
      <c r="C70" s="59" t="s">
        <v>24</v>
      </c>
      <c r="D70" s="24">
        <v>139</v>
      </c>
      <c r="E70" s="24">
        <v>253</v>
      </c>
      <c r="F70" s="24">
        <v>584</v>
      </c>
      <c r="G70" s="24">
        <v>725</v>
      </c>
      <c r="H70" s="59">
        <v>-45.06</v>
      </c>
      <c r="I70" s="59">
        <v>-19.45</v>
      </c>
      <c r="J70" s="59">
        <v>0.79</v>
      </c>
      <c r="K70" s="59">
        <v>0.9</v>
      </c>
      <c r="L70" s="59">
        <v>2.02</v>
      </c>
      <c r="M70" s="59">
        <v>1.2</v>
      </c>
      <c r="N70" s="59"/>
      <c r="O70" s="59"/>
    </row>
    <row r="71" spans="1:15" hidden="1">
      <c r="A71" s="59">
        <v>31</v>
      </c>
      <c r="B71" s="59" t="s">
        <v>672</v>
      </c>
      <c r="C71" s="59" t="s">
        <v>24</v>
      </c>
      <c r="D71" s="24">
        <v>179</v>
      </c>
      <c r="E71" s="24">
        <v>109</v>
      </c>
      <c r="F71" s="24">
        <v>584</v>
      </c>
      <c r="G71" s="24">
        <v>187</v>
      </c>
      <c r="H71" s="59">
        <v>64.22</v>
      </c>
      <c r="I71" s="59">
        <v>212.3</v>
      </c>
      <c r="J71" s="59">
        <v>1.02</v>
      </c>
      <c r="K71" s="59">
        <v>0.9</v>
      </c>
      <c r="L71" s="59">
        <v>0.87</v>
      </c>
      <c r="M71" s="59">
        <v>0.31</v>
      </c>
      <c r="N71" s="59"/>
      <c r="O71" s="59"/>
    </row>
    <row r="72" spans="1:15">
      <c r="A72" s="59">
        <v>32</v>
      </c>
      <c r="B72" s="59" t="s">
        <v>670</v>
      </c>
      <c r="C72" s="59" t="s">
        <v>23</v>
      </c>
      <c r="D72" s="24">
        <v>84</v>
      </c>
      <c r="E72" s="24">
        <v>108</v>
      </c>
      <c r="F72" s="24">
        <v>569</v>
      </c>
      <c r="G72" s="24">
        <v>349</v>
      </c>
      <c r="H72" s="59">
        <v>-22.22</v>
      </c>
      <c r="I72" s="59">
        <v>63.04</v>
      </c>
      <c r="J72" s="59">
        <v>0.48</v>
      </c>
      <c r="K72" s="59">
        <v>0.88</v>
      </c>
      <c r="L72" s="59">
        <v>0.86</v>
      </c>
      <c r="M72" s="59">
        <v>0.57999999999999996</v>
      </c>
      <c r="N72" s="59"/>
      <c r="O72" s="59"/>
    </row>
    <row r="73" spans="1:15">
      <c r="A73" s="59">
        <v>33</v>
      </c>
      <c r="B73" s="59" t="s">
        <v>237</v>
      </c>
      <c r="C73" s="59" t="s">
        <v>23</v>
      </c>
      <c r="D73" s="24">
        <v>203</v>
      </c>
      <c r="E73" s="24">
        <v>100</v>
      </c>
      <c r="F73" s="24">
        <v>561</v>
      </c>
      <c r="G73" s="24">
        <v>878</v>
      </c>
      <c r="H73" s="59">
        <v>103</v>
      </c>
      <c r="I73" s="59">
        <v>-36.1</v>
      </c>
      <c r="J73" s="59">
        <v>1.1499999999999999</v>
      </c>
      <c r="K73" s="59">
        <v>0.87</v>
      </c>
      <c r="L73" s="59">
        <v>0.8</v>
      </c>
      <c r="M73" s="59">
        <v>1.45</v>
      </c>
      <c r="N73" s="59"/>
      <c r="O73" s="59"/>
    </row>
    <row r="74" spans="1:15" hidden="1">
      <c r="A74" s="59">
        <v>34</v>
      </c>
      <c r="B74" s="59" t="s">
        <v>722</v>
      </c>
      <c r="C74" s="59" t="s">
        <v>24</v>
      </c>
      <c r="D74" s="24">
        <v>138</v>
      </c>
      <c r="E74" s="24">
        <v>53</v>
      </c>
      <c r="F74" s="24">
        <v>554</v>
      </c>
      <c r="G74" s="24">
        <v>73</v>
      </c>
      <c r="H74" s="59">
        <v>160.38</v>
      </c>
      <c r="I74" s="59">
        <v>658.9</v>
      </c>
      <c r="J74" s="59">
        <v>0.78</v>
      </c>
      <c r="K74" s="59">
        <v>0.85</v>
      </c>
      <c r="L74" s="59">
        <v>0.42</v>
      </c>
      <c r="M74" s="59">
        <v>0.12</v>
      </c>
      <c r="N74" s="59"/>
      <c r="O74" s="59"/>
    </row>
    <row r="75" spans="1:15" hidden="1">
      <c r="A75" s="59">
        <v>35</v>
      </c>
      <c r="B75" s="59" t="s">
        <v>1163</v>
      </c>
      <c r="C75" s="59" t="s">
        <v>24</v>
      </c>
      <c r="D75" s="24">
        <v>306</v>
      </c>
      <c r="E75" s="24">
        <v>0</v>
      </c>
      <c r="F75" s="24">
        <v>540</v>
      </c>
      <c r="G75" s="24">
        <v>0</v>
      </c>
      <c r="H75" s="59">
        <v>0</v>
      </c>
      <c r="I75" s="59">
        <v>0</v>
      </c>
      <c r="J75" s="59">
        <v>1.74</v>
      </c>
      <c r="K75" s="59">
        <v>0.83</v>
      </c>
      <c r="L75" s="59">
        <v>0</v>
      </c>
      <c r="M75" s="59">
        <v>0</v>
      </c>
      <c r="N75" s="59"/>
      <c r="O75" s="59"/>
    </row>
    <row r="76" spans="1:15">
      <c r="A76" s="59">
        <v>36</v>
      </c>
      <c r="B76" s="59" t="s">
        <v>432</v>
      </c>
      <c r="C76" s="59" t="s">
        <v>23</v>
      </c>
      <c r="D76" s="24">
        <v>50</v>
      </c>
      <c r="E76" s="24">
        <v>135</v>
      </c>
      <c r="F76" s="24">
        <v>539</v>
      </c>
      <c r="G76" s="24">
        <v>766</v>
      </c>
      <c r="H76" s="59">
        <v>-62.96</v>
      </c>
      <c r="I76" s="59">
        <v>-29.63</v>
      </c>
      <c r="J76" s="59">
        <v>0.28000000000000003</v>
      </c>
      <c r="K76" s="59">
        <v>0.83</v>
      </c>
      <c r="L76" s="59">
        <v>1.08</v>
      </c>
      <c r="M76" s="59">
        <v>1.27</v>
      </c>
      <c r="N76" s="59"/>
      <c r="O76" s="59"/>
    </row>
    <row r="77" spans="1:15">
      <c r="A77" s="59">
        <v>37</v>
      </c>
      <c r="B77" s="59" t="s">
        <v>444</v>
      </c>
      <c r="C77" s="59" t="s">
        <v>23</v>
      </c>
      <c r="D77" s="24">
        <v>233</v>
      </c>
      <c r="E77" s="24">
        <v>158</v>
      </c>
      <c r="F77" s="24">
        <v>503</v>
      </c>
      <c r="G77" s="24">
        <v>1003</v>
      </c>
      <c r="H77" s="59">
        <v>47.47</v>
      </c>
      <c r="I77" s="59">
        <v>-49.85</v>
      </c>
      <c r="J77" s="59">
        <v>1.32</v>
      </c>
      <c r="K77" s="59">
        <v>0.78</v>
      </c>
      <c r="L77" s="59">
        <v>1.26</v>
      </c>
      <c r="M77" s="59">
        <v>1.66</v>
      </c>
      <c r="N77" s="59"/>
      <c r="O77" s="59"/>
    </row>
    <row r="78" spans="1:15">
      <c r="A78" s="59">
        <v>38</v>
      </c>
      <c r="B78" s="59" t="s">
        <v>401</v>
      </c>
      <c r="C78" s="59" t="s">
        <v>23</v>
      </c>
      <c r="D78" s="24">
        <v>57</v>
      </c>
      <c r="E78" s="24">
        <v>273</v>
      </c>
      <c r="F78" s="24">
        <v>494</v>
      </c>
      <c r="G78" s="24">
        <v>1008</v>
      </c>
      <c r="H78" s="59">
        <v>-79.12</v>
      </c>
      <c r="I78" s="59">
        <v>-50.99</v>
      </c>
      <c r="J78" s="59">
        <v>0.32</v>
      </c>
      <c r="K78" s="59">
        <v>0.76</v>
      </c>
      <c r="L78" s="59">
        <v>2.1800000000000002</v>
      </c>
      <c r="M78" s="59">
        <v>1.67</v>
      </c>
      <c r="N78" s="59"/>
      <c r="O78" s="59"/>
    </row>
    <row r="79" spans="1:15" hidden="1">
      <c r="A79" s="59">
        <v>39</v>
      </c>
      <c r="B79" s="59" t="s">
        <v>665</v>
      </c>
      <c r="C79" s="59" t="s">
        <v>24</v>
      </c>
      <c r="D79" s="24">
        <v>143</v>
      </c>
      <c r="E79" s="24">
        <v>0</v>
      </c>
      <c r="F79" s="24">
        <v>450</v>
      </c>
      <c r="G79" s="24">
        <v>0</v>
      </c>
      <c r="H79" s="59">
        <v>0</v>
      </c>
      <c r="I79" s="59">
        <v>0</v>
      </c>
      <c r="J79" s="59">
        <v>0.81</v>
      </c>
      <c r="K79" s="59">
        <v>0.69</v>
      </c>
      <c r="L79" s="59">
        <v>0</v>
      </c>
      <c r="M79" s="59">
        <v>0</v>
      </c>
      <c r="N79" s="59"/>
      <c r="O79" s="59"/>
    </row>
    <row r="80" spans="1:15">
      <c r="A80" s="59">
        <v>40</v>
      </c>
      <c r="B80" s="59" t="s">
        <v>513</v>
      </c>
      <c r="C80" s="59" t="s">
        <v>23</v>
      </c>
      <c r="D80" s="24">
        <v>143</v>
      </c>
      <c r="E80" s="24">
        <v>56</v>
      </c>
      <c r="F80" s="24">
        <v>439</v>
      </c>
      <c r="G80" s="24">
        <v>639</v>
      </c>
      <c r="H80" s="59">
        <v>155.36000000000001</v>
      </c>
      <c r="I80" s="59">
        <v>-31.3</v>
      </c>
      <c r="J80" s="59">
        <v>0.81</v>
      </c>
      <c r="K80" s="59">
        <v>0.68</v>
      </c>
      <c r="L80" s="59">
        <v>0.45</v>
      </c>
      <c r="M80" s="59">
        <v>1.06</v>
      </c>
      <c r="N80" s="59"/>
      <c r="O80" s="59"/>
    </row>
    <row r="81" spans="1:15" hidden="1">
      <c r="A81" s="59">
        <v>41</v>
      </c>
      <c r="B81" s="59" t="s">
        <v>725</v>
      </c>
      <c r="C81" s="59" t="s">
        <v>24</v>
      </c>
      <c r="D81" s="24">
        <v>46</v>
      </c>
      <c r="E81" s="24">
        <v>120</v>
      </c>
      <c r="F81" s="24">
        <v>433</v>
      </c>
      <c r="G81" s="24">
        <v>184</v>
      </c>
      <c r="H81" s="59">
        <v>-61.67</v>
      </c>
      <c r="I81" s="59">
        <v>135.33000000000001</v>
      </c>
      <c r="J81" s="59">
        <v>0.26</v>
      </c>
      <c r="K81" s="59">
        <v>0.67</v>
      </c>
      <c r="L81" s="59">
        <v>0.96</v>
      </c>
      <c r="M81" s="59">
        <v>0.3</v>
      </c>
      <c r="N81" s="59"/>
      <c r="O81" s="59"/>
    </row>
    <row r="82" spans="1:15">
      <c r="A82" s="59">
        <v>42</v>
      </c>
      <c r="B82" s="59" t="s">
        <v>1059</v>
      </c>
      <c r="C82" s="59" t="s">
        <v>23</v>
      </c>
      <c r="D82" s="24">
        <v>99</v>
      </c>
      <c r="E82" s="24">
        <v>0</v>
      </c>
      <c r="F82" s="24">
        <v>422</v>
      </c>
      <c r="G82" s="24">
        <v>0</v>
      </c>
      <c r="H82" s="59">
        <v>0</v>
      </c>
      <c r="I82" s="59">
        <v>0</v>
      </c>
      <c r="J82" s="59">
        <v>0.56000000000000005</v>
      </c>
      <c r="K82" s="59">
        <v>0.65</v>
      </c>
      <c r="L82" s="59">
        <v>0</v>
      </c>
      <c r="M82" s="59">
        <v>0</v>
      </c>
      <c r="N82" s="59"/>
      <c r="O82" s="59"/>
    </row>
    <row r="83" spans="1:15" hidden="1">
      <c r="A83" s="59">
        <v>43</v>
      </c>
      <c r="B83" s="59" t="s">
        <v>611</v>
      </c>
      <c r="C83" s="59" t="s">
        <v>24</v>
      </c>
      <c r="D83" s="24">
        <v>97</v>
      </c>
      <c r="E83" s="24">
        <v>233</v>
      </c>
      <c r="F83" s="24">
        <v>415</v>
      </c>
      <c r="G83" s="24">
        <v>796</v>
      </c>
      <c r="H83" s="59">
        <v>-58.37</v>
      </c>
      <c r="I83" s="59">
        <v>-47.86</v>
      </c>
      <c r="J83" s="59">
        <v>0.55000000000000004</v>
      </c>
      <c r="K83" s="59">
        <v>0.64</v>
      </c>
      <c r="L83" s="59">
        <v>1.86</v>
      </c>
      <c r="M83" s="59">
        <v>1.32</v>
      </c>
      <c r="N83" s="59"/>
      <c r="O83" s="59"/>
    </row>
    <row r="84" spans="1:15" hidden="1">
      <c r="A84" s="59">
        <v>44</v>
      </c>
      <c r="B84" s="59" t="s">
        <v>108</v>
      </c>
      <c r="C84" s="59" t="s">
        <v>24</v>
      </c>
      <c r="D84" s="24">
        <v>38</v>
      </c>
      <c r="E84" s="24">
        <v>156</v>
      </c>
      <c r="F84" s="24">
        <v>412</v>
      </c>
      <c r="G84" s="24">
        <v>549</v>
      </c>
      <c r="H84" s="59">
        <v>-75.64</v>
      </c>
      <c r="I84" s="59">
        <v>-24.95</v>
      </c>
      <c r="J84" s="59">
        <v>0.22</v>
      </c>
      <c r="K84" s="59">
        <v>0.64</v>
      </c>
      <c r="L84" s="59">
        <v>1.25</v>
      </c>
      <c r="M84" s="59">
        <v>0.91</v>
      </c>
      <c r="N84" s="59"/>
      <c r="O84" s="59"/>
    </row>
    <row r="85" spans="1:15" hidden="1">
      <c r="A85" s="59">
        <v>45</v>
      </c>
      <c r="B85" s="59" t="s">
        <v>585</v>
      </c>
      <c r="C85" s="59" t="s">
        <v>24</v>
      </c>
      <c r="D85" s="24">
        <v>166</v>
      </c>
      <c r="E85" s="24">
        <v>101</v>
      </c>
      <c r="F85" s="24">
        <v>402</v>
      </c>
      <c r="G85" s="24">
        <v>200</v>
      </c>
      <c r="H85" s="59">
        <v>64.36</v>
      </c>
      <c r="I85" s="59">
        <v>101</v>
      </c>
      <c r="J85" s="59">
        <v>0.94</v>
      </c>
      <c r="K85" s="59">
        <v>0.62</v>
      </c>
      <c r="L85" s="59">
        <v>0.81</v>
      </c>
      <c r="M85" s="59">
        <v>0.33</v>
      </c>
      <c r="N85" s="59"/>
      <c r="O85" s="59"/>
    </row>
    <row r="86" spans="1:15" hidden="1">
      <c r="A86" s="59">
        <v>46</v>
      </c>
      <c r="B86" s="59" t="s">
        <v>518</v>
      </c>
      <c r="C86" s="59" t="s">
        <v>24</v>
      </c>
      <c r="D86" s="24">
        <v>99</v>
      </c>
      <c r="E86" s="24">
        <v>24</v>
      </c>
      <c r="F86" s="24">
        <v>400</v>
      </c>
      <c r="G86" s="24">
        <v>199</v>
      </c>
      <c r="H86" s="59">
        <v>312.5</v>
      </c>
      <c r="I86" s="59">
        <v>101.01</v>
      </c>
      <c r="J86" s="59">
        <v>0.56000000000000005</v>
      </c>
      <c r="K86" s="59">
        <v>0.62</v>
      </c>
      <c r="L86" s="59">
        <v>0.19</v>
      </c>
      <c r="M86" s="59">
        <v>0.33</v>
      </c>
      <c r="N86" s="59"/>
      <c r="O86" s="59"/>
    </row>
    <row r="87" spans="1:15">
      <c r="A87" s="59">
        <v>47</v>
      </c>
      <c r="B87" s="59" t="s">
        <v>376</v>
      </c>
      <c r="C87" s="59" t="s">
        <v>23</v>
      </c>
      <c r="D87" s="24">
        <v>88</v>
      </c>
      <c r="E87" s="24">
        <v>7</v>
      </c>
      <c r="F87" s="24">
        <v>388</v>
      </c>
      <c r="G87" s="24">
        <v>109</v>
      </c>
      <c r="H87" s="59">
        <v>1157.1400000000001</v>
      </c>
      <c r="I87" s="59">
        <v>255.96</v>
      </c>
      <c r="J87" s="59">
        <v>0.5</v>
      </c>
      <c r="K87" s="59">
        <v>0.6</v>
      </c>
      <c r="L87" s="59">
        <v>0.06</v>
      </c>
      <c r="M87" s="59">
        <v>0.18</v>
      </c>
      <c r="N87" s="59"/>
      <c r="O87" s="59"/>
    </row>
    <row r="88" spans="1:15">
      <c r="A88" s="59">
        <v>48</v>
      </c>
      <c r="B88" s="59" t="s">
        <v>512</v>
      </c>
      <c r="C88" s="59" t="s">
        <v>23</v>
      </c>
      <c r="D88" s="24">
        <v>68</v>
      </c>
      <c r="E88" s="24">
        <v>10</v>
      </c>
      <c r="F88" s="24">
        <v>383</v>
      </c>
      <c r="G88" s="24">
        <v>159</v>
      </c>
      <c r="H88" s="59">
        <v>580</v>
      </c>
      <c r="I88" s="59">
        <v>140.88</v>
      </c>
      <c r="J88" s="59">
        <v>0.39</v>
      </c>
      <c r="K88" s="59">
        <v>0.59</v>
      </c>
      <c r="L88" s="59">
        <v>0.08</v>
      </c>
      <c r="M88" s="59">
        <v>0.26</v>
      </c>
      <c r="N88" s="59"/>
      <c r="O88" s="59"/>
    </row>
    <row r="89" spans="1:15">
      <c r="A89" s="59">
        <v>49</v>
      </c>
      <c r="B89" s="59" t="s">
        <v>238</v>
      </c>
      <c r="C89" s="59" t="s">
        <v>23</v>
      </c>
      <c r="D89" s="24">
        <v>246</v>
      </c>
      <c r="E89" s="24">
        <v>85</v>
      </c>
      <c r="F89" s="24">
        <v>378</v>
      </c>
      <c r="G89" s="24">
        <v>407</v>
      </c>
      <c r="H89" s="59">
        <v>189.41</v>
      </c>
      <c r="I89" s="59">
        <v>-7.13</v>
      </c>
      <c r="J89" s="59">
        <v>1.4</v>
      </c>
      <c r="K89" s="59">
        <v>0.57999999999999996</v>
      </c>
      <c r="L89" s="59">
        <v>0.68</v>
      </c>
      <c r="M89" s="59">
        <v>0.67</v>
      </c>
      <c r="N89" s="59"/>
      <c r="O89" s="59"/>
    </row>
    <row r="90" spans="1:15" hidden="1">
      <c r="A90" s="59">
        <v>50</v>
      </c>
      <c r="B90" s="59" t="s">
        <v>1054</v>
      </c>
      <c r="C90" s="59" t="s">
        <v>24</v>
      </c>
      <c r="D90" s="24">
        <v>141</v>
      </c>
      <c r="E90" s="24">
        <v>0</v>
      </c>
      <c r="F90" s="24">
        <v>373</v>
      </c>
      <c r="G90" s="24">
        <v>0</v>
      </c>
      <c r="H90" s="59">
        <v>0</v>
      </c>
      <c r="I90" s="59">
        <v>0</v>
      </c>
      <c r="J90" s="59">
        <v>0.8</v>
      </c>
      <c r="K90" s="59">
        <v>0.57999999999999996</v>
      </c>
      <c r="L90" s="59">
        <v>0</v>
      </c>
      <c r="M90" s="59">
        <v>0</v>
      </c>
      <c r="N90" s="59"/>
      <c r="O90" s="59"/>
    </row>
    <row r="91" spans="1:15" hidden="1">
      <c r="A91" s="59">
        <v>51</v>
      </c>
      <c r="B91" s="59" t="s">
        <v>1044</v>
      </c>
      <c r="C91" s="59" t="s">
        <v>24</v>
      </c>
      <c r="D91" s="24">
        <v>127</v>
      </c>
      <c r="E91" s="24">
        <v>0</v>
      </c>
      <c r="F91" s="24">
        <v>359</v>
      </c>
      <c r="G91" s="24">
        <v>0</v>
      </c>
      <c r="H91" s="59">
        <v>0</v>
      </c>
      <c r="I91" s="59">
        <v>0</v>
      </c>
      <c r="J91" s="59">
        <v>0.72</v>
      </c>
      <c r="K91" s="59">
        <v>0.55000000000000004</v>
      </c>
      <c r="L91" s="59">
        <v>0</v>
      </c>
      <c r="M91" s="59">
        <v>0</v>
      </c>
      <c r="N91" s="59"/>
      <c r="O91" s="59"/>
    </row>
    <row r="92" spans="1:15" hidden="1">
      <c r="A92" s="59">
        <v>52</v>
      </c>
      <c r="B92" s="59" t="s">
        <v>583</v>
      </c>
      <c r="C92" s="59" t="s">
        <v>24</v>
      </c>
      <c r="D92" s="24">
        <v>90</v>
      </c>
      <c r="E92" s="24">
        <v>35</v>
      </c>
      <c r="F92" s="24">
        <v>329</v>
      </c>
      <c r="G92" s="24">
        <v>207</v>
      </c>
      <c r="H92" s="59">
        <v>157.13999999999999</v>
      </c>
      <c r="I92" s="59">
        <v>58.94</v>
      </c>
      <c r="J92" s="59">
        <v>0.51</v>
      </c>
      <c r="K92" s="59">
        <v>0.51</v>
      </c>
      <c r="L92" s="59">
        <v>0.28000000000000003</v>
      </c>
      <c r="M92" s="59">
        <v>0.34</v>
      </c>
      <c r="N92" s="59"/>
      <c r="O92" s="59"/>
    </row>
    <row r="93" spans="1:15" hidden="1">
      <c r="A93" s="59">
        <v>53</v>
      </c>
      <c r="B93" s="59" t="s">
        <v>421</v>
      </c>
      <c r="C93" s="59" t="s">
        <v>24</v>
      </c>
      <c r="D93" s="24">
        <v>61</v>
      </c>
      <c r="E93" s="24">
        <v>162</v>
      </c>
      <c r="F93" s="24">
        <v>310</v>
      </c>
      <c r="G93" s="24">
        <v>453</v>
      </c>
      <c r="H93" s="67">
        <v>-62.35</v>
      </c>
      <c r="I93" s="67">
        <v>-31.57</v>
      </c>
      <c r="J93" s="59">
        <v>0.35</v>
      </c>
      <c r="K93" s="59">
        <v>0.48</v>
      </c>
      <c r="L93" s="59">
        <v>1.29</v>
      </c>
      <c r="M93" s="59">
        <v>0.75</v>
      </c>
      <c r="N93" s="59"/>
      <c r="O93" s="59"/>
    </row>
    <row r="94" spans="1:15" hidden="1">
      <c r="A94" s="59">
        <v>54</v>
      </c>
      <c r="B94" s="59" t="s">
        <v>625</v>
      </c>
      <c r="C94" s="59" t="s">
        <v>24</v>
      </c>
      <c r="D94" s="24">
        <v>28</v>
      </c>
      <c r="E94" s="24">
        <v>25</v>
      </c>
      <c r="F94" s="24">
        <v>310</v>
      </c>
      <c r="G94" s="24">
        <v>289</v>
      </c>
      <c r="H94" s="85">
        <v>12</v>
      </c>
      <c r="I94" s="85">
        <v>7.27</v>
      </c>
      <c r="J94" s="59">
        <v>0.16</v>
      </c>
      <c r="K94" s="59">
        <v>0.48</v>
      </c>
      <c r="L94" s="59">
        <v>0.2</v>
      </c>
      <c r="M94" s="59">
        <v>0.48</v>
      </c>
      <c r="N94" s="59"/>
      <c r="O94" s="59"/>
    </row>
    <row r="95" spans="1:15" hidden="1">
      <c r="A95" s="59">
        <v>55</v>
      </c>
      <c r="B95" s="59" t="s">
        <v>506</v>
      </c>
      <c r="C95" s="59" t="s">
        <v>24</v>
      </c>
      <c r="D95" s="24">
        <v>10</v>
      </c>
      <c r="E95" s="24">
        <v>63</v>
      </c>
      <c r="F95" s="24">
        <v>310</v>
      </c>
      <c r="G95" s="24">
        <v>146</v>
      </c>
      <c r="H95" s="59">
        <v>-84.13</v>
      </c>
      <c r="I95" s="59">
        <v>112.33</v>
      </c>
      <c r="J95" s="59">
        <v>0.06</v>
      </c>
      <c r="K95" s="59">
        <v>0.48</v>
      </c>
      <c r="L95" s="59">
        <v>0.5</v>
      </c>
      <c r="M95" s="59">
        <v>0.24</v>
      </c>
      <c r="N95" s="59"/>
      <c r="O95" s="59"/>
    </row>
    <row r="96" spans="1:15" hidden="1">
      <c r="A96" s="59">
        <v>56</v>
      </c>
      <c r="B96" s="59" t="s">
        <v>381</v>
      </c>
      <c r="C96" s="59" t="s">
        <v>24</v>
      </c>
      <c r="D96" s="24">
        <v>52</v>
      </c>
      <c r="E96" s="24">
        <v>76</v>
      </c>
      <c r="F96" s="24">
        <v>309</v>
      </c>
      <c r="G96" s="24">
        <v>391</v>
      </c>
      <c r="H96" s="59">
        <v>-31.58</v>
      </c>
      <c r="I96" s="59">
        <v>-20.97</v>
      </c>
      <c r="J96" s="59">
        <v>0.28999999999999998</v>
      </c>
      <c r="K96" s="59">
        <v>0.48</v>
      </c>
      <c r="L96" s="59">
        <v>0.61</v>
      </c>
      <c r="M96" s="59">
        <v>0.65</v>
      </c>
      <c r="N96" s="59"/>
      <c r="O96" s="59"/>
    </row>
    <row r="97" spans="1:15">
      <c r="A97" s="59">
        <v>57</v>
      </c>
      <c r="B97" s="59" t="s">
        <v>244</v>
      </c>
      <c r="C97" s="59" t="s">
        <v>23</v>
      </c>
      <c r="D97" s="24">
        <v>65</v>
      </c>
      <c r="E97" s="24">
        <v>0</v>
      </c>
      <c r="F97" s="24">
        <v>305</v>
      </c>
      <c r="G97" s="24">
        <v>1</v>
      </c>
      <c r="H97" s="59">
        <v>0</v>
      </c>
      <c r="I97" s="59">
        <v>30400</v>
      </c>
      <c r="J97" s="59">
        <v>0.37</v>
      </c>
      <c r="K97" s="59">
        <v>0.47</v>
      </c>
      <c r="L97" s="59">
        <v>0</v>
      </c>
      <c r="M97" s="59">
        <v>0</v>
      </c>
      <c r="N97" s="59"/>
      <c r="O97" s="59"/>
    </row>
    <row r="98" spans="1:15" hidden="1">
      <c r="A98" s="59">
        <v>58</v>
      </c>
      <c r="B98" s="59" t="s">
        <v>1065</v>
      </c>
      <c r="C98" s="59" t="s">
        <v>24</v>
      </c>
      <c r="D98" s="24">
        <v>262</v>
      </c>
      <c r="E98" s="24">
        <v>0</v>
      </c>
      <c r="F98" s="24">
        <v>303</v>
      </c>
      <c r="G98" s="24">
        <v>0</v>
      </c>
      <c r="H98" s="59">
        <v>0</v>
      </c>
      <c r="I98" s="59">
        <v>0</v>
      </c>
      <c r="J98" s="59">
        <v>1.49</v>
      </c>
      <c r="K98" s="59">
        <v>0.47</v>
      </c>
      <c r="L98" s="59">
        <v>0</v>
      </c>
      <c r="M98" s="59">
        <v>0</v>
      </c>
      <c r="N98" s="59"/>
      <c r="O98" s="59"/>
    </row>
    <row r="99" spans="1:15">
      <c r="A99" s="59">
        <v>59</v>
      </c>
      <c r="B99" s="59" t="s">
        <v>126</v>
      </c>
      <c r="C99" s="59" t="s">
        <v>23</v>
      </c>
      <c r="D99" s="24">
        <v>81</v>
      </c>
      <c r="E99" s="24">
        <v>132</v>
      </c>
      <c r="F99" s="24">
        <v>302</v>
      </c>
      <c r="G99" s="24">
        <v>379</v>
      </c>
      <c r="H99" s="59">
        <v>-38.64</v>
      </c>
      <c r="I99" s="59">
        <v>-20.32</v>
      </c>
      <c r="J99" s="59">
        <v>0.46</v>
      </c>
      <c r="K99" s="59">
        <v>0.47</v>
      </c>
      <c r="L99" s="59">
        <v>1.05</v>
      </c>
      <c r="M99" s="59">
        <v>0.63</v>
      </c>
      <c r="N99" s="59"/>
      <c r="O99" s="59"/>
    </row>
    <row r="100" spans="1:15">
      <c r="A100" s="59">
        <v>60</v>
      </c>
      <c r="B100" s="59" t="s">
        <v>392</v>
      </c>
      <c r="C100" s="59" t="s">
        <v>23</v>
      </c>
      <c r="D100" s="24">
        <v>81</v>
      </c>
      <c r="E100" s="24">
        <v>90</v>
      </c>
      <c r="F100" s="24">
        <v>289</v>
      </c>
      <c r="G100" s="24">
        <v>542</v>
      </c>
      <c r="H100" s="59">
        <v>-10</v>
      </c>
      <c r="I100" s="59">
        <v>-46.68</v>
      </c>
      <c r="J100" s="59">
        <v>0.46</v>
      </c>
      <c r="K100" s="59">
        <v>0.45</v>
      </c>
      <c r="L100" s="59">
        <v>0.72</v>
      </c>
      <c r="M100" s="59">
        <v>0.9</v>
      </c>
      <c r="N100" s="59"/>
      <c r="O100" s="59"/>
    </row>
    <row r="101" spans="1:15" hidden="1">
      <c r="A101" s="59">
        <v>61</v>
      </c>
      <c r="B101" s="59" t="s">
        <v>686</v>
      </c>
      <c r="C101" s="59" t="s">
        <v>24</v>
      </c>
      <c r="D101" s="24">
        <v>57</v>
      </c>
      <c r="E101" s="24">
        <v>56</v>
      </c>
      <c r="F101" s="24">
        <v>278</v>
      </c>
      <c r="G101" s="24">
        <v>204</v>
      </c>
      <c r="H101" s="59">
        <v>1.79</v>
      </c>
      <c r="I101" s="59">
        <v>36.270000000000003</v>
      </c>
      <c r="J101" s="59">
        <v>0.32</v>
      </c>
      <c r="K101" s="59">
        <v>0.43</v>
      </c>
      <c r="L101" s="59">
        <v>0.45</v>
      </c>
      <c r="M101" s="59">
        <v>0.34</v>
      </c>
      <c r="N101" s="59"/>
      <c r="O101" s="59"/>
    </row>
    <row r="102" spans="1:15">
      <c r="A102" s="59">
        <v>62</v>
      </c>
      <c r="B102" s="59" t="s">
        <v>425</v>
      </c>
      <c r="C102" s="59" t="s">
        <v>23</v>
      </c>
      <c r="D102" s="24">
        <v>43</v>
      </c>
      <c r="E102" s="24">
        <v>19</v>
      </c>
      <c r="F102" s="24">
        <v>271</v>
      </c>
      <c r="G102" s="24">
        <v>119</v>
      </c>
      <c r="H102" s="59">
        <v>126.32</v>
      </c>
      <c r="I102" s="59">
        <v>127.73</v>
      </c>
      <c r="J102" s="59">
        <v>0.24</v>
      </c>
      <c r="K102" s="59">
        <v>0.42</v>
      </c>
      <c r="L102" s="59">
        <v>0.15</v>
      </c>
      <c r="M102" s="59">
        <v>0.2</v>
      </c>
      <c r="N102" s="59"/>
      <c r="O102" s="59"/>
    </row>
    <row r="103" spans="1:15">
      <c r="A103" s="59">
        <v>63</v>
      </c>
      <c r="B103" s="59" t="s">
        <v>84</v>
      </c>
      <c r="C103" s="59" t="s">
        <v>23</v>
      </c>
      <c r="D103" s="24">
        <v>126</v>
      </c>
      <c r="E103" s="24">
        <v>30</v>
      </c>
      <c r="F103" s="24">
        <v>250</v>
      </c>
      <c r="G103" s="24">
        <v>297</v>
      </c>
      <c r="H103" s="59">
        <v>320</v>
      </c>
      <c r="I103" s="59">
        <v>-15.82</v>
      </c>
      <c r="J103" s="59">
        <v>0.71</v>
      </c>
      <c r="K103" s="59">
        <v>0.39</v>
      </c>
      <c r="L103" s="59">
        <v>0.24</v>
      </c>
      <c r="M103" s="59">
        <v>0.49</v>
      </c>
      <c r="N103" s="59"/>
      <c r="O103" s="59"/>
    </row>
    <row r="104" spans="1:15" hidden="1">
      <c r="A104" s="59">
        <v>64</v>
      </c>
      <c r="B104" s="59" t="s">
        <v>431</v>
      </c>
      <c r="C104" s="59" t="s">
        <v>24</v>
      </c>
      <c r="D104" s="24">
        <v>12</v>
      </c>
      <c r="E104" s="24">
        <v>98</v>
      </c>
      <c r="F104" s="24">
        <v>231</v>
      </c>
      <c r="G104" s="24">
        <v>562</v>
      </c>
      <c r="H104" s="59">
        <v>-87.76</v>
      </c>
      <c r="I104" s="59">
        <v>-58.9</v>
      </c>
      <c r="J104" s="59">
        <v>7.0000000000000007E-2</v>
      </c>
      <c r="K104" s="59">
        <v>0.36</v>
      </c>
      <c r="L104" s="59">
        <v>0.78</v>
      </c>
      <c r="M104" s="59">
        <v>0.93</v>
      </c>
      <c r="N104" s="59"/>
      <c r="O104" s="59"/>
    </row>
    <row r="105" spans="1:15" hidden="1">
      <c r="A105" s="59">
        <v>65</v>
      </c>
      <c r="B105" s="59" t="s">
        <v>426</v>
      </c>
      <c r="C105" s="59" t="s">
        <v>24</v>
      </c>
      <c r="D105" s="24">
        <v>52</v>
      </c>
      <c r="E105" s="24">
        <v>6</v>
      </c>
      <c r="F105" s="24">
        <v>218</v>
      </c>
      <c r="G105" s="24">
        <v>240</v>
      </c>
      <c r="H105" s="59">
        <v>766.67</v>
      </c>
      <c r="I105" s="59">
        <v>-9.17</v>
      </c>
      <c r="J105" s="59">
        <v>0.28999999999999998</v>
      </c>
      <c r="K105" s="59">
        <v>0.34</v>
      </c>
      <c r="L105" s="59">
        <v>0.05</v>
      </c>
      <c r="M105" s="59">
        <v>0.4</v>
      </c>
      <c r="N105" s="59"/>
      <c r="O105" s="59"/>
    </row>
    <row r="106" spans="1:15">
      <c r="A106" s="59">
        <v>66</v>
      </c>
      <c r="B106" s="59" t="s">
        <v>410</v>
      </c>
      <c r="C106" s="59" t="s">
        <v>23</v>
      </c>
      <c r="D106" s="24">
        <v>76</v>
      </c>
      <c r="E106" s="24">
        <v>145</v>
      </c>
      <c r="F106" s="24">
        <v>210</v>
      </c>
      <c r="G106" s="24">
        <v>494</v>
      </c>
      <c r="H106" s="59">
        <v>-47.59</v>
      </c>
      <c r="I106" s="59">
        <v>-57.49</v>
      </c>
      <c r="J106" s="59">
        <v>0.43</v>
      </c>
      <c r="K106" s="59">
        <v>0.32</v>
      </c>
      <c r="L106" s="59">
        <v>1.1599999999999999</v>
      </c>
      <c r="M106" s="59">
        <v>0.82</v>
      </c>
      <c r="N106" s="59"/>
      <c r="O106" s="59"/>
    </row>
    <row r="107" spans="1:15">
      <c r="A107" s="59">
        <v>67</v>
      </c>
      <c r="B107" s="59" t="s">
        <v>417</v>
      </c>
      <c r="C107" s="59" t="s">
        <v>23</v>
      </c>
      <c r="D107" s="24">
        <v>65</v>
      </c>
      <c r="E107" s="24">
        <v>105</v>
      </c>
      <c r="F107" s="24">
        <v>210</v>
      </c>
      <c r="G107" s="24">
        <v>276</v>
      </c>
      <c r="H107" s="59">
        <v>-38.1</v>
      </c>
      <c r="I107" s="59">
        <v>-23.91</v>
      </c>
      <c r="J107" s="59">
        <v>0.37</v>
      </c>
      <c r="K107" s="59">
        <v>0.32</v>
      </c>
      <c r="L107" s="59">
        <v>0.84</v>
      </c>
      <c r="M107" s="59">
        <v>0.46</v>
      </c>
      <c r="N107" s="59"/>
      <c r="O107" s="59"/>
    </row>
    <row r="108" spans="1:15">
      <c r="A108" s="59">
        <v>68</v>
      </c>
      <c r="B108" s="59" t="s">
        <v>370</v>
      </c>
      <c r="C108" s="59" t="s">
        <v>23</v>
      </c>
      <c r="D108" s="24">
        <v>51</v>
      </c>
      <c r="E108" s="24">
        <v>47</v>
      </c>
      <c r="F108" s="24">
        <v>199</v>
      </c>
      <c r="G108" s="24">
        <v>281</v>
      </c>
      <c r="H108" s="59">
        <v>8.51</v>
      </c>
      <c r="I108" s="59">
        <v>-29.18</v>
      </c>
      <c r="J108" s="59">
        <v>0.28999999999999998</v>
      </c>
      <c r="K108" s="59">
        <v>0.31</v>
      </c>
      <c r="L108" s="59">
        <v>0.38</v>
      </c>
      <c r="M108" s="59">
        <v>0.46</v>
      </c>
      <c r="N108" s="59"/>
      <c r="O108" s="59"/>
    </row>
    <row r="109" spans="1:15" hidden="1">
      <c r="A109" s="59">
        <v>69</v>
      </c>
      <c r="B109" s="59" t="s">
        <v>596</v>
      </c>
      <c r="C109" s="59" t="s">
        <v>24</v>
      </c>
      <c r="D109" s="24">
        <v>95</v>
      </c>
      <c r="E109" s="24">
        <v>1</v>
      </c>
      <c r="F109" s="24">
        <v>196</v>
      </c>
      <c r="G109" s="24">
        <v>316</v>
      </c>
      <c r="H109" s="59">
        <v>9400</v>
      </c>
      <c r="I109" s="59">
        <v>-37.97</v>
      </c>
      <c r="J109" s="59">
        <v>0.54</v>
      </c>
      <c r="K109" s="59">
        <v>0.3</v>
      </c>
      <c r="L109" s="59">
        <v>0.01</v>
      </c>
      <c r="M109" s="59">
        <v>0.52</v>
      </c>
      <c r="N109" s="59"/>
      <c r="O109" s="59"/>
    </row>
    <row r="110" spans="1:15">
      <c r="A110" s="59">
        <v>70</v>
      </c>
      <c r="B110" s="59" t="s">
        <v>394</v>
      </c>
      <c r="C110" s="59" t="s">
        <v>23</v>
      </c>
      <c r="D110" s="24">
        <v>46</v>
      </c>
      <c r="E110" s="24">
        <v>23</v>
      </c>
      <c r="F110" s="24">
        <v>183</v>
      </c>
      <c r="G110" s="24">
        <v>286</v>
      </c>
      <c r="H110" s="59">
        <v>100</v>
      </c>
      <c r="I110" s="59">
        <v>-36.01</v>
      </c>
      <c r="J110" s="59">
        <v>0.26</v>
      </c>
      <c r="K110" s="59">
        <v>0.28000000000000003</v>
      </c>
      <c r="L110" s="59">
        <v>0.18</v>
      </c>
      <c r="M110" s="59">
        <v>0.47</v>
      </c>
      <c r="N110" s="59"/>
      <c r="O110" s="59"/>
    </row>
    <row r="111" spans="1:15" hidden="1">
      <c r="A111" s="59">
        <v>71</v>
      </c>
      <c r="B111" s="59" t="s">
        <v>666</v>
      </c>
      <c r="C111" s="59" t="s">
        <v>24</v>
      </c>
      <c r="D111" s="24">
        <v>55</v>
      </c>
      <c r="E111" s="24">
        <v>19</v>
      </c>
      <c r="F111" s="24">
        <v>183</v>
      </c>
      <c r="G111" s="24">
        <v>124</v>
      </c>
      <c r="H111" s="59">
        <v>189.47</v>
      </c>
      <c r="I111" s="59">
        <v>47.58</v>
      </c>
      <c r="J111" s="59">
        <v>0.31</v>
      </c>
      <c r="K111" s="59">
        <v>0.28000000000000003</v>
      </c>
      <c r="L111" s="59">
        <v>0.15</v>
      </c>
      <c r="M111" s="59">
        <v>0.21</v>
      </c>
      <c r="N111" s="59"/>
      <c r="O111" s="59"/>
    </row>
    <row r="112" spans="1:15" hidden="1">
      <c r="A112" s="59">
        <v>72</v>
      </c>
      <c r="B112" s="59" t="s">
        <v>147</v>
      </c>
      <c r="C112" s="59" t="s">
        <v>24</v>
      </c>
      <c r="D112" s="24">
        <v>124</v>
      </c>
      <c r="E112" s="24">
        <v>0</v>
      </c>
      <c r="F112" s="24">
        <v>180</v>
      </c>
      <c r="G112" s="24">
        <v>0</v>
      </c>
      <c r="H112" s="59">
        <v>0</v>
      </c>
      <c r="I112" s="59">
        <v>0</v>
      </c>
      <c r="J112" s="59">
        <v>0.7</v>
      </c>
      <c r="K112" s="59">
        <v>0.28000000000000003</v>
      </c>
      <c r="L112" s="59">
        <v>0</v>
      </c>
      <c r="M112" s="59">
        <v>0</v>
      </c>
      <c r="N112" s="59"/>
      <c r="O112" s="59"/>
    </row>
    <row r="113" spans="1:15">
      <c r="A113" s="59">
        <v>73</v>
      </c>
      <c r="B113" s="59" t="s">
        <v>451</v>
      </c>
      <c r="C113" s="59" t="s">
        <v>23</v>
      </c>
      <c r="D113" s="24">
        <v>14</v>
      </c>
      <c r="E113" s="24">
        <v>56</v>
      </c>
      <c r="F113" s="24">
        <v>167</v>
      </c>
      <c r="G113" s="24">
        <v>354</v>
      </c>
      <c r="H113" s="59">
        <v>-75</v>
      </c>
      <c r="I113" s="59">
        <v>-52.82</v>
      </c>
      <c r="J113" s="59">
        <v>0.08</v>
      </c>
      <c r="K113" s="59">
        <v>0.26</v>
      </c>
      <c r="L113" s="59">
        <v>0.45</v>
      </c>
      <c r="M113" s="59">
        <v>0.59</v>
      </c>
      <c r="N113" s="59"/>
      <c r="O113" s="59"/>
    </row>
    <row r="114" spans="1:15">
      <c r="A114" s="59">
        <v>74</v>
      </c>
      <c r="B114" s="59" t="s">
        <v>679</v>
      </c>
      <c r="C114" s="59" t="s">
        <v>23</v>
      </c>
      <c r="D114" s="24">
        <v>28</v>
      </c>
      <c r="E114" s="24">
        <v>31</v>
      </c>
      <c r="F114" s="24">
        <v>160</v>
      </c>
      <c r="G114" s="24">
        <v>132</v>
      </c>
      <c r="H114" s="59">
        <v>-9.68</v>
      </c>
      <c r="I114" s="59">
        <v>21.21</v>
      </c>
      <c r="J114" s="59">
        <v>0.16</v>
      </c>
      <c r="K114" s="59">
        <v>0.25</v>
      </c>
      <c r="L114" s="59">
        <v>0.25</v>
      </c>
      <c r="M114" s="59">
        <v>0.22</v>
      </c>
      <c r="N114" s="59"/>
      <c r="O114" s="59"/>
    </row>
    <row r="115" spans="1:15" hidden="1">
      <c r="A115" s="59">
        <v>75</v>
      </c>
      <c r="B115" s="59" t="s">
        <v>1128</v>
      </c>
      <c r="C115" s="59" t="s">
        <v>24</v>
      </c>
      <c r="D115" s="24">
        <v>80</v>
      </c>
      <c r="E115" s="24">
        <v>0</v>
      </c>
      <c r="F115" s="24">
        <v>155</v>
      </c>
      <c r="G115" s="24">
        <v>0</v>
      </c>
      <c r="H115" s="59">
        <v>0</v>
      </c>
      <c r="I115" s="59">
        <v>0</v>
      </c>
      <c r="J115" s="59">
        <v>0.45</v>
      </c>
      <c r="K115" s="59">
        <v>0.24</v>
      </c>
      <c r="L115" s="59">
        <v>0</v>
      </c>
      <c r="M115" s="59">
        <v>0</v>
      </c>
      <c r="N115" s="59"/>
      <c r="O115" s="59"/>
    </row>
    <row r="116" spans="1:15">
      <c r="A116" s="59">
        <v>76</v>
      </c>
      <c r="B116" s="59" t="s">
        <v>422</v>
      </c>
      <c r="C116" s="59" t="s">
        <v>23</v>
      </c>
      <c r="D116" s="24">
        <v>29</v>
      </c>
      <c r="E116" s="24">
        <v>93</v>
      </c>
      <c r="F116" s="24">
        <v>154</v>
      </c>
      <c r="G116" s="24">
        <v>678</v>
      </c>
      <c r="H116" s="59">
        <v>-68.819999999999993</v>
      </c>
      <c r="I116" s="59">
        <v>-77.290000000000006</v>
      </c>
      <c r="J116" s="59">
        <v>0.16</v>
      </c>
      <c r="K116" s="59">
        <v>0.24</v>
      </c>
      <c r="L116" s="59">
        <v>0.74</v>
      </c>
      <c r="M116" s="59">
        <v>1.1200000000000001</v>
      </c>
      <c r="N116" s="59"/>
      <c r="O116" s="59"/>
    </row>
    <row r="117" spans="1:15">
      <c r="A117" s="59">
        <v>77</v>
      </c>
      <c r="B117" s="59" t="s">
        <v>393</v>
      </c>
      <c r="C117" s="59" t="s">
        <v>23</v>
      </c>
      <c r="D117" s="24">
        <v>37</v>
      </c>
      <c r="E117" s="24">
        <v>11</v>
      </c>
      <c r="F117" s="24">
        <v>149</v>
      </c>
      <c r="G117" s="24">
        <v>53</v>
      </c>
      <c r="H117" s="59">
        <v>236.36</v>
      </c>
      <c r="I117" s="59">
        <v>181.13</v>
      </c>
      <c r="J117" s="59">
        <v>0.21</v>
      </c>
      <c r="K117" s="59">
        <v>0.23</v>
      </c>
      <c r="L117" s="59">
        <v>0.09</v>
      </c>
      <c r="M117" s="59">
        <v>0.09</v>
      </c>
      <c r="N117" s="59"/>
      <c r="O117" s="59"/>
    </row>
    <row r="118" spans="1:15">
      <c r="A118" s="59">
        <v>78</v>
      </c>
      <c r="B118" s="59" t="s">
        <v>182</v>
      </c>
      <c r="C118" s="59" t="s">
        <v>23</v>
      </c>
      <c r="D118" s="24">
        <v>47</v>
      </c>
      <c r="E118" s="24">
        <v>29</v>
      </c>
      <c r="F118" s="24">
        <v>147</v>
      </c>
      <c r="G118" s="24">
        <v>198</v>
      </c>
      <c r="H118" s="59">
        <v>62.07</v>
      </c>
      <c r="I118" s="59">
        <v>-25.76</v>
      </c>
      <c r="J118" s="59">
        <v>0.27</v>
      </c>
      <c r="K118" s="59">
        <v>0.23</v>
      </c>
      <c r="L118" s="59">
        <v>0.23</v>
      </c>
      <c r="M118" s="59">
        <v>0.33</v>
      </c>
      <c r="N118" s="59"/>
      <c r="O118" s="59"/>
    </row>
    <row r="119" spans="1:15">
      <c r="A119" s="59">
        <v>79</v>
      </c>
      <c r="B119" s="59" t="s">
        <v>612</v>
      </c>
      <c r="C119" s="59" t="s">
        <v>23</v>
      </c>
      <c r="D119" s="24">
        <v>0</v>
      </c>
      <c r="E119" s="24">
        <v>182</v>
      </c>
      <c r="F119" s="24">
        <v>142</v>
      </c>
      <c r="G119" s="24">
        <v>947</v>
      </c>
      <c r="H119" s="59">
        <v>-100</v>
      </c>
      <c r="I119" s="59">
        <v>-85.01</v>
      </c>
      <c r="J119" s="59">
        <v>0</v>
      </c>
      <c r="K119" s="59">
        <v>0.22</v>
      </c>
      <c r="L119" s="59">
        <v>1.45</v>
      </c>
      <c r="M119" s="59">
        <v>1.57</v>
      </c>
      <c r="N119" s="59"/>
      <c r="O119" s="59"/>
    </row>
    <row r="120" spans="1:15">
      <c r="A120" s="59">
        <v>80</v>
      </c>
      <c r="B120" s="59" t="s">
        <v>378</v>
      </c>
      <c r="C120" s="59" t="s">
        <v>23</v>
      </c>
      <c r="D120" s="24">
        <v>21</v>
      </c>
      <c r="E120" s="24">
        <v>135</v>
      </c>
      <c r="F120" s="24">
        <v>138</v>
      </c>
      <c r="G120" s="24">
        <v>657</v>
      </c>
      <c r="H120" s="59">
        <v>-84.44</v>
      </c>
      <c r="I120" s="59">
        <v>-79</v>
      </c>
      <c r="J120" s="59">
        <v>0.12</v>
      </c>
      <c r="K120" s="59">
        <v>0.21</v>
      </c>
      <c r="L120" s="59">
        <v>1.08</v>
      </c>
      <c r="M120" s="59">
        <v>1.0900000000000001</v>
      </c>
      <c r="N120" s="59"/>
      <c r="O120" s="59"/>
    </row>
    <row r="121" spans="1:15">
      <c r="A121" s="59">
        <v>81</v>
      </c>
      <c r="B121" s="59" t="s">
        <v>1071</v>
      </c>
      <c r="C121" s="59" t="s">
        <v>23</v>
      </c>
      <c r="D121" s="24">
        <v>23</v>
      </c>
      <c r="E121" s="24">
        <v>0</v>
      </c>
      <c r="F121" s="24">
        <v>135</v>
      </c>
      <c r="G121" s="24">
        <v>0</v>
      </c>
      <c r="H121" s="59">
        <v>0</v>
      </c>
      <c r="I121" s="59">
        <v>0</v>
      </c>
      <c r="J121" s="59">
        <v>0.13</v>
      </c>
      <c r="K121" s="59">
        <v>0.21</v>
      </c>
      <c r="L121" s="59">
        <v>0</v>
      </c>
      <c r="M121" s="59">
        <v>0</v>
      </c>
      <c r="N121" s="59"/>
      <c r="O121" s="59"/>
    </row>
    <row r="122" spans="1:15">
      <c r="A122" s="59">
        <v>82</v>
      </c>
      <c r="B122" s="59" t="s">
        <v>49</v>
      </c>
      <c r="C122" s="59" t="s">
        <v>23</v>
      </c>
      <c r="D122" s="24">
        <v>55</v>
      </c>
      <c r="E122" s="24">
        <v>16</v>
      </c>
      <c r="F122" s="24">
        <v>125</v>
      </c>
      <c r="G122" s="24">
        <v>112</v>
      </c>
      <c r="H122" s="59">
        <v>243.75</v>
      </c>
      <c r="I122" s="59">
        <v>11.61</v>
      </c>
      <c r="J122" s="59">
        <v>0.31</v>
      </c>
      <c r="K122" s="59">
        <v>0.19</v>
      </c>
      <c r="L122" s="59">
        <v>0.13</v>
      </c>
      <c r="M122" s="59">
        <v>0.19</v>
      </c>
      <c r="N122" s="59"/>
      <c r="O122" s="59"/>
    </row>
    <row r="123" spans="1:15" hidden="1">
      <c r="A123" s="59">
        <v>83</v>
      </c>
      <c r="B123" s="59" t="s">
        <v>416</v>
      </c>
      <c r="C123" s="59" t="s">
        <v>24</v>
      </c>
      <c r="D123" s="24">
        <v>45</v>
      </c>
      <c r="E123" s="24">
        <v>46</v>
      </c>
      <c r="F123" s="24">
        <v>124</v>
      </c>
      <c r="G123" s="24">
        <v>305</v>
      </c>
      <c r="H123" s="59">
        <v>-2.17</v>
      </c>
      <c r="I123" s="59">
        <v>-59.34</v>
      </c>
      <c r="J123" s="59">
        <v>0.26</v>
      </c>
      <c r="K123" s="59">
        <v>0.19</v>
      </c>
      <c r="L123" s="59">
        <v>0.37</v>
      </c>
      <c r="M123" s="59">
        <v>0.5</v>
      </c>
      <c r="N123" s="59"/>
      <c r="O123" s="59"/>
    </row>
    <row r="124" spans="1:15">
      <c r="A124" s="59">
        <v>84</v>
      </c>
      <c r="B124" s="59" t="s">
        <v>434</v>
      </c>
      <c r="C124" s="59" t="s">
        <v>23</v>
      </c>
      <c r="D124" s="24">
        <v>22</v>
      </c>
      <c r="E124" s="24">
        <v>25</v>
      </c>
      <c r="F124" s="24">
        <v>122</v>
      </c>
      <c r="G124" s="24">
        <v>203</v>
      </c>
      <c r="H124" s="59">
        <v>-12</v>
      </c>
      <c r="I124" s="59">
        <v>-39.9</v>
      </c>
      <c r="J124" s="59">
        <v>0.12</v>
      </c>
      <c r="K124" s="59">
        <v>0.19</v>
      </c>
      <c r="L124" s="59">
        <v>0.2</v>
      </c>
      <c r="M124" s="59">
        <v>0.34</v>
      </c>
      <c r="N124" s="59"/>
      <c r="O124" s="59"/>
    </row>
    <row r="125" spans="1:15">
      <c r="A125" s="59">
        <v>85</v>
      </c>
      <c r="B125" s="59" t="s">
        <v>403</v>
      </c>
      <c r="C125" s="59" t="s">
        <v>23</v>
      </c>
      <c r="D125" s="24">
        <v>33</v>
      </c>
      <c r="E125" s="24">
        <v>9</v>
      </c>
      <c r="F125" s="24">
        <v>115</v>
      </c>
      <c r="G125" s="24">
        <v>105</v>
      </c>
      <c r="H125" s="59">
        <v>266.67</v>
      </c>
      <c r="I125" s="59">
        <v>9.52</v>
      </c>
      <c r="J125" s="59">
        <v>0.19</v>
      </c>
      <c r="K125" s="59">
        <v>0.18</v>
      </c>
      <c r="L125" s="59">
        <v>7.0000000000000007E-2</v>
      </c>
      <c r="M125" s="59">
        <v>0.17</v>
      </c>
      <c r="N125" s="59"/>
      <c r="O125" s="59"/>
    </row>
    <row r="126" spans="1:15" hidden="1">
      <c r="A126" s="59">
        <v>86</v>
      </c>
      <c r="B126" s="59" t="s">
        <v>462</v>
      </c>
      <c r="C126" s="59" t="s">
        <v>24</v>
      </c>
      <c r="D126" s="24">
        <v>22</v>
      </c>
      <c r="E126" s="24">
        <v>35</v>
      </c>
      <c r="F126" s="24">
        <v>113</v>
      </c>
      <c r="G126" s="24">
        <v>66</v>
      </c>
      <c r="H126" s="59">
        <v>-37.14</v>
      </c>
      <c r="I126" s="59">
        <v>71.209999999999994</v>
      </c>
      <c r="J126" s="59">
        <v>0.12</v>
      </c>
      <c r="K126" s="59">
        <v>0.17</v>
      </c>
      <c r="L126" s="59">
        <v>0.28000000000000003</v>
      </c>
      <c r="M126" s="59">
        <v>0.11</v>
      </c>
      <c r="N126" s="59"/>
      <c r="O126" s="59"/>
    </row>
    <row r="127" spans="1:15" hidden="1">
      <c r="A127" s="59">
        <v>87</v>
      </c>
      <c r="B127" s="59" t="s">
        <v>1037</v>
      </c>
      <c r="C127" s="59" t="s">
        <v>24</v>
      </c>
      <c r="D127" s="24">
        <v>26</v>
      </c>
      <c r="E127" s="24">
        <v>0</v>
      </c>
      <c r="F127" s="24">
        <v>109</v>
      </c>
      <c r="G127" s="24">
        <v>0</v>
      </c>
      <c r="H127" s="59">
        <v>0</v>
      </c>
      <c r="I127" s="59">
        <v>0</v>
      </c>
      <c r="J127" s="59">
        <v>0.15</v>
      </c>
      <c r="K127" s="59">
        <v>0.17</v>
      </c>
      <c r="L127" s="59">
        <v>0</v>
      </c>
      <c r="M127" s="59">
        <v>0</v>
      </c>
      <c r="N127" s="59"/>
      <c r="O127" s="59"/>
    </row>
    <row r="128" spans="1:15">
      <c r="A128" s="59">
        <v>88</v>
      </c>
      <c r="B128" s="59" t="s">
        <v>1020</v>
      </c>
      <c r="C128" s="59" t="s">
        <v>23</v>
      </c>
      <c r="D128" s="24">
        <v>19</v>
      </c>
      <c r="E128" s="24">
        <v>0</v>
      </c>
      <c r="F128" s="24">
        <v>109</v>
      </c>
      <c r="G128" s="24">
        <v>0</v>
      </c>
      <c r="H128" s="59">
        <v>0</v>
      </c>
      <c r="I128" s="59">
        <v>0</v>
      </c>
      <c r="J128" s="59">
        <v>0.11</v>
      </c>
      <c r="K128" s="59">
        <v>0.17</v>
      </c>
      <c r="L128" s="59">
        <v>0</v>
      </c>
      <c r="M128" s="59">
        <v>0</v>
      </c>
      <c r="N128" s="59"/>
      <c r="O128" s="59"/>
    </row>
    <row r="129" spans="1:15" hidden="1">
      <c r="A129" s="59">
        <v>89</v>
      </c>
      <c r="B129" s="59" t="s">
        <v>618</v>
      </c>
      <c r="C129" s="59" t="s">
        <v>24</v>
      </c>
      <c r="D129" s="24">
        <v>13</v>
      </c>
      <c r="E129" s="24">
        <v>112</v>
      </c>
      <c r="F129" s="24">
        <v>106</v>
      </c>
      <c r="G129" s="24">
        <v>661</v>
      </c>
      <c r="H129" s="59">
        <v>-88.39</v>
      </c>
      <c r="I129" s="59">
        <v>-83.96</v>
      </c>
      <c r="J129" s="59">
        <v>7.0000000000000007E-2</v>
      </c>
      <c r="K129" s="59">
        <v>0.16</v>
      </c>
      <c r="L129" s="59">
        <v>0.89</v>
      </c>
      <c r="M129" s="59">
        <v>1.0900000000000001</v>
      </c>
      <c r="N129" s="59"/>
      <c r="O129" s="59"/>
    </row>
    <row r="130" spans="1:15" hidden="1">
      <c r="A130" s="59">
        <v>90</v>
      </c>
      <c r="B130" s="59" t="s">
        <v>88</v>
      </c>
      <c r="C130" s="59" t="s">
        <v>24</v>
      </c>
      <c r="D130" s="24">
        <v>13</v>
      </c>
      <c r="E130" s="24">
        <v>80</v>
      </c>
      <c r="F130" s="24">
        <v>103</v>
      </c>
      <c r="G130" s="24">
        <v>335</v>
      </c>
      <c r="H130" s="59">
        <v>-83.75</v>
      </c>
      <c r="I130" s="59">
        <v>-69.25</v>
      </c>
      <c r="J130" s="59">
        <v>7.0000000000000007E-2</v>
      </c>
      <c r="K130" s="59">
        <v>0.16</v>
      </c>
      <c r="L130" s="59">
        <v>0.64</v>
      </c>
      <c r="M130" s="59">
        <v>0.55000000000000004</v>
      </c>
      <c r="N130" s="59"/>
      <c r="O130" s="59"/>
    </row>
    <row r="131" spans="1:15">
      <c r="A131" s="59">
        <v>91</v>
      </c>
      <c r="B131" s="59" t="s">
        <v>433</v>
      </c>
      <c r="C131" s="59" t="s">
        <v>23</v>
      </c>
      <c r="D131" s="24">
        <v>35</v>
      </c>
      <c r="E131" s="24">
        <v>11</v>
      </c>
      <c r="F131" s="24">
        <v>101</v>
      </c>
      <c r="G131" s="24">
        <v>68</v>
      </c>
      <c r="H131" s="59">
        <v>218.18</v>
      </c>
      <c r="I131" s="59">
        <v>48.53</v>
      </c>
      <c r="J131" s="59">
        <v>0.2</v>
      </c>
      <c r="K131" s="59">
        <v>0.16</v>
      </c>
      <c r="L131" s="59">
        <v>0.09</v>
      </c>
      <c r="M131" s="59">
        <v>0.11</v>
      </c>
      <c r="N131" s="59"/>
      <c r="O131" s="59"/>
    </row>
    <row r="132" spans="1:15">
      <c r="A132" s="59">
        <v>92</v>
      </c>
      <c r="B132" s="59" t="s">
        <v>656</v>
      </c>
      <c r="C132" s="59" t="s">
        <v>23</v>
      </c>
      <c r="D132" s="24">
        <v>18</v>
      </c>
      <c r="E132" s="24">
        <v>14</v>
      </c>
      <c r="F132" s="24">
        <v>100</v>
      </c>
      <c r="G132" s="24">
        <v>135</v>
      </c>
      <c r="H132" s="59">
        <v>28.57</v>
      </c>
      <c r="I132" s="59">
        <v>-25.93</v>
      </c>
      <c r="J132" s="59">
        <v>0.1</v>
      </c>
      <c r="K132" s="59">
        <v>0.15</v>
      </c>
      <c r="L132" s="59">
        <v>0.11</v>
      </c>
      <c r="M132" s="59">
        <v>0.22</v>
      </c>
      <c r="N132" s="59"/>
      <c r="O132" s="59"/>
    </row>
    <row r="133" spans="1:15">
      <c r="A133" s="59">
        <v>93</v>
      </c>
      <c r="B133" s="59" t="s">
        <v>452</v>
      </c>
      <c r="C133" s="59" t="s">
        <v>23</v>
      </c>
      <c r="D133" s="24">
        <v>32</v>
      </c>
      <c r="E133" s="24">
        <v>31</v>
      </c>
      <c r="F133" s="24">
        <v>95</v>
      </c>
      <c r="G133" s="24">
        <v>198</v>
      </c>
      <c r="H133" s="59">
        <v>3.23</v>
      </c>
      <c r="I133" s="59">
        <v>-52.02</v>
      </c>
      <c r="J133" s="59">
        <v>0.18</v>
      </c>
      <c r="K133" s="59">
        <v>0.15</v>
      </c>
      <c r="L133" s="59">
        <v>0.25</v>
      </c>
      <c r="M133" s="59">
        <v>0.33</v>
      </c>
      <c r="N133" s="59"/>
      <c r="O133" s="59"/>
    </row>
    <row r="134" spans="1:15">
      <c r="A134" s="59">
        <v>94</v>
      </c>
      <c r="B134" s="59" t="s">
        <v>163</v>
      </c>
      <c r="C134" s="59" t="s">
        <v>23</v>
      </c>
      <c r="D134" s="24">
        <v>9</v>
      </c>
      <c r="E134" s="24">
        <v>34</v>
      </c>
      <c r="F134" s="24">
        <v>81</v>
      </c>
      <c r="G134" s="24">
        <v>167</v>
      </c>
      <c r="H134" s="59">
        <v>-73.53</v>
      </c>
      <c r="I134" s="59">
        <v>-51.5</v>
      </c>
      <c r="J134" s="59">
        <v>0.05</v>
      </c>
      <c r="K134" s="59">
        <v>0.12</v>
      </c>
      <c r="L134" s="59">
        <v>0.27</v>
      </c>
      <c r="M134" s="59">
        <v>0.28000000000000003</v>
      </c>
      <c r="N134" s="59"/>
      <c r="O134" s="59"/>
    </row>
    <row r="135" spans="1:15" hidden="1">
      <c r="A135" s="59">
        <v>95</v>
      </c>
      <c r="B135" s="59" t="s">
        <v>638</v>
      </c>
      <c r="C135" s="59" t="s">
        <v>24</v>
      </c>
      <c r="D135" s="24">
        <v>31</v>
      </c>
      <c r="E135" s="24">
        <v>87</v>
      </c>
      <c r="F135" s="24">
        <v>78</v>
      </c>
      <c r="G135" s="24">
        <v>231</v>
      </c>
      <c r="H135" s="59">
        <v>-64.37</v>
      </c>
      <c r="I135" s="59">
        <v>-66.23</v>
      </c>
      <c r="J135" s="59">
        <v>0.18</v>
      </c>
      <c r="K135" s="59">
        <v>0.12</v>
      </c>
      <c r="L135" s="59">
        <v>0.69</v>
      </c>
      <c r="M135" s="59">
        <v>0.38</v>
      </c>
      <c r="N135" s="59"/>
      <c r="O135" s="59"/>
    </row>
    <row r="136" spans="1:15" hidden="1">
      <c r="A136" s="59">
        <v>96</v>
      </c>
      <c r="B136" s="59" t="s">
        <v>418</v>
      </c>
      <c r="C136" s="59" t="s">
        <v>24</v>
      </c>
      <c r="D136" s="24">
        <v>20</v>
      </c>
      <c r="E136" s="24">
        <v>24</v>
      </c>
      <c r="F136" s="24">
        <v>78</v>
      </c>
      <c r="G136" s="24">
        <v>204</v>
      </c>
      <c r="H136" s="59">
        <v>-16.670000000000002</v>
      </c>
      <c r="I136" s="59">
        <v>-61.76</v>
      </c>
      <c r="J136" s="59">
        <v>0.11</v>
      </c>
      <c r="K136" s="59">
        <v>0.12</v>
      </c>
      <c r="L136" s="59">
        <v>0.19</v>
      </c>
      <c r="M136" s="59">
        <v>0.34</v>
      </c>
      <c r="N136" s="59"/>
      <c r="O136" s="59"/>
    </row>
    <row r="137" spans="1:15" hidden="1">
      <c r="A137" s="59">
        <v>97</v>
      </c>
      <c r="B137" s="59" t="s">
        <v>735</v>
      </c>
      <c r="C137" s="59" t="s">
        <v>24</v>
      </c>
      <c r="D137" s="24">
        <v>29</v>
      </c>
      <c r="E137" s="24">
        <v>0</v>
      </c>
      <c r="F137" s="24">
        <v>78</v>
      </c>
      <c r="G137" s="24">
        <v>0</v>
      </c>
      <c r="H137" s="59">
        <v>0</v>
      </c>
      <c r="I137" s="59">
        <v>0</v>
      </c>
      <c r="J137" s="59">
        <v>0.16</v>
      </c>
      <c r="K137" s="59">
        <v>0.12</v>
      </c>
      <c r="L137" s="59">
        <v>0</v>
      </c>
      <c r="M137" s="59">
        <v>0</v>
      </c>
      <c r="N137" s="59"/>
      <c r="O137" s="59"/>
    </row>
    <row r="138" spans="1:15">
      <c r="A138" s="59">
        <v>98</v>
      </c>
      <c r="B138" s="59" t="s">
        <v>245</v>
      </c>
      <c r="C138" s="59" t="s">
        <v>23</v>
      </c>
      <c r="D138" s="24">
        <v>9</v>
      </c>
      <c r="E138" s="24">
        <v>13</v>
      </c>
      <c r="F138" s="24">
        <v>74</v>
      </c>
      <c r="G138" s="24">
        <v>49</v>
      </c>
      <c r="H138" s="59">
        <v>-30.77</v>
      </c>
      <c r="I138" s="59">
        <v>51.02</v>
      </c>
      <c r="J138" s="59">
        <v>0.05</v>
      </c>
      <c r="K138" s="59">
        <v>0.11</v>
      </c>
      <c r="L138" s="59">
        <v>0.1</v>
      </c>
      <c r="M138" s="59">
        <v>0.08</v>
      </c>
      <c r="N138" s="59"/>
      <c r="O138" s="59"/>
    </row>
    <row r="139" spans="1:15">
      <c r="A139" s="59">
        <v>99</v>
      </c>
      <c r="B139" s="59" t="s">
        <v>521</v>
      </c>
      <c r="C139" s="59" t="s">
        <v>23</v>
      </c>
      <c r="D139" s="24">
        <v>23</v>
      </c>
      <c r="E139" s="24">
        <v>18</v>
      </c>
      <c r="F139" s="24">
        <v>73</v>
      </c>
      <c r="G139" s="24">
        <v>99</v>
      </c>
      <c r="H139" s="59">
        <v>27.78</v>
      </c>
      <c r="I139" s="59">
        <v>-26.26</v>
      </c>
      <c r="J139" s="59">
        <v>0.13</v>
      </c>
      <c r="K139" s="59">
        <v>0.11</v>
      </c>
      <c r="L139" s="59">
        <v>0.14000000000000001</v>
      </c>
      <c r="M139" s="59">
        <v>0.16</v>
      </c>
      <c r="N139" s="59"/>
      <c r="O139" s="59"/>
    </row>
    <row r="140" spans="1:15">
      <c r="A140" s="59">
        <v>100</v>
      </c>
      <c r="B140" s="59" t="s">
        <v>439</v>
      </c>
      <c r="C140" s="59" t="s">
        <v>23</v>
      </c>
      <c r="D140" s="24">
        <v>47</v>
      </c>
      <c r="E140" s="24">
        <v>26</v>
      </c>
      <c r="F140" s="24">
        <v>72</v>
      </c>
      <c r="G140" s="24">
        <v>107</v>
      </c>
      <c r="H140" s="59">
        <v>80.77</v>
      </c>
      <c r="I140" s="59">
        <v>-32.71</v>
      </c>
      <c r="J140" s="59">
        <v>0.27</v>
      </c>
      <c r="K140" s="59">
        <v>0.11</v>
      </c>
      <c r="L140" s="59">
        <v>0.21</v>
      </c>
      <c r="M140" s="59">
        <v>0.18</v>
      </c>
      <c r="N140" s="59"/>
      <c r="O140" s="59"/>
    </row>
    <row r="141" spans="1:15">
      <c r="A141" s="59">
        <v>101</v>
      </c>
      <c r="B141" s="59" t="s">
        <v>430</v>
      </c>
      <c r="C141" s="59" t="s">
        <v>23</v>
      </c>
      <c r="D141" s="24">
        <v>7</v>
      </c>
      <c r="E141" s="24">
        <v>42</v>
      </c>
      <c r="F141" s="24">
        <v>70</v>
      </c>
      <c r="G141" s="24">
        <v>289</v>
      </c>
      <c r="H141" s="59">
        <v>-83.33</v>
      </c>
      <c r="I141" s="59">
        <v>-75.78</v>
      </c>
      <c r="J141" s="59">
        <v>0.04</v>
      </c>
      <c r="K141" s="59">
        <v>0.11</v>
      </c>
      <c r="L141" s="59">
        <v>0.34</v>
      </c>
      <c r="M141" s="59">
        <v>0.48</v>
      </c>
      <c r="N141" s="59"/>
      <c r="O141" s="59"/>
    </row>
    <row r="142" spans="1:15" hidden="1">
      <c r="A142" s="59">
        <v>102</v>
      </c>
      <c r="B142" s="59" t="s">
        <v>1013</v>
      </c>
      <c r="C142" s="59" t="s">
        <v>24</v>
      </c>
      <c r="D142" s="24">
        <v>15</v>
      </c>
      <c r="E142" s="24">
        <v>0</v>
      </c>
      <c r="F142" s="24">
        <v>70</v>
      </c>
      <c r="G142" s="24">
        <v>0</v>
      </c>
      <c r="H142" s="59">
        <v>0</v>
      </c>
      <c r="I142" s="59">
        <v>0</v>
      </c>
      <c r="J142" s="59">
        <v>0.09</v>
      </c>
      <c r="K142" s="59">
        <v>0.11</v>
      </c>
      <c r="L142" s="59">
        <v>0</v>
      </c>
      <c r="M142" s="59">
        <v>0</v>
      </c>
      <c r="N142" s="59"/>
      <c r="O142" s="59"/>
    </row>
    <row r="143" spans="1:15">
      <c r="A143" s="59">
        <v>103</v>
      </c>
      <c r="B143" s="59" t="s">
        <v>1068</v>
      </c>
      <c r="C143" s="59" t="s">
        <v>23</v>
      </c>
      <c r="D143" s="24">
        <v>3</v>
      </c>
      <c r="E143" s="24">
        <v>0</v>
      </c>
      <c r="F143" s="24">
        <v>66</v>
      </c>
      <c r="G143" s="24">
        <v>0</v>
      </c>
      <c r="H143" s="59">
        <v>0</v>
      </c>
      <c r="I143" s="59">
        <v>0</v>
      </c>
      <c r="J143" s="59">
        <v>0.02</v>
      </c>
      <c r="K143" s="59">
        <v>0.1</v>
      </c>
      <c r="L143" s="59">
        <v>0</v>
      </c>
      <c r="M143" s="59">
        <v>0</v>
      </c>
      <c r="N143" s="59"/>
      <c r="O143" s="59"/>
    </row>
    <row r="144" spans="1:15">
      <c r="A144" s="59">
        <v>104</v>
      </c>
      <c r="B144" s="59" t="s">
        <v>1129</v>
      </c>
      <c r="C144" s="59" t="s">
        <v>23</v>
      </c>
      <c r="D144" s="24">
        <v>15</v>
      </c>
      <c r="E144" s="24">
        <v>0</v>
      </c>
      <c r="F144" s="24">
        <v>64</v>
      </c>
      <c r="G144" s="24">
        <v>0</v>
      </c>
      <c r="H144" s="59">
        <v>0</v>
      </c>
      <c r="I144" s="59">
        <v>0</v>
      </c>
      <c r="J144" s="59">
        <v>0.09</v>
      </c>
      <c r="K144" s="59">
        <v>0.1</v>
      </c>
      <c r="L144" s="59">
        <v>0</v>
      </c>
      <c r="M144" s="59">
        <v>0</v>
      </c>
      <c r="N144" s="59"/>
      <c r="O144" s="59"/>
    </row>
    <row r="145" spans="1:15" hidden="1">
      <c r="A145" s="59">
        <v>105</v>
      </c>
      <c r="B145" s="59" t="s">
        <v>453</v>
      </c>
      <c r="C145" s="59" t="s">
        <v>24</v>
      </c>
      <c r="D145" s="24">
        <v>26</v>
      </c>
      <c r="E145" s="24">
        <v>69</v>
      </c>
      <c r="F145" s="24">
        <v>62</v>
      </c>
      <c r="G145" s="24">
        <v>219</v>
      </c>
      <c r="H145" s="59">
        <v>-62.32</v>
      </c>
      <c r="I145" s="59">
        <v>-71.69</v>
      </c>
      <c r="J145" s="59">
        <v>0.15</v>
      </c>
      <c r="K145" s="59">
        <v>0.1</v>
      </c>
      <c r="L145" s="59">
        <v>0.55000000000000004</v>
      </c>
      <c r="M145" s="59">
        <v>0.36</v>
      </c>
      <c r="N145" s="59"/>
      <c r="O145" s="59"/>
    </row>
    <row r="146" spans="1:15" hidden="1">
      <c r="A146" s="59">
        <v>106</v>
      </c>
      <c r="B146" s="59" t="s">
        <v>687</v>
      </c>
      <c r="C146" s="59" t="s">
        <v>24</v>
      </c>
      <c r="D146" s="24">
        <v>15</v>
      </c>
      <c r="E146" s="24">
        <v>16</v>
      </c>
      <c r="F146" s="24">
        <v>57</v>
      </c>
      <c r="G146" s="24">
        <v>110</v>
      </c>
      <c r="H146" s="59">
        <v>-6.25</v>
      </c>
      <c r="I146" s="59">
        <v>-48.18</v>
      </c>
      <c r="J146" s="59">
        <v>0.09</v>
      </c>
      <c r="K146" s="59">
        <v>0.09</v>
      </c>
      <c r="L146" s="59">
        <v>0.13</v>
      </c>
      <c r="M146" s="59">
        <v>0.18</v>
      </c>
      <c r="N146" s="59"/>
      <c r="O146" s="59"/>
    </row>
    <row r="147" spans="1:15">
      <c r="A147" s="59">
        <v>107</v>
      </c>
      <c r="B147" s="59" t="s">
        <v>157</v>
      </c>
      <c r="C147" s="59" t="s">
        <v>23</v>
      </c>
      <c r="D147" s="24">
        <v>1</v>
      </c>
      <c r="E147" s="24">
        <v>18</v>
      </c>
      <c r="F147" s="24">
        <v>57</v>
      </c>
      <c r="G147" s="24">
        <v>78</v>
      </c>
      <c r="H147" s="59">
        <v>-94.44</v>
      </c>
      <c r="I147" s="59">
        <v>-26.92</v>
      </c>
      <c r="J147" s="59">
        <v>0.01</v>
      </c>
      <c r="K147" s="59">
        <v>0.09</v>
      </c>
      <c r="L147" s="59">
        <v>0.14000000000000001</v>
      </c>
      <c r="M147" s="59">
        <v>0.13</v>
      </c>
      <c r="N147" s="59"/>
      <c r="O147" s="59"/>
    </row>
    <row r="148" spans="1:15" hidden="1">
      <c r="A148" s="59">
        <v>215</v>
      </c>
      <c r="B148" s="59" t="s">
        <v>457</v>
      </c>
      <c r="C148" s="59" t="s">
        <v>24</v>
      </c>
      <c r="D148" s="24">
        <v>16</v>
      </c>
      <c r="E148" s="24">
        <v>12</v>
      </c>
      <c r="F148" s="24">
        <v>55</v>
      </c>
      <c r="G148" s="24">
        <v>49</v>
      </c>
      <c r="H148" s="59">
        <v>33.33</v>
      </c>
      <c r="I148" s="59">
        <v>12.24</v>
      </c>
      <c r="J148" s="59">
        <v>0.09</v>
      </c>
      <c r="K148" s="59">
        <v>0.08</v>
      </c>
      <c r="L148" s="59">
        <v>0.1</v>
      </c>
      <c r="M148" s="59">
        <v>0.08</v>
      </c>
      <c r="N148" s="59"/>
      <c r="O148" s="59"/>
    </row>
    <row r="149" spans="1:15" hidden="1">
      <c r="A149" s="59">
        <v>108</v>
      </c>
      <c r="B149" s="59" t="s">
        <v>665</v>
      </c>
      <c r="C149" s="59" t="s">
        <v>24</v>
      </c>
      <c r="D149" s="24">
        <v>9</v>
      </c>
      <c r="E149" s="24">
        <v>205</v>
      </c>
      <c r="F149" s="24">
        <v>54</v>
      </c>
      <c r="G149" s="24">
        <v>442</v>
      </c>
      <c r="H149" s="59">
        <v>-95.61</v>
      </c>
      <c r="I149" s="59">
        <v>-87.78</v>
      </c>
      <c r="J149" s="59">
        <v>0.05</v>
      </c>
      <c r="K149" s="59">
        <v>0.08</v>
      </c>
      <c r="L149" s="59">
        <v>1.64</v>
      </c>
      <c r="M149" s="59">
        <v>0.73</v>
      </c>
      <c r="N149" s="59"/>
      <c r="O149" s="59"/>
    </row>
    <row r="150" spans="1:15" hidden="1">
      <c r="A150" s="59">
        <v>109</v>
      </c>
      <c r="B150" s="59" t="s">
        <v>1072</v>
      </c>
      <c r="C150" s="59" t="s">
        <v>24</v>
      </c>
      <c r="D150" s="24">
        <v>15</v>
      </c>
      <c r="E150" s="24">
        <v>0</v>
      </c>
      <c r="F150" s="24">
        <v>54</v>
      </c>
      <c r="G150" s="24">
        <v>0</v>
      </c>
      <c r="H150" s="59">
        <v>0</v>
      </c>
      <c r="I150" s="59">
        <v>0</v>
      </c>
      <c r="J150" s="59">
        <v>0.09</v>
      </c>
      <c r="K150" s="59">
        <v>0.08</v>
      </c>
      <c r="L150" s="59">
        <v>0</v>
      </c>
      <c r="M150" s="59">
        <v>0</v>
      </c>
      <c r="N150" s="59"/>
      <c r="O150" s="59"/>
    </row>
    <row r="151" spans="1:15">
      <c r="A151" s="59">
        <v>110</v>
      </c>
      <c r="B151" s="59" t="s">
        <v>1126</v>
      </c>
      <c r="C151" s="59" t="s">
        <v>23</v>
      </c>
      <c r="D151" s="24">
        <v>23</v>
      </c>
      <c r="E151" s="24">
        <v>0</v>
      </c>
      <c r="F151" s="24">
        <v>54</v>
      </c>
      <c r="G151" s="24">
        <v>0</v>
      </c>
      <c r="H151" s="59">
        <v>0</v>
      </c>
      <c r="I151" s="59">
        <v>0</v>
      </c>
      <c r="J151" s="59">
        <v>0.13</v>
      </c>
      <c r="K151" s="59">
        <v>0.08</v>
      </c>
      <c r="L151" s="59">
        <v>0</v>
      </c>
      <c r="M151" s="59">
        <v>0</v>
      </c>
      <c r="N151" s="59"/>
      <c r="O151" s="59"/>
    </row>
    <row r="152" spans="1:15">
      <c r="A152" s="59">
        <v>111</v>
      </c>
      <c r="B152" s="59" t="s">
        <v>516</v>
      </c>
      <c r="C152" s="59" t="s">
        <v>23</v>
      </c>
      <c r="D152" s="24">
        <v>11</v>
      </c>
      <c r="E152" s="24">
        <v>20</v>
      </c>
      <c r="F152" s="24">
        <v>53</v>
      </c>
      <c r="G152" s="24">
        <v>78</v>
      </c>
      <c r="H152" s="59">
        <v>-45</v>
      </c>
      <c r="I152" s="59">
        <v>-32.049999999999997</v>
      </c>
      <c r="J152" s="59">
        <v>0.06</v>
      </c>
      <c r="K152" s="59">
        <v>0.08</v>
      </c>
      <c r="L152" s="59">
        <v>0.16</v>
      </c>
      <c r="M152" s="59">
        <v>0.13</v>
      </c>
      <c r="N152" s="59"/>
      <c r="O152" s="59"/>
    </row>
    <row r="153" spans="1:15">
      <c r="A153" s="59">
        <v>112</v>
      </c>
      <c r="B153" s="59" t="s">
        <v>623</v>
      </c>
      <c r="C153" s="59" t="s">
        <v>23</v>
      </c>
      <c r="D153" s="24">
        <v>2</v>
      </c>
      <c r="E153" s="24">
        <v>2</v>
      </c>
      <c r="F153" s="24">
        <v>52</v>
      </c>
      <c r="G153" s="24">
        <v>42</v>
      </c>
      <c r="H153" s="67">
        <v>0</v>
      </c>
      <c r="I153" s="67">
        <v>23.81</v>
      </c>
      <c r="J153" s="59">
        <v>0.01</v>
      </c>
      <c r="K153" s="59">
        <v>0.08</v>
      </c>
      <c r="L153" s="59">
        <v>0.02</v>
      </c>
      <c r="M153" s="59">
        <v>7.0000000000000007E-2</v>
      </c>
      <c r="N153" s="59"/>
      <c r="O153" s="59"/>
    </row>
    <row r="154" spans="1:15" hidden="1">
      <c r="A154" s="59">
        <v>113</v>
      </c>
      <c r="B154" s="59" t="s">
        <v>680</v>
      </c>
      <c r="C154" s="59" t="s">
        <v>24</v>
      </c>
      <c r="D154" s="24">
        <v>6</v>
      </c>
      <c r="E154" s="24">
        <v>20</v>
      </c>
      <c r="F154" s="24">
        <v>50</v>
      </c>
      <c r="G154" s="24">
        <v>23</v>
      </c>
      <c r="H154" s="59">
        <v>-70</v>
      </c>
      <c r="I154" s="59">
        <v>117.39</v>
      </c>
      <c r="J154" s="59">
        <v>0.03</v>
      </c>
      <c r="K154" s="59">
        <v>0.08</v>
      </c>
      <c r="L154" s="59">
        <v>0.16</v>
      </c>
      <c r="M154" s="59">
        <v>0.04</v>
      </c>
      <c r="N154" s="59"/>
      <c r="O154" s="59"/>
    </row>
    <row r="155" spans="1:15">
      <c r="A155" s="59">
        <v>114</v>
      </c>
      <c r="B155" s="59" t="s">
        <v>575</v>
      </c>
      <c r="C155" s="59" t="s">
        <v>23</v>
      </c>
      <c r="D155" s="24">
        <v>1</v>
      </c>
      <c r="E155" s="24">
        <v>17</v>
      </c>
      <c r="F155" s="24">
        <v>48</v>
      </c>
      <c r="G155" s="24">
        <v>78</v>
      </c>
      <c r="H155" s="59">
        <v>-94.12</v>
      </c>
      <c r="I155" s="59">
        <v>-38.46</v>
      </c>
      <c r="J155" s="59">
        <v>0.01</v>
      </c>
      <c r="K155" s="59">
        <v>7.0000000000000007E-2</v>
      </c>
      <c r="L155" s="59">
        <v>0.14000000000000001</v>
      </c>
      <c r="M155" s="59">
        <v>0.13</v>
      </c>
      <c r="N155" s="59"/>
      <c r="O155" s="59"/>
    </row>
    <row r="156" spans="1:15">
      <c r="A156" s="59">
        <v>115</v>
      </c>
      <c r="B156" s="59" t="s">
        <v>1166</v>
      </c>
      <c r="C156" s="59" t="s">
        <v>23</v>
      </c>
      <c r="D156" s="24">
        <v>9</v>
      </c>
      <c r="E156" s="24">
        <v>0</v>
      </c>
      <c r="F156" s="24">
        <v>47</v>
      </c>
      <c r="G156" s="24">
        <v>0</v>
      </c>
      <c r="H156" s="59">
        <v>0</v>
      </c>
      <c r="I156" s="59">
        <v>0</v>
      </c>
      <c r="J156" s="59">
        <v>0.05</v>
      </c>
      <c r="K156" s="59">
        <v>7.0000000000000007E-2</v>
      </c>
      <c r="L156" s="59">
        <v>0</v>
      </c>
      <c r="M156" s="59">
        <v>0</v>
      </c>
      <c r="N156" s="59"/>
      <c r="O156" s="59"/>
    </row>
    <row r="157" spans="1:15">
      <c r="A157" s="59">
        <v>116</v>
      </c>
      <c r="B157" s="59" t="s">
        <v>79</v>
      </c>
      <c r="C157" s="59" t="s">
        <v>23</v>
      </c>
      <c r="D157" s="24">
        <v>8</v>
      </c>
      <c r="E157" s="24">
        <v>74</v>
      </c>
      <c r="F157" s="24">
        <v>46</v>
      </c>
      <c r="G157" s="24">
        <v>626</v>
      </c>
      <c r="H157" s="59">
        <v>-89.19</v>
      </c>
      <c r="I157" s="59">
        <v>-92.65</v>
      </c>
      <c r="J157" s="59">
        <v>0.05</v>
      </c>
      <c r="K157" s="59">
        <v>7.0000000000000007E-2</v>
      </c>
      <c r="L157" s="59">
        <v>0.59</v>
      </c>
      <c r="M157" s="59">
        <v>1.04</v>
      </c>
      <c r="N157" s="59"/>
      <c r="O157" s="59"/>
    </row>
    <row r="158" spans="1:15" hidden="1">
      <c r="A158" s="59">
        <v>117</v>
      </c>
      <c r="B158" s="59" t="s">
        <v>1058</v>
      </c>
      <c r="C158" s="59" t="s">
        <v>24</v>
      </c>
      <c r="D158" s="24">
        <v>3</v>
      </c>
      <c r="E158" s="24">
        <v>0</v>
      </c>
      <c r="F158" s="24">
        <v>45</v>
      </c>
      <c r="G158" s="24">
        <v>0</v>
      </c>
      <c r="H158" s="59">
        <v>0</v>
      </c>
      <c r="I158" s="59">
        <v>0</v>
      </c>
      <c r="J158" s="59">
        <v>0.02</v>
      </c>
      <c r="K158" s="59">
        <v>7.0000000000000007E-2</v>
      </c>
      <c r="L158" s="59">
        <v>0</v>
      </c>
      <c r="M158" s="59">
        <v>0</v>
      </c>
      <c r="N158" s="59"/>
      <c r="O158" s="59"/>
    </row>
    <row r="159" spans="1:15">
      <c r="A159" s="59">
        <v>118</v>
      </c>
      <c r="B159" s="59" t="s">
        <v>135</v>
      </c>
      <c r="C159" s="59" t="s">
        <v>23</v>
      </c>
      <c r="D159" s="24">
        <v>7</v>
      </c>
      <c r="E159" s="24">
        <v>2</v>
      </c>
      <c r="F159" s="24">
        <v>43</v>
      </c>
      <c r="G159" s="24">
        <v>15</v>
      </c>
      <c r="H159" s="59">
        <v>250</v>
      </c>
      <c r="I159" s="59">
        <v>186.67</v>
      </c>
      <c r="J159" s="59">
        <v>0.04</v>
      </c>
      <c r="K159" s="59">
        <v>7.0000000000000007E-2</v>
      </c>
      <c r="L159" s="59">
        <v>0.02</v>
      </c>
      <c r="M159" s="59">
        <v>0.02</v>
      </c>
      <c r="N159" s="59"/>
      <c r="O159" s="59"/>
    </row>
    <row r="160" spans="1:15">
      <c r="A160" s="59">
        <v>119</v>
      </c>
      <c r="B160" s="59" t="s">
        <v>621</v>
      </c>
      <c r="C160" s="59" t="s">
        <v>23</v>
      </c>
      <c r="D160" s="24">
        <v>26</v>
      </c>
      <c r="E160" s="24">
        <v>30</v>
      </c>
      <c r="F160" s="24">
        <v>40</v>
      </c>
      <c r="G160" s="24">
        <v>140</v>
      </c>
      <c r="H160" s="59">
        <v>-13.33</v>
      </c>
      <c r="I160" s="59">
        <v>-71.430000000000007</v>
      </c>
      <c r="J160" s="59">
        <v>0.15</v>
      </c>
      <c r="K160" s="59">
        <v>0.06</v>
      </c>
      <c r="L160" s="59">
        <v>0.24</v>
      </c>
      <c r="M160" s="59">
        <v>0.23</v>
      </c>
      <c r="N160" s="59"/>
      <c r="O160" s="59"/>
    </row>
    <row r="161" spans="1:15">
      <c r="A161" s="59">
        <v>120</v>
      </c>
      <c r="B161" s="59" t="s">
        <v>1090</v>
      </c>
      <c r="C161" s="59" t="s">
        <v>23</v>
      </c>
      <c r="D161" s="24">
        <v>10</v>
      </c>
      <c r="E161" s="24">
        <v>0</v>
      </c>
      <c r="F161" s="24">
        <v>39</v>
      </c>
      <c r="G161" s="24">
        <v>0</v>
      </c>
      <c r="H161" s="59">
        <v>0</v>
      </c>
      <c r="I161" s="59">
        <v>0</v>
      </c>
      <c r="J161" s="59">
        <v>0.06</v>
      </c>
      <c r="K161" s="59">
        <v>0.06</v>
      </c>
      <c r="L161" s="59">
        <v>0</v>
      </c>
      <c r="M161" s="59">
        <v>0</v>
      </c>
      <c r="N161" s="59"/>
      <c r="O161" s="59"/>
    </row>
    <row r="162" spans="1:15">
      <c r="A162" s="59">
        <v>121</v>
      </c>
      <c r="B162" s="59" t="s">
        <v>448</v>
      </c>
      <c r="C162" s="59" t="s">
        <v>23</v>
      </c>
      <c r="D162" s="24">
        <v>8</v>
      </c>
      <c r="E162" s="24">
        <v>8</v>
      </c>
      <c r="F162" s="24">
        <v>38</v>
      </c>
      <c r="G162" s="24">
        <v>44</v>
      </c>
      <c r="H162" s="59">
        <v>0</v>
      </c>
      <c r="I162" s="59">
        <v>-13.64</v>
      </c>
      <c r="J162" s="59">
        <v>0.05</v>
      </c>
      <c r="K162" s="59">
        <v>0.06</v>
      </c>
      <c r="L162" s="59">
        <v>0.06</v>
      </c>
      <c r="M162" s="59">
        <v>7.0000000000000007E-2</v>
      </c>
      <c r="N162" s="59"/>
      <c r="O162" s="59"/>
    </row>
    <row r="163" spans="1:15">
      <c r="A163" s="59">
        <v>122</v>
      </c>
      <c r="B163" s="59" t="s">
        <v>636</v>
      </c>
      <c r="C163" s="59" t="s">
        <v>23</v>
      </c>
      <c r="D163" s="24">
        <v>2</v>
      </c>
      <c r="E163" s="24">
        <v>5</v>
      </c>
      <c r="F163" s="24">
        <v>37</v>
      </c>
      <c r="G163" s="24">
        <v>26</v>
      </c>
      <c r="H163" s="59">
        <v>-60</v>
      </c>
      <c r="I163" s="59">
        <v>42.31</v>
      </c>
      <c r="J163" s="59">
        <v>0.01</v>
      </c>
      <c r="K163" s="59">
        <v>0.06</v>
      </c>
      <c r="L163" s="59">
        <v>0.04</v>
      </c>
      <c r="M163" s="59">
        <v>0.04</v>
      </c>
      <c r="N163" s="59"/>
      <c r="O163" s="59"/>
    </row>
    <row r="164" spans="1:15">
      <c r="A164" s="59">
        <v>123</v>
      </c>
      <c r="B164" s="59" t="s">
        <v>456</v>
      </c>
      <c r="C164" s="59" t="s">
        <v>23</v>
      </c>
      <c r="D164" s="24">
        <v>4</v>
      </c>
      <c r="E164" s="24">
        <v>0</v>
      </c>
      <c r="F164" s="24">
        <v>36</v>
      </c>
      <c r="G164" s="24">
        <v>23</v>
      </c>
      <c r="H164" s="59">
        <v>0</v>
      </c>
      <c r="I164" s="59">
        <v>56.52</v>
      </c>
      <c r="J164" s="59">
        <v>0.02</v>
      </c>
      <c r="K164" s="59">
        <v>0.06</v>
      </c>
      <c r="L164" s="59">
        <v>0</v>
      </c>
      <c r="M164" s="59">
        <v>0.04</v>
      </c>
      <c r="N164" s="59"/>
      <c r="O164" s="59"/>
    </row>
    <row r="165" spans="1:15" hidden="1">
      <c r="A165" s="59">
        <v>124</v>
      </c>
      <c r="B165" s="59" t="s">
        <v>1094</v>
      </c>
      <c r="C165" s="59" t="s">
        <v>24</v>
      </c>
      <c r="D165" s="24">
        <v>12</v>
      </c>
      <c r="E165" s="24">
        <v>0</v>
      </c>
      <c r="F165" s="24">
        <v>36</v>
      </c>
      <c r="G165" s="24">
        <v>0</v>
      </c>
      <c r="H165" s="59">
        <v>0</v>
      </c>
      <c r="I165" s="59">
        <v>0</v>
      </c>
      <c r="J165" s="59">
        <v>7.0000000000000007E-2</v>
      </c>
      <c r="K165" s="59">
        <v>0.06</v>
      </c>
      <c r="L165" s="59">
        <v>0</v>
      </c>
      <c r="M165" s="59">
        <v>0</v>
      </c>
      <c r="N165" s="59"/>
      <c r="O165" s="59"/>
    </row>
    <row r="166" spans="1:15" hidden="1">
      <c r="A166" s="59">
        <v>125</v>
      </c>
      <c r="B166" s="59" t="s">
        <v>1091</v>
      </c>
      <c r="C166" s="59" t="s">
        <v>24</v>
      </c>
      <c r="D166" s="24">
        <v>3</v>
      </c>
      <c r="E166" s="24">
        <v>0</v>
      </c>
      <c r="F166" s="24">
        <v>35</v>
      </c>
      <c r="G166" s="24">
        <v>0</v>
      </c>
      <c r="H166" s="59">
        <v>0</v>
      </c>
      <c r="I166" s="59">
        <v>0</v>
      </c>
      <c r="J166" s="59">
        <v>0.02</v>
      </c>
      <c r="K166" s="59">
        <v>0.05</v>
      </c>
      <c r="L166" s="59">
        <v>0</v>
      </c>
      <c r="M166" s="59">
        <v>0</v>
      </c>
      <c r="N166" s="59"/>
      <c r="O166" s="59"/>
    </row>
    <row r="167" spans="1:15">
      <c r="A167" s="59">
        <v>126</v>
      </c>
      <c r="B167" s="59" t="s">
        <v>673</v>
      </c>
      <c r="C167" s="59" t="s">
        <v>23</v>
      </c>
      <c r="D167" s="24">
        <v>11</v>
      </c>
      <c r="E167" s="24">
        <v>0</v>
      </c>
      <c r="F167" s="24">
        <v>34</v>
      </c>
      <c r="G167" s="24">
        <v>68</v>
      </c>
      <c r="H167" s="59">
        <v>0</v>
      </c>
      <c r="I167" s="59">
        <v>-50</v>
      </c>
      <c r="J167" s="59">
        <v>0.06</v>
      </c>
      <c r="K167" s="59">
        <v>0.05</v>
      </c>
      <c r="L167" s="59">
        <v>0</v>
      </c>
      <c r="M167" s="59">
        <v>0.11</v>
      </c>
      <c r="N167" s="59"/>
      <c r="O167" s="59"/>
    </row>
    <row r="168" spans="1:15">
      <c r="A168" s="59">
        <v>127</v>
      </c>
      <c r="B168" s="59" t="s">
        <v>447</v>
      </c>
      <c r="C168" s="59" t="s">
        <v>23</v>
      </c>
      <c r="D168" s="24">
        <v>3</v>
      </c>
      <c r="E168" s="24">
        <v>6</v>
      </c>
      <c r="F168" s="24">
        <v>34</v>
      </c>
      <c r="G168" s="24">
        <v>24</v>
      </c>
      <c r="H168" s="59">
        <v>-50</v>
      </c>
      <c r="I168" s="59">
        <v>41.67</v>
      </c>
      <c r="J168" s="59">
        <v>0.02</v>
      </c>
      <c r="K168" s="59">
        <v>0.05</v>
      </c>
      <c r="L168" s="59">
        <v>0.05</v>
      </c>
      <c r="M168" s="59">
        <v>0.04</v>
      </c>
      <c r="N168" s="59"/>
      <c r="O168" s="59"/>
    </row>
    <row r="169" spans="1:15" hidden="1">
      <c r="A169" s="59">
        <v>128</v>
      </c>
      <c r="B169" s="59" t="s">
        <v>1069</v>
      </c>
      <c r="C169" s="59" t="s">
        <v>24</v>
      </c>
      <c r="D169" s="24">
        <v>9</v>
      </c>
      <c r="E169" s="24">
        <v>0</v>
      </c>
      <c r="F169" s="24">
        <v>31</v>
      </c>
      <c r="G169" s="24">
        <v>0</v>
      </c>
      <c r="H169" s="59">
        <v>0</v>
      </c>
      <c r="I169" s="59">
        <v>0</v>
      </c>
      <c r="J169" s="59">
        <v>0.05</v>
      </c>
      <c r="K169" s="59">
        <v>0.05</v>
      </c>
      <c r="L169" s="59">
        <v>0</v>
      </c>
      <c r="M169" s="59">
        <v>0</v>
      </c>
      <c r="N169" s="59"/>
      <c r="O169" s="59"/>
    </row>
    <row r="170" spans="1:15" hidden="1">
      <c r="A170" s="59">
        <v>129</v>
      </c>
      <c r="B170" s="59" t="s">
        <v>523</v>
      </c>
      <c r="C170" s="59" t="s">
        <v>24</v>
      </c>
      <c r="D170" s="24">
        <v>12</v>
      </c>
      <c r="E170" s="24">
        <v>10</v>
      </c>
      <c r="F170" s="24">
        <v>30</v>
      </c>
      <c r="G170" s="24">
        <v>41</v>
      </c>
      <c r="H170" s="59">
        <v>20</v>
      </c>
      <c r="I170" s="59">
        <v>-26.83</v>
      </c>
      <c r="J170" s="59">
        <v>7.0000000000000007E-2</v>
      </c>
      <c r="K170" s="59">
        <v>0.05</v>
      </c>
      <c r="L170" s="59">
        <v>0.08</v>
      </c>
      <c r="M170" s="59">
        <v>7.0000000000000007E-2</v>
      </c>
      <c r="N170" s="59"/>
      <c r="O170" s="59"/>
    </row>
    <row r="171" spans="1:15">
      <c r="A171" s="59">
        <v>130</v>
      </c>
      <c r="B171" s="59" t="s">
        <v>449</v>
      </c>
      <c r="C171" s="59" t="s">
        <v>23</v>
      </c>
      <c r="D171" s="24">
        <v>0</v>
      </c>
      <c r="E171" s="24">
        <v>6</v>
      </c>
      <c r="F171" s="24">
        <v>30</v>
      </c>
      <c r="G171" s="24">
        <v>39</v>
      </c>
      <c r="H171" s="59">
        <v>-100</v>
      </c>
      <c r="I171" s="59">
        <v>-23.08</v>
      </c>
      <c r="J171" s="59">
        <v>0</v>
      </c>
      <c r="K171" s="59">
        <v>0.05</v>
      </c>
      <c r="L171" s="59">
        <v>0.05</v>
      </c>
      <c r="M171" s="59">
        <v>0.06</v>
      </c>
      <c r="N171" s="59"/>
      <c r="O171" s="59"/>
    </row>
    <row r="172" spans="1:15">
      <c r="A172" s="59">
        <v>131</v>
      </c>
      <c r="B172" s="59" t="s">
        <v>149</v>
      </c>
      <c r="C172" s="59" t="s">
        <v>23</v>
      </c>
      <c r="D172" s="24">
        <v>6</v>
      </c>
      <c r="E172" s="24">
        <v>24</v>
      </c>
      <c r="F172" s="24">
        <v>29</v>
      </c>
      <c r="G172" s="24">
        <v>59</v>
      </c>
      <c r="H172" s="59">
        <v>-75</v>
      </c>
      <c r="I172" s="59">
        <v>-50.85</v>
      </c>
      <c r="J172" s="59">
        <v>0.03</v>
      </c>
      <c r="K172" s="59">
        <v>0.04</v>
      </c>
      <c r="L172" s="59">
        <v>0.19</v>
      </c>
      <c r="M172" s="59">
        <v>0.1</v>
      </c>
      <c r="N172" s="59"/>
      <c r="O172" s="59"/>
    </row>
    <row r="173" spans="1:15">
      <c r="A173" s="59">
        <v>132</v>
      </c>
      <c r="B173" s="59" t="s">
        <v>1019</v>
      </c>
      <c r="C173" s="59" t="s">
        <v>23</v>
      </c>
      <c r="D173" s="24">
        <v>11</v>
      </c>
      <c r="E173" s="24">
        <v>0</v>
      </c>
      <c r="F173" s="24">
        <v>29</v>
      </c>
      <c r="G173" s="24">
        <v>0</v>
      </c>
      <c r="H173" s="59">
        <v>0</v>
      </c>
      <c r="I173" s="59">
        <v>0</v>
      </c>
      <c r="J173" s="59">
        <v>0.06</v>
      </c>
      <c r="K173" s="59">
        <v>0.04</v>
      </c>
      <c r="L173" s="59">
        <v>0</v>
      </c>
      <c r="M173" s="59">
        <v>0</v>
      </c>
      <c r="N173" s="59"/>
      <c r="O173" s="59"/>
    </row>
    <row r="174" spans="1:15" hidden="1">
      <c r="A174" s="59">
        <v>133</v>
      </c>
      <c r="B174" s="59" t="s">
        <v>1114</v>
      </c>
      <c r="C174" s="59" t="s">
        <v>24</v>
      </c>
      <c r="D174" s="24">
        <v>4</v>
      </c>
      <c r="E174" s="24">
        <v>0</v>
      </c>
      <c r="F174" s="24">
        <v>29</v>
      </c>
      <c r="G174" s="24">
        <v>0</v>
      </c>
      <c r="H174" s="59">
        <v>0</v>
      </c>
      <c r="I174" s="59">
        <v>0</v>
      </c>
      <c r="J174" s="59">
        <v>0.02</v>
      </c>
      <c r="K174" s="59">
        <v>0.04</v>
      </c>
      <c r="L174" s="59">
        <v>0</v>
      </c>
      <c r="M174" s="59">
        <v>0</v>
      </c>
      <c r="N174" s="59"/>
      <c r="O174" s="59"/>
    </row>
    <row r="175" spans="1:15" hidden="1">
      <c r="A175" s="59">
        <v>134</v>
      </c>
      <c r="B175" s="59" t="s">
        <v>1127</v>
      </c>
      <c r="C175" s="59" t="s">
        <v>24</v>
      </c>
      <c r="D175" s="24">
        <v>12</v>
      </c>
      <c r="E175" s="24">
        <v>4</v>
      </c>
      <c r="F175" s="24">
        <v>28</v>
      </c>
      <c r="G175" s="24">
        <v>34</v>
      </c>
      <c r="H175" s="59">
        <v>200</v>
      </c>
      <c r="I175" s="59">
        <v>-17.649999999999999</v>
      </c>
      <c r="J175" s="59">
        <v>7.0000000000000007E-2</v>
      </c>
      <c r="K175" s="59">
        <v>0.04</v>
      </c>
      <c r="L175" s="59">
        <v>0.03</v>
      </c>
      <c r="M175" s="59">
        <v>0.06</v>
      </c>
      <c r="N175" s="59"/>
      <c r="O175" s="59"/>
    </row>
    <row r="176" spans="1:15">
      <c r="A176" s="59">
        <v>135</v>
      </c>
      <c r="B176" s="59" t="s">
        <v>1113</v>
      </c>
      <c r="C176" s="59" t="s">
        <v>23</v>
      </c>
      <c r="D176" s="24">
        <v>6</v>
      </c>
      <c r="E176" s="24">
        <v>0</v>
      </c>
      <c r="F176" s="24">
        <v>28</v>
      </c>
      <c r="G176" s="24">
        <v>0</v>
      </c>
      <c r="H176" s="67">
        <v>0</v>
      </c>
      <c r="I176" s="67">
        <v>0</v>
      </c>
      <c r="J176" s="59">
        <v>0.03</v>
      </c>
      <c r="K176" s="59">
        <v>0.04</v>
      </c>
      <c r="L176" s="59">
        <v>0</v>
      </c>
      <c r="M176" s="59">
        <v>0</v>
      </c>
      <c r="N176" s="59"/>
      <c r="O176" s="59"/>
    </row>
    <row r="177" spans="1:15" hidden="1">
      <c r="A177" s="59">
        <v>136</v>
      </c>
      <c r="B177" s="59" t="s">
        <v>1237</v>
      </c>
      <c r="C177" s="59" t="s">
        <v>24</v>
      </c>
      <c r="D177" s="24">
        <v>28</v>
      </c>
      <c r="E177" s="24">
        <v>0</v>
      </c>
      <c r="F177" s="24">
        <v>28</v>
      </c>
      <c r="G177" s="24">
        <v>0</v>
      </c>
      <c r="H177" s="59">
        <v>0</v>
      </c>
      <c r="I177" s="59">
        <v>0</v>
      </c>
      <c r="J177" s="59">
        <v>0.16</v>
      </c>
      <c r="K177" s="59">
        <v>0.04</v>
      </c>
      <c r="L177" s="59">
        <v>0</v>
      </c>
      <c r="M177" s="59">
        <v>0</v>
      </c>
      <c r="N177" s="59"/>
      <c r="O177" s="59"/>
    </row>
    <row r="178" spans="1:15" hidden="1">
      <c r="A178" s="59">
        <v>137</v>
      </c>
      <c r="B178" s="59" t="s">
        <v>1192</v>
      </c>
      <c r="C178" s="59" t="s">
        <v>24</v>
      </c>
      <c r="D178" s="24">
        <v>16</v>
      </c>
      <c r="E178" s="24">
        <v>0</v>
      </c>
      <c r="F178" s="24">
        <v>28</v>
      </c>
      <c r="G178" s="24">
        <v>0</v>
      </c>
      <c r="H178" s="59">
        <v>0</v>
      </c>
      <c r="I178" s="59">
        <v>0</v>
      </c>
      <c r="J178" s="59">
        <v>0.09</v>
      </c>
      <c r="K178" s="59">
        <v>0.04</v>
      </c>
      <c r="L178" s="59">
        <v>0</v>
      </c>
      <c r="M178" s="59">
        <v>0</v>
      </c>
      <c r="N178" s="59"/>
      <c r="O178" s="59"/>
    </row>
    <row r="179" spans="1:15">
      <c r="A179" s="59">
        <v>138</v>
      </c>
      <c r="B179" s="59" t="s">
        <v>248</v>
      </c>
      <c r="C179" s="59" t="s">
        <v>23</v>
      </c>
      <c r="D179" s="24">
        <v>12</v>
      </c>
      <c r="E179" s="24">
        <v>9</v>
      </c>
      <c r="F179" s="24">
        <v>26</v>
      </c>
      <c r="G179" s="24">
        <v>28</v>
      </c>
      <c r="H179" s="67">
        <v>33.33</v>
      </c>
      <c r="I179" s="67">
        <v>-7.14</v>
      </c>
      <c r="J179" s="59">
        <v>7.0000000000000007E-2</v>
      </c>
      <c r="K179" s="59">
        <v>0.04</v>
      </c>
      <c r="L179" s="59">
        <v>7.0000000000000007E-2</v>
      </c>
      <c r="M179" s="59">
        <v>0.05</v>
      </c>
      <c r="N179" s="59"/>
      <c r="O179" s="59"/>
    </row>
    <row r="180" spans="1:15" hidden="1">
      <c r="A180" s="59">
        <v>139</v>
      </c>
      <c r="B180" s="59" t="s">
        <v>674</v>
      </c>
      <c r="C180" s="59" t="s">
        <v>24</v>
      </c>
      <c r="D180" s="24">
        <v>7</v>
      </c>
      <c r="E180" s="24">
        <v>12</v>
      </c>
      <c r="F180" s="24">
        <v>26</v>
      </c>
      <c r="G180" s="24">
        <v>18</v>
      </c>
      <c r="H180" s="59">
        <v>-41.67</v>
      </c>
      <c r="I180" s="59">
        <v>44.44</v>
      </c>
      <c r="J180" s="59">
        <v>0.04</v>
      </c>
      <c r="K180" s="59">
        <v>0.04</v>
      </c>
      <c r="L180" s="59">
        <v>0.1</v>
      </c>
      <c r="M180" s="59">
        <v>0.03</v>
      </c>
      <c r="N180" s="59"/>
      <c r="O180" s="59"/>
    </row>
    <row r="181" spans="1:15" hidden="1">
      <c r="A181" s="59">
        <v>140</v>
      </c>
      <c r="B181" s="59" t="s">
        <v>732</v>
      </c>
      <c r="C181" s="59" t="s">
        <v>24</v>
      </c>
      <c r="D181" s="24">
        <v>4</v>
      </c>
      <c r="E181" s="24">
        <v>2</v>
      </c>
      <c r="F181" s="24">
        <v>26</v>
      </c>
      <c r="G181" s="24">
        <v>2</v>
      </c>
      <c r="H181" s="59">
        <v>100</v>
      </c>
      <c r="I181" s="59">
        <v>1200</v>
      </c>
      <c r="J181" s="59">
        <v>0.02</v>
      </c>
      <c r="K181" s="59">
        <v>0.04</v>
      </c>
      <c r="L181" s="59">
        <v>0.02</v>
      </c>
      <c r="M181" s="59">
        <v>0</v>
      </c>
      <c r="N181" s="59"/>
      <c r="O181" s="59"/>
    </row>
    <row r="182" spans="1:15" hidden="1">
      <c r="A182" s="59">
        <v>141</v>
      </c>
      <c r="B182" s="59" t="s">
        <v>1111</v>
      </c>
      <c r="C182" s="59" t="s">
        <v>24</v>
      </c>
      <c r="D182" s="24">
        <v>3</v>
      </c>
      <c r="E182" s="24">
        <v>0</v>
      </c>
      <c r="F182" s="24">
        <v>25</v>
      </c>
      <c r="G182" s="24">
        <v>0</v>
      </c>
      <c r="H182" s="59">
        <v>0</v>
      </c>
      <c r="I182" s="59">
        <v>0</v>
      </c>
      <c r="J182" s="59">
        <v>0.02</v>
      </c>
      <c r="K182" s="59">
        <v>0.04</v>
      </c>
      <c r="L182" s="59">
        <v>0</v>
      </c>
      <c r="M182" s="59">
        <v>0</v>
      </c>
      <c r="N182" s="59"/>
      <c r="O182" s="59"/>
    </row>
    <row r="183" spans="1:15">
      <c r="A183" s="59">
        <v>142</v>
      </c>
      <c r="B183" s="59" t="s">
        <v>438</v>
      </c>
      <c r="C183" s="59" t="s">
        <v>23</v>
      </c>
      <c r="D183" s="24">
        <v>9</v>
      </c>
      <c r="E183" s="24">
        <v>4</v>
      </c>
      <c r="F183" s="24">
        <v>24</v>
      </c>
      <c r="G183" s="24">
        <v>45</v>
      </c>
      <c r="H183" s="59">
        <v>125</v>
      </c>
      <c r="I183" s="59">
        <v>-46.67</v>
      </c>
      <c r="J183" s="59">
        <v>0.05</v>
      </c>
      <c r="K183" s="59">
        <v>0.04</v>
      </c>
      <c r="L183" s="59">
        <v>0.03</v>
      </c>
      <c r="M183" s="59">
        <v>7.0000000000000007E-2</v>
      </c>
      <c r="N183" s="59"/>
      <c r="O183" s="59"/>
    </row>
    <row r="184" spans="1:15">
      <c r="A184" s="59">
        <v>143</v>
      </c>
      <c r="B184" s="59" t="s">
        <v>200</v>
      </c>
      <c r="C184" s="59" t="s">
        <v>23</v>
      </c>
      <c r="D184" s="24">
        <v>8</v>
      </c>
      <c r="E184" s="24">
        <v>0</v>
      </c>
      <c r="F184" s="24">
        <v>22</v>
      </c>
      <c r="G184" s="24">
        <v>0</v>
      </c>
      <c r="H184" s="59">
        <v>0</v>
      </c>
      <c r="I184" s="59">
        <v>0</v>
      </c>
      <c r="J184" s="59">
        <v>0.05</v>
      </c>
      <c r="K184" s="59">
        <v>0.03</v>
      </c>
      <c r="L184" s="59">
        <v>0</v>
      </c>
      <c r="M184" s="59">
        <v>0</v>
      </c>
      <c r="N184" s="59"/>
      <c r="O184" s="59"/>
    </row>
    <row r="185" spans="1:15" hidden="1">
      <c r="A185" s="59">
        <v>144</v>
      </c>
      <c r="B185" s="59" t="s">
        <v>419</v>
      </c>
      <c r="C185" s="59" t="s">
        <v>24</v>
      </c>
      <c r="D185" s="24">
        <v>2</v>
      </c>
      <c r="E185" s="24">
        <v>10</v>
      </c>
      <c r="F185" s="24">
        <v>21</v>
      </c>
      <c r="G185" s="24">
        <v>77</v>
      </c>
      <c r="H185" s="59">
        <v>-80</v>
      </c>
      <c r="I185" s="59">
        <v>-72.73</v>
      </c>
      <c r="J185" s="59">
        <v>0.01</v>
      </c>
      <c r="K185" s="59">
        <v>0.03</v>
      </c>
      <c r="L185" s="59">
        <v>0.08</v>
      </c>
      <c r="M185" s="59">
        <v>0.13</v>
      </c>
      <c r="N185" s="59"/>
      <c r="O185" s="59"/>
    </row>
    <row r="186" spans="1:15" hidden="1">
      <c r="A186" s="59">
        <v>145</v>
      </c>
      <c r="B186" s="59" t="s">
        <v>581</v>
      </c>
      <c r="C186" s="59" t="s">
        <v>24</v>
      </c>
      <c r="D186" s="24">
        <v>5</v>
      </c>
      <c r="E186" s="24">
        <v>18</v>
      </c>
      <c r="F186" s="24">
        <v>20</v>
      </c>
      <c r="G186" s="24">
        <v>82</v>
      </c>
      <c r="H186" s="59">
        <v>-72.22</v>
      </c>
      <c r="I186" s="59">
        <v>-75.61</v>
      </c>
      <c r="J186" s="59">
        <v>0.03</v>
      </c>
      <c r="K186" s="59">
        <v>0.03</v>
      </c>
      <c r="L186" s="59">
        <v>0.14000000000000001</v>
      </c>
      <c r="M186" s="59">
        <v>0.14000000000000001</v>
      </c>
      <c r="N186" s="59"/>
      <c r="O186" s="59"/>
    </row>
    <row r="187" spans="1:15">
      <c r="A187" s="59">
        <v>146</v>
      </c>
      <c r="B187" s="59" t="s">
        <v>515</v>
      </c>
      <c r="C187" s="59" t="s">
        <v>23</v>
      </c>
      <c r="D187" s="24">
        <v>2</v>
      </c>
      <c r="E187" s="24">
        <v>6</v>
      </c>
      <c r="F187" s="24">
        <v>20</v>
      </c>
      <c r="G187" s="24">
        <v>40</v>
      </c>
      <c r="H187" s="59">
        <v>-66.67</v>
      </c>
      <c r="I187" s="59">
        <v>-50</v>
      </c>
      <c r="J187" s="59">
        <v>0.01</v>
      </c>
      <c r="K187" s="59">
        <v>0.03</v>
      </c>
      <c r="L187" s="59">
        <v>0.05</v>
      </c>
      <c r="M187" s="59">
        <v>7.0000000000000007E-2</v>
      </c>
      <c r="N187" s="59"/>
      <c r="O187" s="59"/>
    </row>
    <row r="188" spans="1:15" hidden="1">
      <c r="A188" s="59">
        <v>147</v>
      </c>
      <c r="B188" s="59" t="s">
        <v>598</v>
      </c>
      <c r="C188" s="59" t="s">
        <v>24</v>
      </c>
      <c r="D188" s="24">
        <v>2</v>
      </c>
      <c r="E188" s="24">
        <v>0</v>
      </c>
      <c r="F188" s="24">
        <v>20</v>
      </c>
      <c r="G188" s="24">
        <v>25</v>
      </c>
      <c r="H188" s="59">
        <v>0</v>
      </c>
      <c r="I188" s="59">
        <v>-20</v>
      </c>
      <c r="J188" s="59">
        <v>0.01</v>
      </c>
      <c r="K188" s="59">
        <v>0.03</v>
      </c>
      <c r="L188" s="59">
        <v>0</v>
      </c>
      <c r="M188" s="59">
        <v>0.04</v>
      </c>
      <c r="N188" s="59"/>
      <c r="O188" s="59"/>
    </row>
    <row r="189" spans="1:15" hidden="1">
      <c r="A189" s="59">
        <v>148</v>
      </c>
      <c r="B189" s="59" t="s">
        <v>450</v>
      </c>
      <c r="C189" s="59" t="s">
        <v>24</v>
      </c>
      <c r="D189" s="24">
        <v>1</v>
      </c>
      <c r="E189" s="24">
        <v>3</v>
      </c>
      <c r="F189" s="24">
        <v>19</v>
      </c>
      <c r="G189" s="24">
        <v>17</v>
      </c>
      <c r="H189" s="59">
        <v>-66.67</v>
      </c>
      <c r="I189" s="59">
        <v>11.76</v>
      </c>
      <c r="J189" s="59">
        <v>0.01</v>
      </c>
      <c r="K189" s="59">
        <v>0.03</v>
      </c>
      <c r="L189" s="59">
        <v>0.02</v>
      </c>
      <c r="M189" s="59">
        <v>0.03</v>
      </c>
      <c r="N189" s="59"/>
      <c r="O189" s="59"/>
    </row>
    <row r="190" spans="1:15">
      <c r="A190" s="59">
        <v>149</v>
      </c>
      <c r="B190" s="59" t="s">
        <v>1185</v>
      </c>
      <c r="C190" s="59" t="s">
        <v>23</v>
      </c>
      <c r="D190" s="24">
        <v>11</v>
      </c>
      <c r="E190" s="24">
        <v>0</v>
      </c>
      <c r="F190" s="24">
        <v>19</v>
      </c>
      <c r="G190" s="24">
        <v>0</v>
      </c>
      <c r="H190" s="59">
        <v>0</v>
      </c>
      <c r="I190" s="59">
        <v>0</v>
      </c>
      <c r="J190" s="59">
        <v>0.06</v>
      </c>
      <c r="K190" s="59">
        <v>0.03</v>
      </c>
      <c r="L190" s="59">
        <v>0</v>
      </c>
      <c r="M190" s="59">
        <v>0</v>
      </c>
      <c r="N190" s="59"/>
      <c r="O190" s="59"/>
    </row>
    <row r="191" spans="1:15">
      <c r="A191" s="59">
        <v>150</v>
      </c>
      <c r="B191" s="59" t="s">
        <v>1095</v>
      </c>
      <c r="C191" s="59" t="s">
        <v>23</v>
      </c>
      <c r="D191" s="24">
        <v>4</v>
      </c>
      <c r="E191" s="24">
        <v>0</v>
      </c>
      <c r="F191" s="24">
        <v>18</v>
      </c>
      <c r="G191" s="24">
        <v>0</v>
      </c>
      <c r="H191" s="59">
        <v>0</v>
      </c>
      <c r="I191" s="59">
        <v>0</v>
      </c>
      <c r="J191" s="59">
        <v>0.02</v>
      </c>
      <c r="K191" s="59">
        <v>0.03</v>
      </c>
      <c r="L191" s="59">
        <v>0</v>
      </c>
      <c r="M191" s="59">
        <v>0</v>
      </c>
      <c r="N191" s="59"/>
      <c r="O191" s="59"/>
    </row>
    <row r="192" spans="1:15">
      <c r="A192" s="59">
        <v>151</v>
      </c>
      <c r="B192" s="59" t="s">
        <v>455</v>
      </c>
      <c r="C192" s="59" t="s">
        <v>23</v>
      </c>
      <c r="D192" s="24">
        <v>6</v>
      </c>
      <c r="E192" s="24">
        <v>13</v>
      </c>
      <c r="F192" s="24">
        <v>17</v>
      </c>
      <c r="G192" s="24">
        <v>49</v>
      </c>
      <c r="H192" s="59">
        <v>-53.85</v>
      </c>
      <c r="I192" s="59">
        <v>-65.31</v>
      </c>
      <c r="J192" s="59">
        <v>0.03</v>
      </c>
      <c r="K192" s="59">
        <v>0.03</v>
      </c>
      <c r="L192" s="59">
        <v>0.1</v>
      </c>
      <c r="M192" s="59">
        <v>0.08</v>
      </c>
      <c r="N192" s="59"/>
      <c r="O192" s="59"/>
    </row>
    <row r="193" spans="1:15">
      <c r="A193" s="59">
        <v>152</v>
      </c>
      <c r="B193" s="59" t="s">
        <v>730</v>
      </c>
      <c r="C193" s="59" t="s">
        <v>23</v>
      </c>
      <c r="D193" s="24">
        <v>5</v>
      </c>
      <c r="E193" s="24">
        <v>45</v>
      </c>
      <c r="F193" s="24">
        <v>17</v>
      </c>
      <c r="G193" s="24">
        <v>45</v>
      </c>
      <c r="H193" s="59">
        <v>-88.89</v>
      </c>
      <c r="I193" s="59">
        <v>-62.22</v>
      </c>
      <c r="J193" s="59">
        <v>0.03</v>
      </c>
      <c r="K193" s="59">
        <v>0.03</v>
      </c>
      <c r="L193" s="59">
        <v>0.36</v>
      </c>
      <c r="M193" s="59">
        <v>7.0000000000000007E-2</v>
      </c>
      <c r="N193" s="59"/>
      <c r="O193" s="59"/>
    </row>
    <row r="194" spans="1:15" hidden="1">
      <c r="A194" s="59">
        <v>153</v>
      </c>
      <c r="B194" s="59" t="s">
        <v>637</v>
      </c>
      <c r="C194" s="59" t="s">
        <v>24</v>
      </c>
      <c r="D194" s="24">
        <v>8</v>
      </c>
      <c r="E194" s="24">
        <v>0</v>
      </c>
      <c r="F194" s="24">
        <v>17</v>
      </c>
      <c r="G194" s="24">
        <v>14</v>
      </c>
      <c r="H194" s="59">
        <v>0</v>
      </c>
      <c r="I194" s="59">
        <v>21.43</v>
      </c>
      <c r="J194" s="59">
        <v>0.05</v>
      </c>
      <c r="K194" s="59">
        <v>0.03</v>
      </c>
      <c r="L194" s="59">
        <v>0</v>
      </c>
      <c r="M194" s="59">
        <v>0.02</v>
      </c>
      <c r="N194" s="59"/>
      <c r="O194" s="59"/>
    </row>
    <row r="195" spans="1:15">
      <c r="A195" s="59">
        <v>154</v>
      </c>
      <c r="B195" s="59" t="s">
        <v>726</v>
      </c>
      <c r="C195" s="59" t="s">
        <v>23</v>
      </c>
      <c r="D195" s="24">
        <v>0</v>
      </c>
      <c r="E195" s="24">
        <v>1</v>
      </c>
      <c r="F195" s="24">
        <v>17</v>
      </c>
      <c r="G195" s="24">
        <v>2</v>
      </c>
      <c r="H195" s="67">
        <v>-100</v>
      </c>
      <c r="I195" s="67">
        <v>750</v>
      </c>
      <c r="J195" s="67">
        <v>0</v>
      </c>
      <c r="K195" s="67">
        <v>0.03</v>
      </c>
      <c r="L195" s="67">
        <v>0.01</v>
      </c>
      <c r="M195" s="67">
        <v>0</v>
      </c>
      <c r="N195" s="59"/>
      <c r="O195" s="59"/>
    </row>
    <row r="196" spans="1:15" hidden="1">
      <c r="A196" s="59">
        <v>155</v>
      </c>
      <c r="B196" s="59" t="s">
        <v>671</v>
      </c>
      <c r="C196" s="59" t="s">
        <v>24</v>
      </c>
      <c r="D196" s="24">
        <v>7</v>
      </c>
      <c r="E196" s="24">
        <v>10</v>
      </c>
      <c r="F196" s="24">
        <v>16</v>
      </c>
      <c r="G196" s="24">
        <v>37</v>
      </c>
      <c r="H196" s="59">
        <v>-30</v>
      </c>
      <c r="I196" s="59">
        <v>-56.76</v>
      </c>
      <c r="J196" s="59">
        <v>0.04</v>
      </c>
      <c r="K196" s="59">
        <v>0.02</v>
      </c>
      <c r="L196" s="59">
        <v>0.08</v>
      </c>
      <c r="M196" s="59">
        <v>0.06</v>
      </c>
      <c r="N196" s="59"/>
      <c r="O196" s="59"/>
    </row>
    <row r="197" spans="1:15" hidden="1">
      <c r="A197" s="59">
        <v>156</v>
      </c>
      <c r="B197" s="59" t="s">
        <v>458</v>
      </c>
      <c r="C197" s="59" t="s">
        <v>24</v>
      </c>
      <c r="D197" s="24">
        <v>5</v>
      </c>
      <c r="E197" s="24">
        <v>1</v>
      </c>
      <c r="F197" s="24">
        <v>16</v>
      </c>
      <c r="G197" s="24">
        <v>9</v>
      </c>
      <c r="H197" s="59">
        <v>400</v>
      </c>
      <c r="I197" s="59">
        <v>77.78</v>
      </c>
      <c r="J197" s="59">
        <v>0.03</v>
      </c>
      <c r="K197" s="59">
        <v>0.02</v>
      </c>
      <c r="L197" s="59">
        <v>0.01</v>
      </c>
      <c r="M197" s="59">
        <v>0.01</v>
      </c>
      <c r="N197" s="59"/>
      <c r="O197" s="59"/>
    </row>
    <row r="198" spans="1:15">
      <c r="A198" s="59">
        <v>157</v>
      </c>
      <c r="B198" s="59" t="s">
        <v>718</v>
      </c>
      <c r="C198" s="59" t="s">
        <v>23</v>
      </c>
      <c r="D198" s="24">
        <v>6</v>
      </c>
      <c r="E198" s="24">
        <v>2</v>
      </c>
      <c r="F198" s="24">
        <v>16</v>
      </c>
      <c r="G198" s="24">
        <v>4</v>
      </c>
      <c r="H198" s="59">
        <v>200</v>
      </c>
      <c r="I198" s="59">
        <v>300</v>
      </c>
      <c r="J198" s="59">
        <v>0.03</v>
      </c>
      <c r="K198" s="59">
        <v>0.02</v>
      </c>
      <c r="L198" s="59">
        <v>0.02</v>
      </c>
      <c r="M198" s="59">
        <v>0.01</v>
      </c>
      <c r="N198" s="59"/>
      <c r="O198" s="59"/>
    </row>
    <row r="199" spans="1:15" hidden="1">
      <c r="A199" s="59">
        <v>158</v>
      </c>
      <c r="B199" s="59" t="s">
        <v>1070</v>
      </c>
      <c r="C199" s="59" t="s">
        <v>24</v>
      </c>
      <c r="D199" s="24">
        <v>3</v>
      </c>
      <c r="E199" s="24">
        <v>0</v>
      </c>
      <c r="F199" s="24">
        <v>16</v>
      </c>
      <c r="G199" s="24">
        <v>0</v>
      </c>
      <c r="H199" s="59">
        <v>0</v>
      </c>
      <c r="I199" s="59">
        <v>0</v>
      </c>
      <c r="J199" s="59">
        <v>0.02</v>
      </c>
      <c r="K199" s="59">
        <v>0.02</v>
      </c>
      <c r="L199" s="59">
        <v>0</v>
      </c>
      <c r="M199" s="59">
        <v>0</v>
      </c>
      <c r="N199" s="59"/>
      <c r="O199" s="59"/>
    </row>
    <row r="200" spans="1:15" hidden="1">
      <c r="A200" s="59">
        <v>159</v>
      </c>
      <c r="B200" s="59" t="s">
        <v>520</v>
      </c>
      <c r="C200" s="59" t="s">
        <v>24</v>
      </c>
      <c r="D200" s="24">
        <v>2</v>
      </c>
      <c r="E200" s="24">
        <v>13</v>
      </c>
      <c r="F200" s="24">
        <v>15</v>
      </c>
      <c r="G200" s="24">
        <v>49</v>
      </c>
      <c r="H200" s="59">
        <v>-84.62</v>
      </c>
      <c r="I200" s="59">
        <v>-69.39</v>
      </c>
      <c r="J200" s="59">
        <v>0.01</v>
      </c>
      <c r="K200" s="59">
        <v>0.02</v>
      </c>
      <c r="L200" s="59">
        <v>0.1</v>
      </c>
      <c r="M200" s="59">
        <v>0.08</v>
      </c>
      <c r="N200" s="59"/>
      <c r="O200" s="59"/>
    </row>
    <row r="201" spans="1:15" hidden="1">
      <c r="A201" s="59">
        <v>160</v>
      </c>
      <c r="B201" s="59" t="s">
        <v>1164</v>
      </c>
      <c r="C201" s="59" t="s">
        <v>24</v>
      </c>
      <c r="D201" s="24">
        <v>5</v>
      </c>
      <c r="E201" s="24">
        <v>0</v>
      </c>
      <c r="F201" s="24">
        <v>14</v>
      </c>
      <c r="G201" s="24">
        <v>0</v>
      </c>
      <c r="H201" s="59">
        <v>0</v>
      </c>
      <c r="I201" s="59">
        <v>0</v>
      </c>
      <c r="J201" s="59">
        <v>0.03</v>
      </c>
      <c r="K201" s="59">
        <v>0.02</v>
      </c>
      <c r="L201" s="59">
        <v>0</v>
      </c>
      <c r="M201" s="59">
        <v>0</v>
      </c>
      <c r="N201" s="59"/>
      <c r="O201" s="59"/>
    </row>
    <row r="202" spans="1:15">
      <c r="A202" s="59">
        <v>161</v>
      </c>
      <c r="B202" s="59" t="s">
        <v>517</v>
      </c>
      <c r="C202" s="59" t="s">
        <v>23</v>
      </c>
      <c r="D202" s="24">
        <v>2</v>
      </c>
      <c r="E202" s="24">
        <v>1</v>
      </c>
      <c r="F202" s="24">
        <v>13</v>
      </c>
      <c r="G202" s="24">
        <v>6</v>
      </c>
      <c r="H202" s="59">
        <v>100</v>
      </c>
      <c r="I202" s="59">
        <v>116.67</v>
      </c>
      <c r="J202" s="59">
        <v>0.01</v>
      </c>
      <c r="K202" s="59">
        <v>0.02</v>
      </c>
      <c r="L202" s="59">
        <v>0.01</v>
      </c>
      <c r="M202" s="59">
        <v>0.01</v>
      </c>
      <c r="N202" s="59"/>
      <c r="O202" s="59"/>
    </row>
    <row r="203" spans="1:15">
      <c r="A203" s="59">
        <v>162</v>
      </c>
      <c r="B203" s="59" t="s">
        <v>139</v>
      </c>
      <c r="C203" s="59" t="s">
        <v>23</v>
      </c>
      <c r="D203" s="24">
        <v>1</v>
      </c>
      <c r="E203" s="24">
        <v>9</v>
      </c>
      <c r="F203" s="24">
        <v>12</v>
      </c>
      <c r="G203" s="24">
        <v>63</v>
      </c>
      <c r="H203" s="59">
        <v>-88.89</v>
      </c>
      <c r="I203" s="59">
        <v>-80.95</v>
      </c>
      <c r="J203" s="59">
        <v>0.01</v>
      </c>
      <c r="K203" s="59">
        <v>0.02</v>
      </c>
      <c r="L203" s="59">
        <v>7.0000000000000007E-2</v>
      </c>
      <c r="M203" s="59">
        <v>0.1</v>
      </c>
      <c r="N203" s="59"/>
      <c r="O203" s="59"/>
    </row>
    <row r="204" spans="1:15">
      <c r="A204" s="59">
        <v>163</v>
      </c>
      <c r="B204" s="59" t="s">
        <v>622</v>
      </c>
      <c r="C204" s="59" t="s">
        <v>23</v>
      </c>
      <c r="D204" s="24">
        <v>5</v>
      </c>
      <c r="E204" s="24">
        <v>16</v>
      </c>
      <c r="F204" s="24">
        <v>10</v>
      </c>
      <c r="G204" s="24">
        <v>44</v>
      </c>
      <c r="H204" s="59">
        <v>-68.75</v>
      </c>
      <c r="I204" s="59">
        <v>-77.27</v>
      </c>
      <c r="J204" s="59">
        <v>0.03</v>
      </c>
      <c r="K204" s="59">
        <v>0.02</v>
      </c>
      <c r="L204" s="59">
        <v>0.13</v>
      </c>
      <c r="M204" s="59">
        <v>7.0000000000000007E-2</v>
      </c>
      <c r="N204" s="59"/>
      <c r="O204" s="59"/>
    </row>
    <row r="205" spans="1:15">
      <c r="A205" s="152">
        <v>164</v>
      </c>
      <c r="B205" s="152" t="s">
        <v>181</v>
      </c>
      <c r="C205" s="152" t="s">
        <v>23</v>
      </c>
      <c r="D205" s="159">
        <v>0</v>
      </c>
      <c r="E205" s="159">
        <v>6</v>
      </c>
      <c r="F205" s="159">
        <v>10</v>
      </c>
      <c r="G205" s="159">
        <v>16</v>
      </c>
      <c r="H205" s="152">
        <v>-100</v>
      </c>
      <c r="I205" s="152">
        <v>-37.5</v>
      </c>
      <c r="J205" s="152">
        <v>0</v>
      </c>
      <c r="K205" s="152">
        <v>0.02</v>
      </c>
      <c r="L205" s="152">
        <v>0.05</v>
      </c>
      <c r="M205" s="152">
        <v>0.03</v>
      </c>
      <c r="N205" s="59"/>
      <c r="O205" s="59"/>
    </row>
    <row r="206" spans="1:15" hidden="1">
      <c r="A206" s="152">
        <v>165</v>
      </c>
      <c r="B206" s="152" t="s">
        <v>1134</v>
      </c>
      <c r="C206" s="152" t="s">
        <v>24</v>
      </c>
      <c r="D206" s="159">
        <v>0</v>
      </c>
      <c r="E206" s="159">
        <v>3</v>
      </c>
      <c r="F206" s="159">
        <v>9</v>
      </c>
      <c r="G206" s="159">
        <v>9</v>
      </c>
      <c r="H206" s="152">
        <v>-100</v>
      </c>
      <c r="I206" s="152">
        <v>0</v>
      </c>
      <c r="J206" s="152">
        <v>0</v>
      </c>
      <c r="K206" s="152">
        <v>0.01</v>
      </c>
      <c r="L206" s="152">
        <v>0.02</v>
      </c>
      <c r="M206" s="152">
        <v>0.01</v>
      </c>
      <c r="N206" s="59"/>
      <c r="O206" s="59"/>
    </row>
    <row r="207" spans="1:15" hidden="1">
      <c r="A207" s="152">
        <v>166</v>
      </c>
      <c r="B207" s="152" t="s">
        <v>1119</v>
      </c>
      <c r="C207" s="152" t="s">
        <v>24</v>
      </c>
      <c r="D207" s="159">
        <v>2</v>
      </c>
      <c r="E207" s="159">
        <v>0</v>
      </c>
      <c r="F207" s="159">
        <v>9</v>
      </c>
      <c r="G207" s="159">
        <v>0</v>
      </c>
      <c r="H207" s="152">
        <v>0</v>
      </c>
      <c r="I207" s="152">
        <v>0</v>
      </c>
      <c r="J207" s="152">
        <v>0.01</v>
      </c>
      <c r="K207" s="152">
        <v>0.01</v>
      </c>
      <c r="L207" s="152">
        <v>0</v>
      </c>
      <c r="M207" s="152">
        <v>0</v>
      </c>
      <c r="N207" s="59"/>
      <c r="O207" s="59"/>
    </row>
    <row r="208" spans="1:15">
      <c r="A208" s="152">
        <v>167</v>
      </c>
      <c r="B208" s="152" t="s">
        <v>440</v>
      </c>
      <c r="C208" s="152" t="s">
        <v>23</v>
      </c>
      <c r="D208" s="159">
        <v>3</v>
      </c>
      <c r="E208" s="159">
        <v>10</v>
      </c>
      <c r="F208" s="159">
        <v>8</v>
      </c>
      <c r="G208" s="159">
        <v>23</v>
      </c>
      <c r="H208" s="152">
        <v>-70</v>
      </c>
      <c r="I208" s="152">
        <v>-65.22</v>
      </c>
      <c r="J208" s="152">
        <v>0.02</v>
      </c>
      <c r="K208" s="152">
        <v>0.01</v>
      </c>
      <c r="L208" s="152">
        <v>0.08</v>
      </c>
      <c r="M208" s="152">
        <v>0.04</v>
      </c>
      <c r="N208" s="59"/>
      <c r="O208" s="59"/>
    </row>
    <row r="209" spans="1:15">
      <c r="A209" s="152">
        <v>168</v>
      </c>
      <c r="B209" s="152" t="s">
        <v>377</v>
      </c>
      <c r="C209" s="152" t="s">
        <v>23</v>
      </c>
      <c r="D209" s="159">
        <v>1</v>
      </c>
      <c r="E209" s="159">
        <v>0</v>
      </c>
      <c r="F209" s="159">
        <v>8</v>
      </c>
      <c r="G209" s="159">
        <v>5</v>
      </c>
      <c r="H209" s="152">
        <v>0</v>
      </c>
      <c r="I209" s="152">
        <v>60</v>
      </c>
      <c r="J209" s="152">
        <v>0.01</v>
      </c>
      <c r="K209" s="152">
        <v>0.01</v>
      </c>
      <c r="L209" s="152">
        <v>0</v>
      </c>
      <c r="M209" s="152">
        <v>0.01</v>
      </c>
      <c r="N209" s="59"/>
      <c r="O209" s="59"/>
    </row>
    <row r="210" spans="1:15">
      <c r="A210" s="152">
        <v>169</v>
      </c>
      <c r="B210" s="152" t="s">
        <v>514</v>
      </c>
      <c r="C210" s="152" t="s">
        <v>23</v>
      </c>
      <c r="D210" s="159">
        <v>3</v>
      </c>
      <c r="E210" s="159">
        <v>1</v>
      </c>
      <c r="F210" s="159">
        <v>7</v>
      </c>
      <c r="G210" s="159">
        <v>26</v>
      </c>
      <c r="H210" s="152">
        <v>200</v>
      </c>
      <c r="I210" s="152">
        <v>-73.08</v>
      </c>
      <c r="J210" s="152">
        <v>0.02</v>
      </c>
      <c r="K210" s="152">
        <v>0.01</v>
      </c>
      <c r="L210" s="152">
        <v>0.01</v>
      </c>
      <c r="M210" s="152">
        <v>0.04</v>
      </c>
      <c r="N210" s="59"/>
      <c r="O210" s="59"/>
    </row>
    <row r="211" spans="1:15">
      <c r="A211" s="152">
        <v>170</v>
      </c>
      <c r="B211" s="152" t="s">
        <v>522</v>
      </c>
      <c r="C211" s="152" t="s">
        <v>23</v>
      </c>
      <c r="D211" s="159">
        <v>0</v>
      </c>
      <c r="E211" s="159">
        <v>4</v>
      </c>
      <c r="F211" s="159">
        <v>7</v>
      </c>
      <c r="G211" s="159">
        <v>20</v>
      </c>
      <c r="H211" s="152">
        <v>-100</v>
      </c>
      <c r="I211" s="152">
        <v>-65</v>
      </c>
      <c r="J211" s="152">
        <v>0</v>
      </c>
      <c r="K211" s="152">
        <v>0.01</v>
      </c>
      <c r="L211" s="152">
        <v>0.03</v>
      </c>
      <c r="M211" s="152">
        <v>0.03</v>
      </c>
      <c r="N211" s="59"/>
      <c r="O211" s="59"/>
    </row>
    <row r="212" spans="1:15">
      <c r="A212" s="152">
        <v>171</v>
      </c>
      <c r="B212" s="152" t="s">
        <v>242</v>
      </c>
      <c r="C212" s="152" t="s">
        <v>23</v>
      </c>
      <c r="D212" s="159">
        <v>1</v>
      </c>
      <c r="E212" s="159">
        <v>1</v>
      </c>
      <c r="F212" s="159">
        <v>7</v>
      </c>
      <c r="G212" s="159">
        <v>16</v>
      </c>
      <c r="H212" s="152">
        <v>0</v>
      </c>
      <c r="I212" s="152">
        <v>-56.25</v>
      </c>
      <c r="J212" s="152">
        <v>0.01</v>
      </c>
      <c r="K212" s="152">
        <v>0.01</v>
      </c>
      <c r="L212" s="152">
        <v>0.01</v>
      </c>
      <c r="M212" s="152">
        <v>0.03</v>
      </c>
      <c r="N212" s="59"/>
      <c r="O212" s="59"/>
    </row>
    <row r="213" spans="1:15">
      <c r="A213" s="152">
        <v>172</v>
      </c>
      <c r="B213" s="152" t="s">
        <v>410</v>
      </c>
      <c r="C213" s="152" t="s">
        <v>23</v>
      </c>
      <c r="D213" s="159">
        <v>2</v>
      </c>
      <c r="E213" s="159">
        <v>0</v>
      </c>
      <c r="F213" s="159">
        <v>7</v>
      </c>
      <c r="G213" s="159">
        <v>0</v>
      </c>
      <c r="H213" s="152">
        <v>0</v>
      </c>
      <c r="I213" s="152">
        <v>0</v>
      </c>
      <c r="J213" s="152">
        <v>0.01</v>
      </c>
      <c r="K213" s="152">
        <v>0.01</v>
      </c>
      <c r="L213" s="152">
        <v>0</v>
      </c>
      <c r="M213" s="152">
        <v>0</v>
      </c>
      <c r="N213" s="59"/>
      <c r="O213" s="59"/>
    </row>
    <row r="214" spans="1:15" hidden="1">
      <c r="A214" s="152">
        <v>173</v>
      </c>
      <c r="B214" s="152" t="s">
        <v>1045</v>
      </c>
      <c r="C214" s="152" t="s">
        <v>24</v>
      </c>
      <c r="D214" s="159">
        <v>1</v>
      </c>
      <c r="E214" s="159">
        <v>0</v>
      </c>
      <c r="F214" s="159">
        <v>7</v>
      </c>
      <c r="G214" s="159">
        <v>0</v>
      </c>
      <c r="H214" s="154">
        <v>0</v>
      </c>
      <c r="I214" s="154">
        <v>0</v>
      </c>
      <c r="J214" s="154">
        <v>0.01</v>
      </c>
      <c r="K214" s="154">
        <v>0.01</v>
      </c>
      <c r="L214" s="154">
        <v>0</v>
      </c>
      <c r="M214" s="154">
        <v>0</v>
      </c>
      <c r="N214" s="59"/>
      <c r="O214" s="59"/>
    </row>
    <row r="215" spans="1:15" hidden="1">
      <c r="A215" s="152">
        <v>174</v>
      </c>
      <c r="B215" s="152" t="s">
        <v>407</v>
      </c>
      <c r="C215" s="152" t="s">
        <v>24</v>
      </c>
      <c r="D215" s="159">
        <v>1</v>
      </c>
      <c r="E215" s="159">
        <v>9</v>
      </c>
      <c r="F215" s="159">
        <v>6</v>
      </c>
      <c r="G215" s="159">
        <v>68</v>
      </c>
      <c r="H215" s="152">
        <v>-88.89</v>
      </c>
      <c r="I215" s="152">
        <v>-91.18</v>
      </c>
      <c r="J215" s="152">
        <v>0.01</v>
      </c>
      <c r="K215" s="152">
        <v>0.01</v>
      </c>
      <c r="L215" s="152">
        <v>7.0000000000000007E-2</v>
      </c>
      <c r="M215" s="152">
        <v>0.11</v>
      </c>
      <c r="N215" s="59"/>
      <c r="O215" s="59"/>
    </row>
    <row r="216" spans="1:15">
      <c r="A216" s="152">
        <v>175</v>
      </c>
      <c r="B216" s="152" t="s">
        <v>396</v>
      </c>
      <c r="C216" s="152" t="s">
        <v>23</v>
      </c>
      <c r="D216" s="159">
        <v>0</v>
      </c>
      <c r="E216" s="159">
        <v>12</v>
      </c>
      <c r="F216" s="159">
        <v>6</v>
      </c>
      <c r="G216" s="159">
        <v>55</v>
      </c>
      <c r="H216" s="152">
        <v>-100</v>
      </c>
      <c r="I216" s="152">
        <v>-89.09</v>
      </c>
      <c r="J216" s="152">
        <v>0</v>
      </c>
      <c r="K216" s="152">
        <v>0.01</v>
      </c>
      <c r="L216" s="152">
        <v>0.1</v>
      </c>
      <c r="M216" s="152">
        <v>0.09</v>
      </c>
      <c r="N216" s="59"/>
      <c r="O216" s="59"/>
    </row>
    <row r="217" spans="1:15" hidden="1">
      <c r="A217" s="152">
        <v>176</v>
      </c>
      <c r="B217" s="152" t="s">
        <v>1116</v>
      </c>
      <c r="C217" s="152" t="s">
        <v>24</v>
      </c>
      <c r="D217" s="159">
        <v>1</v>
      </c>
      <c r="E217" s="159">
        <v>5</v>
      </c>
      <c r="F217" s="159">
        <v>6</v>
      </c>
      <c r="G217" s="159">
        <v>13</v>
      </c>
      <c r="H217" s="152">
        <v>-80</v>
      </c>
      <c r="I217" s="152">
        <v>-53.85</v>
      </c>
      <c r="J217" s="152">
        <v>0.01</v>
      </c>
      <c r="K217" s="152">
        <v>0.01</v>
      </c>
      <c r="L217" s="152">
        <v>0.04</v>
      </c>
      <c r="M217" s="152">
        <v>0.02</v>
      </c>
      <c r="N217" s="59"/>
      <c r="O217" s="59"/>
    </row>
    <row r="218" spans="1:15">
      <c r="A218" s="152">
        <v>177</v>
      </c>
      <c r="B218" s="152" t="s">
        <v>442</v>
      </c>
      <c r="C218" s="152" t="s">
        <v>23</v>
      </c>
      <c r="D218" s="159">
        <v>0</v>
      </c>
      <c r="E218" s="159">
        <v>4</v>
      </c>
      <c r="F218" s="159">
        <v>5</v>
      </c>
      <c r="G218" s="159">
        <v>27</v>
      </c>
      <c r="H218" s="152">
        <v>-100</v>
      </c>
      <c r="I218" s="152">
        <v>-81.48</v>
      </c>
      <c r="J218" s="152">
        <v>0</v>
      </c>
      <c r="K218" s="152">
        <v>0.01</v>
      </c>
      <c r="L218" s="152">
        <v>0.03</v>
      </c>
      <c r="M218" s="152">
        <v>0.04</v>
      </c>
      <c r="N218" s="59"/>
      <c r="O218" s="59"/>
    </row>
    <row r="219" spans="1:15">
      <c r="A219" s="152">
        <v>178</v>
      </c>
      <c r="B219" s="152" t="s">
        <v>1131</v>
      </c>
      <c r="C219" s="152" t="s">
        <v>23</v>
      </c>
      <c r="D219" s="159">
        <v>0</v>
      </c>
      <c r="E219" s="159">
        <v>0</v>
      </c>
      <c r="F219" s="159">
        <v>5</v>
      </c>
      <c r="G219" s="159">
        <v>0</v>
      </c>
      <c r="H219" s="152">
        <v>0</v>
      </c>
      <c r="I219" s="152">
        <v>0</v>
      </c>
      <c r="J219" s="152">
        <v>0</v>
      </c>
      <c r="K219" s="152">
        <v>0.01</v>
      </c>
      <c r="L219" s="152">
        <v>0</v>
      </c>
      <c r="M219" s="152">
        <v>0</v>
      </c>
      <c r="N219" s="59"/>
      <c r="O219" s="59"/>
    </row>
    <row r="220" spans="1:15" hidden="1">
      <c r="A220" s="152">
        <v>179</v>
      </c>
      <c r="B220" s="152" t="s">
        <v>1170</v>
      </c>
      <c r="C220" s="152" t="s">
        <v>24</v>
      </c>
      <c r="D220" s="159">
        <v>0</v>
      </c>
      <c r="E220" s="159">
        <v>0</v>
      </c>
      <c r="F220" s="159">
        <v>4</v>
      </c>
      <c r="G220" s="159">
        <v>0</v>
      </c>
      <c r="H220" s="152">
        <v>0</v>
      </c>
      <c r="I220" s="152">
        <v>0</v>
      </c>
      <c r="J220" s="152">
        <v>0</v>
      </c>
      <c r="K220" s="152">
        <v>0.01</v>
      </c>
      <c r="L220" s="152">
        <v>0</v>
      </c>
      <c r="M220" s="152">
        <v>0</v>
      </c>
      <c r="N220" s="59"/>
      <c r="O220" s="59"/>
    </row>
    <row r="221" spans="1:15">
      <c r="A221" s="152">
        <v>180</v>
      </c>
      <c r="B221" s="152" t="s">
        <v>150</v>
      </c>
      <c r="C221" s="152" t="s">
        <v>23</v>
      </c>
      <c r="D221" s="159">
        <v>0</v>
      </c>
      <c r="E221" s="159">
        <v>5</v>
      </c>
      <c r="F221" s="159">
        <v>3</v>
      </c>
      <c r="G221" s="159">
        <v>86</v>
      </c>
      <c r="H221" s="152">
        <v>-100</v>
      </c>
      <c r="I221" s="152">
        <v>-96.51</v>
      </c>
      <c r="J221" s="152">
        <v>0</v>
      </c>
      <c r="K221" s="152">
        <v>0</v>
      </c>
      <c r="L221" s="152">
        <v>0.04</v>
      </c>
      <c r="M221" s="152">
        <v>0.14000000000000001</v>
      </c>
      <c r="N221" s="59"/>
      <c r="O221" s="59"/>
    </row>
    <row r="222" spans="1:15">
      <c r="A222" s="152">
        <v>181</v>
      </c>
      <c r="B222" s="152" t="s">
        <v>1130</v>
      </c>
      <c r="C222" s="152" t="s">
        <v>23</v>
      </c>
      <c r="D222" s="159">
        <v>0</v>
      </c>
      <c r="E222" s="159">
        <v>0</v>
      </c>
      <c r="F222" s="159">
        <v>3</v>
      </c>
      <c r="G222" s="159">
        <v>2</v>
      </c>
      <c r="H222" s="152">
        <v>0</v>
      </c>
      <c r="I222" s="152">
        <v>50</v>
      </c>
      <c r="J222" s="152">
        <v>0</v>
      </c>
      <c r="K222" s="152">
        <v>0</v>
      </c>
      <c r="L222" s="152">
        <v>0</v>
      </c>
      <c r="M222" s="152">
        <v>0</v>
      </c>
      <c r="N222" s="59"/>
      <c r="O222" s="59"/>
    </row>
    <row r="223" spans="1:15" hidden="1">
      <c r="A223" s="152">
        <v>182</v>
      </c>
      <c r="B223" s="152" t="s">
        <v>1193</v>
      </c>
      <c r="C223" s="152" t="s">
        <v>1194</v>
      </c>
      <c r="D223" s="159">
        <v>0</v>
      </c>
      <c r="E223" s="159">
        <v>0</v>
      </c>
      <c r="F223" s="159">
        <v>3</v>
      </c>
      <c r="G223" s="159">
        <v>0</v>
      </c>
      <c r="H223" s="152">
        <v>0</v>
      </c>
      <c r="I223" s="152">
        <v>0</v>
      </c>
      <c r="J223" s="152">
        <v>0</v>
      </c>
      <c r="K223" s="152">
        <v>0</v>
      </c>
      <c r="L223" s="152">
        <v>0</v>
      </c>
      <c r="M223" s="152">
        <v>0</v>
      </c>
      <c r="N223" s="59"/>
      <c r="O223" s="59"/>
    </row>
    <row r="224" spans="1:15">
      <c r="A224" s="152">
        <v>183</v>
      </c>
      <c r="B224" s="152" t="s">
        <v>1195</v>
      </c>
      <c r="C224" s="152" t="s">
        <v>23</v>
      </c>
      <c r="D224" s="159">
        <v>1</v>
      </c>
      <c r="E224" s="159">
        <v>0</v>
      </c>
      <c r="F224" s="159">
        <v>3</v>
      </c>
      <c r="G224" s="159">
        <v>0</v>
      </c>
      <c r="H224" s="152">
        <v>0</v>
      </c>
      <c r="I224" s="152">
        <v>0</v>
      </c>
      <c r="J224" s="152">
        <v>0.01</v>
      </c>
      <c r="K224" s="152">
        <v>0</v>
      </c>
      <c r="L224" s="152">
        <v>0</v>
      </c>
      <c r="M224" s="152">
        <v>0</v>
      </c>
      <c r="N224" s="59"/>
      <c r="O224" s="59"/>
    </row>
    <row r="225" spans="1:15">
      <c r="A225" s="152">
        <v>184</v>
      </c>
      <c r="B225" s="152" t="s">
        <v>1096</v>
      </c>
      <c r="C225" s="152" t="s">
        <v>23</v>
      </c>
      <c r="D225" s="159">
        <v>1</v>
      </c>
      <c r="E225" s="159">
        <v>0</v>
      </c>
      <c r="F225" s="159">
        <v>3</v>
      </c>
      <c r="G225" s="159">
        <v>0</v>
      </c>
      <c r="H225" s="152">
        <v>0</v>
      </c>
      <c r="I225" s="152">
        <v>0</v>
      </c>
      <c r="J225" s="152">
        <v>0.01</v>
      </c>
      <c r="K225" s="152">
        <v>0</v>
      </c>
      <c r="L225" s="152">
        <v>0</v>
      </c>
      <c r="M225" s="152">
        <v>0</v>
      </c>
      <c r="N225" s="59"/>
      <c r="O225" s="59"/>
    </row>
    <row r="226" spans="1:15" hidden="1">
      <c r="A226" s="152">
        <v>185</v>
      </c>
      <c r="B226" s="152" t="s">
        <v>240</v>
      </c>
      <c r="C226" s="152" t="s">
        <v>24</v>
      </c>
      <c r="D226" s="159">
        <v>0</v>
      </c>
      <c r="E226" s="159">
        <v>108</v>
      </c>
      <c r="F226" s="159">
        <v>2</v>
      </c>
      <c r="G226" s="159">
        <v>1279</v>
      </c>
      <c r="H226" s="152">
        <v>-100</v>
      </c>
      <c r="I226" s="152">
        <v>-99.84</v>
      </c>
      <c r="J226" s="152">
        <v>0</v>
      </c>
      <c r="K226" s="152">
        <v>0</v>
      </c>
      <c r="L226" s="152">
        <v>0.86</v>
      </c>
      <c r="M226" s="152">
        <v>2.12</v>
      </c>
      <c r="N226" s="59"/>
      <c r="O226" s="59"/>
    </row>
    <row r="227" spans="1:15">
      <c r="A227" s="152">
        <v>186</v>
      </c>
      <c r="B227" s="152" t="s">
        <v>576</v>
      </c>
      <c r="C227" s="152" t="s">
        <v>23</v>
      </c>
      <c r="D227" s="159">
        <v>0</v>
      </c>
      <c r="E227" s="159">
        <v>0</v>
      </c>
      <c r="F227" s="159">
        <v>2</v>
      </c>
      <c r="G227" s="159">
        <v>2</v>
      </c>
      <c r="H227" s="152">
        <v>0</v>
      </c>
      <c r="I227" s="152">
        <v>0</v>
      </c>
      <c r="J227" s="152">
        <v>0</v>
      </c>
      <c r="K227" s="152">
        <v>0</v>
      </c>
      <c r="L227" s="152">
        <v>0</v>
      </c>
      <c r="M227" s="152">
        <v>0</v>
      </c>
      <c r="N227" s="59"/>
      <c r="O227" s="59"/>
    </row>
    <row r="228" spans="1:15">
      <c r="A228" s="152">
        <v>187</v>
      </c>
      <c r="B228" s="152" t="s">
        <v>1133</v>
      </c>
      <c r="C228" s="152" t="s">
        <v>23</v>
      </c>
      <c r="D228" s="159">
        <v>0</v>
      </c>
      <c r="E228" s="159">
        <v>1</v>
      </c>
      <c r="F228" s="159">
        <v>2</v>
      </c>
      <c r="G228" s="159">
        <v>2</v>
      </c>
      <c r="H228" s="152">
        <v>-100</v>
      </c>
      <c r="I228" s="152">
        <v>0</v>
      </c>
      <c r="J228" s="152">
        <v>0</v>
      </c>
      <c r="K228" s="152">
        <v>0</v>
      </c>
      <c r="L228" s="152">
        <v>0.01</v>
      </c>
      <c r="M228" s="152">
        <v>0</v>
      </c>
      <c r="N228" s="59"/>
      <c r="O228" s="59"/>
    </row>
    <row r="229" spans="1:15" hidden="1">
      <c r="A229" s="152">
        <v>188</v>
      </c>
      <c r="B229" s="152" t="s">
        <v>511</v>
      </c>
      <c r="C229" s="152" t="s">
        <v>1021</v>
      </c>
      <c r="D229" s="159">
        <v>0</v>
      </c>
      <c r="E229" s="159">
        <v>0</v>
      </c>
      <c r="F229" s="159">
        <v>2</v>
      </c>
      <c r="G229" s="159">
        <v>2</v>
      </c>
      <c r="H229" s="152">
        <v>0</v>
      </c>
      <c r="I229" s="152">
        <v>0</v>
      </c>
      <c r="J229" s="152">
        <v>0</v>
      </c>
      <c r="K229" s="152">
        <v>0</v>
      </c>
      <c r="L229" s="152">
        <v>0</v>
      </c>
      <c r="M229" s="152">
        <v>0</v>
      </c>
    </row>
    <row r="230" spans="1:15">
      <c r="A230" s="152">
        <v>189</v>
      </c>
      <c r="B230" s="152" t="s">
        <v>1137</v>
      </c>
      <c r="C230" s="152" t="s">
        <v>23</v>
      </c>
      <c r="D230" s="159">
        <v>1</v>
      </c>
      <c r="E230" s="159">
        <v>1</v>
      </c>
      <c r="F230" s="159">
        <v>2</v>
      </c>
      <c r="G230" s="159">
        <v>2</v>
      </c>
      <c r="H230" s="152">
        <v>0</v>
      </c>
      <c r="I230" s="152">
        <v>0</v>
      </c>
      <c r="J230" s="152">
        <v>0.01</v>
      </c>
      <c r="K230" s="152">
        <v>0</v>
      </c>
      <c r="L230" s="152">
        <v>0.01</v>
      </c>
      <c r="M230" s="152">
        <v>0</v>
      </c>
    </row>
    <row r="231" spans="1:15">
      <c r="A231" s="152">
        <v>190</v>
      </c>
      <c r="B231" s="152" t="s">
        <v>697</v>
      </c>
      <c r="C231" s="152" t="s">
        <v>23</v>
      </c>
      <c r="D231" s="159">
        <v>0</v>
      </c>
      <c r="E231" s="159">
        <v>1</v>
      </c>
      <c r="F231" s="159">
        <v>2</v>
      </c>
      <c r="G231" s="159">
        <v>2</v>
      </c>
      <c r="H231" s="152">
        <v>-100</v>
      </c>
      <c r="I231" s="152">
        <v>0</v>
      </c>
      <c r="J231" s="152">
        <v>0</v>
      </c>
      <c r="K231" s="152">
        <v>0</v>
      </c>
      <c r="L231" s="152">
        <v>0.01</v>
      </c>
      <c r="M231" s="152">
        <v>0</v>
      </c>
    </row>
    <row r="232" spans="1:15" hidden="1">
      <c r="A232" s="152">
        <v>191</v>
      </c>
      <c r="B232" s="152" t="s">
        <v>1196</v>
      </c>
      <c r="C232" s="152" t="s">
        <v>24</v>
      </c>
      <c r="D232" s="159">
        <v>1</v>
      </c>
      <c r="E232" s="159">
        <v>0</v>
      </c>
      <c r="F232" s="159">
        <v>2</v>
      </c>
      <c r="G232" s="159">
        <v>1</v>
      </c>
      <c r="H232" s="152">
        <v>0</v>
      </c>
      <c r="I232" s="152">
        <v>100</v>
      </c>
      <c r="J232" s="152">
        <v>0.01</v>
      </c>
      <c r="K232" s="152">
        <v>0</v>
      </c>
      <c r="L232" s="152">
        <v>0</v>
      </c>
      <c r="M232" s="152">
        <v>0</v>
      </c>
    </row>
    <row r="233" spans="1:15">
      <c r="A233" s="152">
        <v>192</v>
      </c>
      <c r="B233" s="152" t="s">
        <v>1197</v>
      </c>
      <c r="C233" s="152" t="s">
        <v>23</v>
      </c>
      <c r="D233" s="159">
        <v>1</v>
      </c>
      <c r="E233" s="159">
        <v>0</v>
      </c>
      <c r="F233" s="159">
        <v>2</v>
      </c>
      <c r="G233" s="159">
        <v>0</v>
      </c>
      <c r="H233" s="152">
        <v>0</v>
      </c>
      <c r="I233" s="152">
        <v>0</v>
      </c>
      <c r="J233" s="152">
        <v>0.01</v>
      </c>
      <c r="K233" s="152">
        <v>0</v>
      </c>
      <c r="L233" s="152">
        <v>0</v>
      </c>
      <c r="M233" s="152">
        <v>0</v>
      </c>
    </row>
    <row r="234" spans="1:15" hidden="1">
      <c r="A234" s="152">
        <v>193</v>
      </c>
      <c r="B234" s="152" t="s">
        <v>1186</v>
      </c>
      <c r="C234" s="152" t="s">
        <v>24</v>
      </c>
      <c r="D234" s="159">
        <v>0</v>
      </c>
      <c r="E234" s="159">
        <v>0</v>
      </c>
      <c r="F234" s="159">
        <v>2</v>
      </c>
      <c r="G234" s="159">
        <v>0</v>
      </c>
      <c r="H234" s="152">
        <v>0</v>
      </c>
      <c r="I234" s="152">
        <v>0</v>
      </c>
      <c r="J234" s="152">
        <v>0</v>
      </c>
      <c r="K234" s="152">
        <v>0</v>
      </c>
      <c r="L234" s="152">
        <v>0</v>
      </c>
      <c r="M234" s="152">
        <v>0</v>
      </c>
    </row>
    <row r="235" spans="1:15">
      <c r="A235" s="152">
        <v>194</v>
      </c>
      <c r="B235" s="152" t="s">
        <v>441</v>
      </c>
      <c r="C235" s="152" t="s">
        <v>23</v>
      </c>
      <c r="D235" s="159">
        <v>0</v>
      </c>
      <c r="E235" s="159">
        <v>30</v>
      </c>
      <c r="F235" s="159">
        <v>1</v>
      </c>
      <c r="G235" s="159">
        <v>112</v>
      </c>
      <c r="H235" s="152">
        <v>-100</v>
      </c>
      <c r="I235" s="152">
        <v>-99.11</v>
      </c>
      <c r="J235" s="152">
        <v>0</v>
      </c>
      <c r="K235" s="152">
        <v>0</v>
      </c>
      <c r="L235" s="152">
        <v>0.24</v>
      </c>
      <c r="M235" s="152">
        <v>0.19</v>
      </c>
    </row>
    <row r="236" spans="1:15">
      <c r="A236" s="152">
        <v>195</v>
      </c>
      <c r="B236" s="152" t="s">
        <v>1135</v>
      </c>
      <c r="C236" s="152" t="s">
        <v>23</v>
      </c>
      <c r="D236" s="159">
        <v>0</v>
      </c>
      <c r="E236" s="159">
        <v>0</v>
      </c>
      <c r="F236" s="159">
        <v>1</v>
      </c>
      <c r="G236" s="159">
        <v>32</v>
      </c>
      <c r="H236" s="152">
        <v>0</v>
      </c>
      <c r="I236" s="152">
        <v>-96.88</v>
      </c>
      <c r="J236" s="152">
        <v>0</v>
      </c>
      <c r="K236" s="152">
        <v>0</v>
      </c>
      <c r="L236" s="152">
        <v>0</v>
      </c>
      <c r="M236" s="152">
        <v>0.05</v>
      </c>
    </row>
    <row r="237" spans="1:15">
      <c r="A237" s="152">
        <v>196</v>
      </c>
      <c r="B237" s="152" t="s">
        <v>519</v>
      </c>
      <c r="C237" s="152" t="s">
        <v>23</v>
      </c>
      <c r="D237" s="159">
        <v>0</v>
      </c>
      <c r="E237" s="159">
        <v>2</v>
      </c>
      <c r="F237" s="159">
        <v>1</v>
      </c>
      <c r="G237" s="159">
        <v>28</v>
      </c>
      <c r="H237" s="152">
        <v>-100</v>
      </c>
      <c r="I237" s="152">
        <v>-96.43</v>
      </c>
      <c r="J237" s="152">
        <v>0</v>
      </c>
      <c r="K237" s="152">
        <v>0</v>
      </c>
      <c r="L237" s="152">
        <v>0.02</v>
      </c>
      <c r="M237" s="152">
        <v>0.05</v>
      </c>
    </row>
    <row r="238" spans="1:15">
      <c r="A238" s="152">
        <v>197</v>
      </c>
      <c r="B238" s="152" t="s">
        <v>1132</v>
      </c>
      <c r="C238" s="152" t="s">
        <v>23</v>
      </c>
      <c r="D238" s="159">
        <v>0</v>
      </c>
      <c r="E238" s="159">
        <v>7</v>
      </c>
      <c r="F238" s="159">
        <v>1</v>
      </c>
      <c r="G238" s="159">
        <v>8</v>
      </c>
      <c r="H238" s="152">
        <v>-100</v>
      </c>
      <c r="I238" s="152">
        <v>-87.5</v>
      </c>
      <c r="J238" s="152">
        <v>0</v>
      </c>
      <c r="K238" s="152">
        <v>0</v>
      </c>
      <c r="L238" s="152">
        <v>0.06</v>
      </c>
      <c r="M238" s="152">
        <v>0.01</v>
      </c>
    </row>
    <row r="239" spans="1:15">
      <c r="A239" s="152">
        <v>198</v>
      </c>
      <c r="B239" s="152" t="s">
        <v>180</v>
      </c>
      <c r="C239" s="152" t="s">
        <v>23</v>
      </c>
      <c r="D239" s="159">
        <v>0</v>
      </c>
      <c r="E239" s="159">
        <v>0</v>
      </c>
      <c r="F239" s="159">
        <v>1</v>
      </c>
      <c r="G239" s="159">
        <v>2</v>
      </c>
      <c r="H239" s="152">
        <v>0</v>
      </c>
      <c r="I239" s="152">
        <v>-50</v>
      </c>
      <c r="J239" s="152">
        <v>0</v>
      </c>
      <c r="K239" s="152">
        <v>0</v>
      </c>
      <c r="L239" s="152">
        <v>0</v>
      </c>
      <c r="M239" s="152">
        <v>0</v>
      </c>
    </row>
    <row r="240" spans="1:15">
      <c r="A240" s="152">
        <v>199</v>
      </c>
      <c r="B240" s="152" t="s">
        <v>1171</v>
      </c>
      <c r="C240" s="152" t="s">
        <v>23</v>
      </c>
      <c r="D240" s="159">
        <v>0</v>
      </c>
      <c r="E240" s="159">
        <v>0</v>
      </c>
      <c r="F240" s="159">
        <v>1</v>
      </c>
      <c r="G240" s="159">
        <v>0</v>
      </c>
      <c r="H240" s="152">
        <v>0</v>
      </c>
      <c r="I240" s="152">
        <v>0</v>
      </c>
      <c r="J240" s="152">
        <v>0</v>
      </c>
      <c r="K240" s="152">
        <v>0</v>
      </c>
      <c r="L240" s="152">
        <v>0</v>
      </c>
      <c r="M240" s="152">
        <v>0</v>
      </c>
    </row>
    <row r="241" spans="1:13">
      <c r="A241" s="152">
        <v>200</v>
      </c>
      <c r="B241" s="152" t="s">
        <v>1238</v>
      </c>
      <c r="C241" s="152" t="s">
        <v>23</v>
      </c>
      <c r="D241" s="159">
        <v>1</v>
      </c>
      <c r="E241" s="159">
        <v>0</v>
      </c>
      <c r="F241" s="159">
        <v>1</v>
      </c>
      <c r="G241" s="159">
        <v>0</v>
      </c>
      <c r="H241" s="152">
        <v>0</v>
      </c>
      <c r="I241" s="152">
        <v>0</v>
      </c>
      <c r="J241" s="152">
        <v>0.01</v>
      </c>
      <c r="K241" s="152">
        <v>0</v>
      </c>
      <c r="L241" s="152">
        <v>0</v>
      </c>
      <c r="M241" s="152">
        <v>0</v>
      </c>
    </row>
    <row r="242" spans="1:13" hidden="1">
      <c r="A242" s="152">
        <v>201</v>
      </c>
      <c r="B242" s="152" t="s">
        <v>584</v>
      </c>
      <c r="C242" s="152" t="s">
        <v>24</v>
      </c>
      <c r="D242" s="159">
        <v>0</v>
      </c>
      <c r="E242" s="159">
        <v>11</v>
      </c>
      <c r="F242" s="159">
        <v>0</v>
      </c>
      <c r="G242" s="159">
        <v>33</v>
      </c>
      <c r="H242" s="152">
        <v>-100</v>
      </c>
      <c r="I242" s="152">
        <v>-100</v>
      </c>
      <c r="J242" s="152">
        <v>0</v>
      </c>
      <c r="K242" s="152">
        <v>0</v>
      </c>
      <c r="L242" s="152">
        <v>0.09</v>
      </c>
      <c r="M242" s="152">
        <v>0.05</v>
      </c>
    </row>
    <row r="243" spans="1:13">
      <c r="A243" s="152">
        <v>202</v>
      </c>
      <c r="B243" s="152" t="s">
        <v>243</v>
      </c>
      <c r="C243" s="152" t="s">
        <v>23</v>
      </c>
      <c r="D243" s="159">
        <v>0</v>
      </c>
      <c r="E243" s="159">
        <v>6</v>
      </c>
      <c r="F243" s="159">
        <v>0</v>
      </c>
      <c r="G243" s="159">
        <v>24</v>
      </c>
      <c r="H243" s="152">
        <v>-100</v>
      </c>
      <c r="I243" s="152">
        <v>-100</v>
      </c>
      <c r="J243" s="152">
        <v>0</v>
      </c>
      <c r="K243" s="152">
        <v>0</v>
      </c>
      <c r="L243" s="152">
        <v>0.05</v>
      </c>
      <c r="M243" s="152">
        <v>0.04</v>
      </c>
    </row>
    <row r="244" spans="1:13">
      <c r="A244" s="152">
        <v>203</v>
      </c>
      <c r="B244" s="152" t="s">
        <v>371</v>
      </c>
      <c r="C244" s="152" t="s">
        <v>23</v>
      </c>
      <c r="D244" s="159">
        <v>0</v>
      </c>
      <c r="E244" s="159">
        <v>1</v>
      </c>
      <c r="F244" s="159">
        <v>0</v>
      </c>
      <c r="G244" s="159">
        <v>18</v>
      </c>
      <c r="H244" s="152">
        <v>-100</v>
      </c>
      <c r="I244" s="152">
        <v>-100</v>
      </c>
      <c r="J244" s="152">
        <v>0</v>
      </c>
      <c r="K244" s="152">
        <v>0</v>
      </c>
      <c r="L244" s="152">
        <v>0.01</v>
      </c>
      <c r="M244" s="152">
        <v>0.03</v>
      </c>
    </row>
    <row r="245" spans="1:13">
      <c r="A245" s="152">
        <v>204</v>
      </c>
      <c r="B245" s="152" t="s">
        <v>247</v>
      </c>
      <c r="C245" s="152" t="s">
        <v>23</v>
      </c>
      <c r="D245" s="159">
        <v>0</v>
      </c>
      <c r="E245" s="159">
        <v>0</v>
      </c>
      <c r="F245" s="159">
        <v>0</v>
      </c>
      <c r="G245" s="159">
        <v>11</v>
      </c>
      <c r="H245" s="152">
        <v>0</v>
      </c>
      <c r="I245" s="152">
        <v>-100</v>
      </c>
      <c r="J245" s="152">
        <v>0</v>
      </c>
      <c r="K245" s="152">
        <v>0</v>
      </c>
      <c r="L245" s="152">
        <v>0</v>
      </c>
      <c r="M245" s="152">
        <v>0.02</v>
      </c>
    </row>
    <row r="246" spans="1:13">
      <c r="A246" s="152">
        <v>205</v>
      </c>
      <c r="B246" s="152" t="s">
        <v>366</v>
      </c>
      <c r="C246" s="152" t="s">
        <v>23</v>
      </c>
      <c r="D246" s="159">
        <v>0</v>
      </c>
      <c r="E246" s="159">
        <v>1</v>
      </c>
      <c r="F246" s="159">
        <v>0</v>
      </c>
      <c r="G246" s="159">
        <v>11</v>
      </c>
      <c r="H246" s="152">
        <v>-100</v>
      </c>
      <c r="I246" s="152">
        <v>-100</v>
      </c>
      <c r="J246" s="152">
        <v>0</v>
      </c>
      <c r="K246" s="152">
        <v>0</v>
      </c>
      <c r="L246" s="152">
        <v>0.01</v>
      </c>
      <c r="M246" s="152">
        <v>0.02</v>
      </c>
    </row>
    <row r="247" spans="1:13">
      <c r="A247" s="152">
        <v>206</v>
      </c>
      <c r="B247" s="152" t="s">
        <v>402</v>
      </c>
      <c r="C247" s="152" t="s">
        <v>23</v>
      </c>
      <c r="D247" s="159">
        <v>0</v>
      </c>
      <c r="E247" s="159">
        <v>1</v>
      </c>
      <c r="F247" s="159">
        <v>0</v>
      </c>
      <c r="G247" s="159">
        <v>9</v>
      </c>
      <c r="H247" s="152">
        <v>-100</v>
      </c>
      <c r="I247" s="152">
        <v>-100</v>
      </c>
      <c r="J247" s="152">
        <v>0</v>
      </c>
      <c r="K247" s="152">
        <v>0</v>
      </c>
      <c r="L247" s="152">
        <v>0.01</v>
      </c>
      <c r="M247" s="152">
        <v>0.01</v>
      </c>
    </row>
    <row r="248" spans="1:13" hidden="1">
      <c r="A248" s="152">
        <v>207</v>
      </c>
      <c r="B248" s="152" t="s">
        <v>423</v>
      </c>
      <c r="C248" s="152" t="s">
        <v>1097</v>
      </c>
      <c r="D248" s="159">
        <v>0</v>
      </c>
      <c r="E248" s="159">
        <v>0</v>
      </c>
      <c r="F248" s="159">
        <v>0</v>
      </c>
      <c r="G248" s="159">
        <v>5</v>
      </c>
      <c r="H248" s="152">
        <v>0</v>
      </c>
      <c r="I248" s="152">
        <v>-100</v>
      </c>
      <c r="J248" s="152">
        <v>0</v>
      </c>
      <c r="K248" s="152">
        <v>0</v>
      </c>
      <c r="L248" s="152">
        <v>0</v>
      </c>
      <c r="M248" s="152">
        <v>0.01</v>
      </c>
    </row>
    <row r="249" spans="1:13" hidden="1">
      <c r="A249" s="152">
        <v>208</v>
      </c>
      <c r="B249" s="152" t="s">
        <v>1188</v>
      </c>
      <c r="C249" s="152" t="s">
        <v>24</v>
      </c>
      <c r="D249" s="159">
        <v>0</v>
      </c>
      <c r="E249" s="159">
        <v>0</v>
      </c>
      <c r="F249" s="159">
        <v>0</v>
      </c>
      <c r="G249" s="159">
        <v>5</v>
      </c>
      <c r="H249" s="152">
        <v>0</v>
      </c>
      <c r="I249" s="152">
        <v>-100</v>
      </c>
      <c r="J249" s="152">
        <v>0</v>
      </c>
      <c r="K249" s="152">
        <v>0</v>
      </c>
      <c r="L249" s="152">
        <v>0</v>
      </c>
      <c r="M249" s="152">
        <v>0.01</v>
      </c>
    </row>
    <row r="250" spans="1:13">
      <c r="A250" s="152">
        <v>209</v>
      </c>
      <c r="B250" s="152" t="s">
        <v>454</v>
      </c>
      <c r="C250" s="152" t="s">
        <v>23</v>
      </c>
      <c r="D250" s="159">
        <v>0</v>
      </c>
      <c r="E250" s="159">
        <v>1</v>
      </c>
      <c r="F250" s="159">
        <v>0</v>
      </c>
      <c r="G250" s="159">
        <v>3</v>
      </c>
      <c r="H250" s="152">
        <v>-100</v>
      </c>
      <c r="I250" s="152">
        <v>-100</v>
      </c>
      <c r="J250" s="152">
        <v>0</v>
      </c>
      <c r="K250" s="152">
        <v>0</v>
      </c>
      <c r="L250" s="152">
        <v>0.01</v>
      </c>
      <c r="M250" s="152">
        <v>0</v>
      </c>
    </row>
    <row r="251" spans="1:13">
      <c r="A251" s="152">
        <v>210</v>
      </c>
      <c r="B251" s="152" t="s">
        <v>1198</v>
      </c>
      <c r="C251" s="152" t="s">
        <v>23</v>
      </c>
      <c r="D251" s="159">
        <v>0</v>
      </c>
      <c r="E251" s="159">
        <v>2</v>
      </c>
      <c r="F251" s="159">
        <v>0</v>
      </c>
      <c r="G251" s="159">
        <v>3</v>
      </c>
      <c r="H251" s="152">
        <v>-100</v>
      </c>
      <c r="I251" s="152">
        <v>-100</v>
      </c>
      <c r="J251" s="152">
        <v>0</v>
      </c>
      <c r="K251" s="152">
        <v>0</v>
      </c>
      <c r="L251" s="152">
        <v>0.02</v>
      </c>
      <c r="M251" s="152">
        <v>0</v>
      </c>
    </row>
    <row r="252" spans="1:13">
      <c r="A252" s="152">
        <v>211</v>
      </c>
      <c r="B252" s="152" t="s">
        <v>1172</v>
      </c>
      <c r="C252" s="152" t="s">
        <v>23</v>
      </c>
      <c r="D252" s="159">
        <v>0</v>
      </c>
      <c r="E252" s="159">
        <v>2</v>
      </c>
      <c r="F252" s="159">
        <v>0</v>
      </c>
      <c r="G252" s="159">
        <v>3</v>
      </c>
      <c r="H252" s="152">
        <v>-100</v>
      </c>
      <c r="I252" s="152">
        <v>-100</v>
      </c>
      <c r="J252" s="152">
        <v>0</v>
      </c>
      <c r="K252" s="152">
        <v>0</v>
      </c>
      <c r="L252" s="152">
        <v>0.02</v>
      </c>
      <c r="M252" s="152">
        <v>0</v>
      </c>
    </row>
    <row r="253" spans="1:13">
      <c r="A253" s="152">
        <v>212</v>
      </c>
      <c r="B253" s="152" t="s">
        <v>214</v>
      </c>
      <c r="C253" s="152" t="s">
        <v>23</v>
      </c>
      <c r="D253" s="159">
        <v>0</v>
      </c>
      <c r="E253" s="159">
        <v>0</v>
      </c>
      <c r="F253" s="159">
        <v>0</v>
      </c>
      <c r="G253" s="159">
        <v>2</v>
      </c>
      <c r="H253" s="152">
        <v>0</v>
      </c>
      <c r="I253" s="152">
        <v>-100</v>
      </c>
      <c r="J253" s="152">
        <v>0</v>
      </c>
      <c r="K253" s="152">
        <v>0</v>
      </c>
      <c r="L253" s="152">
        <v>0</v>
      </c>
      <c r="M253" s="152">
        <v>0</v>
      </c>
    </row>
    <row r="254" spans="1:13" hidden="1">
      <c r="A254" s="152">
        <v>213</v>
      </c>
      <c r="B254" s="152" t="s">
        <v>1189</v>
      </c>
      <c r="C254" s="152" t="s">
        <v>24</v>
      </c>
      <c r="D254" s="159">
        <v>0</v>
      </c>
      <c r="E254" s="159">
        <v>0</v>
      </c>
      <c r="F254" s="159">
        <v>0</v>
      </c>
      <c r="G254" s="159">
        <v>2</v>
      </c>
      <c r="H254" s="152">
        <v>0</v>
      </c>
      <c r="I254" s="152">
        <v>-100</v>
      </c>
      <c r="J254" s="152">
        <v>0</v>
      </c>
      <c r="K254" s="152">
        <v>0</v>
      </c>
      <c r="L254" s="152">
        <v>0</v>
      </c>
      <c r="M254" s="152">
        <v>0</v>
      </c>
    </row>
    <row r="255" spans="1:13">
      <c r="A255" s="152">
        <v>214</v>
      </c>
      <c r="B255" s="152" t="s">
        <v>1136</v>
      </c>
      <c r="C255" s="152" t="s">
        <v>23</v>
      </c>
      <c r="D255" s="159">
        <v>0</v>
      </c>
      <c r="E255" s="159">
        <v>0</v>
      </c>
      <c r="F255" s="159">
        <v>0</v>
      </c>
      <c r="G255" s="159">
        <v>1</v>
      </c>
      <c r="H255" s="152">
        <v>0</v>
      </c>
      <c r="I255" s="152">
        <v>-100</v>
      </c>
      <c r="J255" s="152">
        <v>0</v>
      </c>
      <c r="K255" s="152">
        <v>0</v>
      </c>
      <c r="L255" s="152">
        <v>0</v>
      </c>
      <c r="M255" s="152">
        <v>0</v>
      </c>
    </row>
    <row r="256" spans="1:13">
      <c r="A256" s="152"/>
      <c r="B256" s="152" t="s">
        <v>475</v>
      </c>
      <c r="C256" s="152"/>
      <c r="D256" s="159">
        <f>SUBTOTAL(109,getAggRechargeModels619[antalPerioden])</f>
        <v>5975</v>
      </c>
      <c r="E256" s="159">
        <f>SUBTOTAL(109,getAggRechargeModels619[antalFGPeriod])</f>
        <v>6138</v>
      </c>
      <c r="F256" s="159">
        <f>SUBTOTAL(109,getAggRechargeModels619[antalÅret])</f>
        <v>23331</v>
      </c>
      <c r="G256" s="159">
        <f>SUBTOTAL(109,getAggRechargeModels619[antalFGAr])</f>
        <v>28946</v>
      </c>
      <c r="H256" s="154">
        <f>IF(getAggRechargeModels619[[#Totals],[antalFGPeriod]] &gt;0,(getAggRechargeModels619[[#Totals],[antalPerioden]] - getAggRechargeModels619[[#Totals],[antalFGPeriod]] ) / getAggRechargeModels619[[#Totals],[antalFGPeriod]] *100,0)</f>
        <v>-2.6555881394591072</v>
      </c>
      <c r="I256" s="154">
        <f>IF(getAggRechargeModels619[[#Totals],[antalFGAr]] &gt; 0,( getAggRechargeModels619[[#Totals],[antalÅret]] - getAggRechargeModels619[[#Totals],[antalFGAr]] ) / getAggRechargeModels619[[#Totals],[antalFGAr]] * 100,0)</f>
        <v>-19.398189732605541</v>
      </c>
      <c r="J256" s="160">
        <f>IF(getAggModelsPB[[#Totals],[antalPerioden]] &gt; 0,getAggRechargeModels619[[#Totals],[antalPerioden]]  / getAggModelsPB[[#Totals],[antalPerioden]] * 100,0)</f>
        <v>20.972270972270973</v>
      </c>
      <c r="K256" s="160">
        <f>IF(getAggModelsPB[[#Totals],[antalÅret]] &gt; 0,getAggRechargeModels619[[#Totals],[antalÅret]]  / getAggModelsPB[[#Totals],[antalÅret]] * 100,0)</f>
        <v>20.760811532301123</v>
      </c>
      <c r="L256" s="160">
        <f>IF(getAggModelsPB[[#Totals],[antalFGPeriod]] &gt; 0,getAggRechargeModels619[[#Totals],[antalFGPeriod]]  / getAggModelsPB[[#Totals],[antalFGPeriod]] * 100,0)</f>
        <v>23.238556771286866</v>
      </c>
      <c r="M256" s="160">
        <f>IF(getAggModelsPB[[#Totals],[antalFGAr]] &gt; 0,getAggRechargeModels619[[#Totals],[antalFGAr]]  / getAggModelsPB[[#Totals],[antalFGAr]] * 100,0)</f>
        <v>24.510982776432332</v>
      </c>
    </row>
    <row r="260" spans="1:1">
      <c r="A260" t="s">
        <v>705</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82</vt:i4>
      </vt:variant>
    </vt:vector>
  </HeadingPairs>
  <TitlesOfParts>
    <vt:vector size="102"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CalcAvgCO2Sum</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2022-09-06T10:01:43Z</cp:lastPrinted>
  <dcterms:created xsi:type="dcterms:W3CDTF">2020-01-13T13:32:32Z</dcterms:created>
  <dcterms:modified xsi:type="dcterms:W3CDTF">2023-06-01T11:40:08Z</dcterms:modified>
</cp:coreProperties>
</file>