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8.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drawings/drawing29.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JUNI 2023/"/>
    </mc:Choice>
  </mc:AlternateContent>
  <xr:revisionPtr revIDLastSave="16" documentId="11_F3A83E05783291EF9680533DAB64407AA8486817" xr6:coauthVersionLast="47" xr6:coauthVersionMax="47" xr10:uidLastSave="{E5B0AEB4-7A0F-E246-88AD-12F2AF006F0B}"/>
  <bookViews>
    <workbookView xWindow="29660" yWindow="2160" windowWidth="24500" windowHeight="17500" tabRatio="773" xr2:uid="{00000000-000D-0000-FFFF-FFFF00000000}"/>
  </bookViews>
  <sheets>
    <sheet name="Innehåll" sheetId="1" r:id="rId1"/>
    <sheet name="A. Personbilar" sheetId="2" r:id="rId2"/>
    <sheet name="A.1 Rankinglista PB" sheetId="8" r:id="rId3"/>
    <sheet name="A.2 Fabrikat och modeller PB" sheetId="50"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LLB'!$A$7:$L$35</definedName>
    <definedName name="bdsql12_BDmodell_getAggRechargeModels_1" localSheetId="6" hidden="1">'A.5 Laddbara PB'!$A$41:$M$260</definedName>
    <definedName name="bdsql12_BDmodell_getAggRechargeModels_1" localSheetId="7" hidden="1">'A.51 Elbilar PB'!$A$39:$M$258</definedName>
    <definedName name="bdsql12_BDmodell_getAggRechargeModels_1" localSheetId="8" hidden="1">'A.52 Laddhybrider PB'!$A$40:$M$259</definedName>
    <definedName name="bdsql12_BDmodell_PB" localSheetId="2" hidden="1">'A.1 Rankinglista PB'!$A$7:$L$343</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Fysiska-Juridiska'!$A$8:$Q$65</definedName>
    <definedName name="bdsql12_BDnewRegistrations_getAggMakes" localSheetId="13" hidden="1">'B.2 Fabrikat LLB'!$A$7:$I$30</definedName>
    <definedName name="bdsql12_BDnewRegistrations_getAggPBCO2Emissions" localSheetId="9" hidden="1">'A.7 Koldioxidutsläpp PB'!#REF!</definedName>
    <definedName name="bdsql12_BDnewRegistrations_getAggTotalCO2" localSheetId="9" hidden="1">'A.7 Koldioxidutsläpp PB'!$A$82:$B$84</definedName>
    <definedName name="bdsql12_BDnewRegistrationsgetAggPBCO2EmissionsWLTP" localSheetId="9" hidden="1">'A.7 Koldioxidutsläpp PB'!$A$9:$G$17</definedName>
    <definedName name="bdsql12_Transportstyrelsen_sumPrelNyregImportPBTotaler_1" localSheetId="1" hidden="1">'A. Personbilar'!$Q$26:$T$29</definedName>
    <definedName name="CalcAvgCO2Man">'A.7 Koldioxidutsläpp PB'!$B$83</definedName>
    <definedName name="CalcAvgCO2Sum">'A.7 Koldioxidutsläpp PB'!#REF!</definedName>
    <definedName name="CalcAvgCO2YTD">'A.7 Koldioxidutsläpp PB'!$B$84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PB'!$E$405</definedName>
    <definedName name="CntPeriod">#REF!</definedName>
    <definedName name="CntPeriodPrevYear" localSheetId="3">'A.2 Fabrikat och modeller PB'!$F$405</definedName>
    <definedName name="CntPeriodPrevYear">#REF!</definedName>
    <definedName name="CntPrevYear" localSheetId="3">'A.2 Fabrikat och modeller PB'!#REF!</definedName>
    <definedName name="CntPrevYear">#REF!</definedName>
    <definedName name="CntPrevYearAck" localSheetId="3">'A.2 Fabrikat och modeller PB'!$K$405</definedName>
    <definedName name="CntPrevYearAck">#REF!</definedName>
    <definedName name="CntYearAck" localSheetId="3">'A.2 Fabrikat och modeller PB'!$J$405</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PB'!$B$406</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144" r:id="rId21"/>
    <pivotCache cacheId="145" r:id="rId22"/>
    <pivotCache cacheId="146"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6" i="4" l="1"/>
  <c r="R65" i="4"/>
  <c r="R64" i="4"/>
  <c r="R63" i="4"/>
  <c r="R62" i="4"/>
  <c r="R61" i="4"/>
  <c r="K405" i="50" l="1"/>
  <c r="J405" i="50"/>
  <c r="L406" i="50" s="1"/>
  <c r="F405" i="50"/>
  <c r="E405" i="50"/>
  <c r="G406" i="50" s="1"/>
  <c r="N403" i="50"/>
  <c r="M403" i="50"/>
  <c r="L403" i="50"/>
  <c r="I403" i="50"/>
  <c r="G403" i="50"/>
  <c r="C403" i="50"/>
  <c r="N402" i="50"/>
  <c r="M402" i="50"/>
  <c r="L402" i="50"/>
  <c r="I402" i="50"/>
  <c r="H402" i="50"/>
  <c r="G402" i="50"/>
  <c r="C402" i="50"/>
  <c r="N401" i="50"/>
  <c r="M401" i="50"/>
  <c r="L401" i="50"/>
  <c r="I401" i="50"/>
  <c r="H401" i="50"/>
  <c r="G401" i="50"/>
  <c r="C401" i="50"/>
  <c r="N400" i="50"/>
  <c r="M400" i="50"/>
  <c r="L400" i="50"/>
  <c r="I400" i="50"/>
  <c r="H400" i="50"/>
  <c r="G400" i="50"/>
  <c r="C400" i="50"/>
  <c r="N399" i="50"/>
  <c r="M399" i="50"/>
  <c r="L399" i="50"/>
  <c r="I399" i="50"/>
  <c r="H399" i="50"/>
  <c r="G399" i="50"/>
  <c r="C399" i="50"/>
  <c r="N398" i="50"/>
  <c r="M398" i="50"/>
  <c r="L398" i="50"/>
  <c r="I398" i="50"/>
  <c r="H398" i="50"/>
  <c r="G398" i="50"/>
  <c r="C398" i="50"/>
  <c r="N397" i="50"/>
  <c r="M397" i="50"/>
  <c r="L397" i="50"/>
  <c r="I397" i="50"/>
  <c r="H397" i="50"/>
  <c r="G397" i="50"/>
  <c r="C397" i="50"/>
  <c r="N396" i="50"/>
  <c r="M396" i="50"/>
  <c r="L396" i="50"/>
  <c r="I396" i="50"/>
  <c r="H396" i="50"/>
  <c r="G396" i="50"/>
  <c r="C396" i="50"/>
  <c r="N395" i="50"/>
  <c r="M395" i="50"/>
  <c r="L395" i="50"/>
  <c r="I395" i="50"/>
  <c r="H395" i="50"/>
  <c r="G395" i="50"/>
  <c r="C395" i="50"/>
  <c r="N394" i="50"/>
  <c r="M394" i="50"/>
  <c r="L394" i="50"/>
  <c r="I394" i="50"/>
  <c r="H394" i="50"/>
  <c r="G394" i="50"/>
  <c r="C394" i="50"/>
  <c r="N393" i="50"/>
  <c r="M393" i="50"/>
  <c r="L393" i="50"/>
  <c r="I393" i="50"/>
  <c r="H393" i="50"/>
  <c r="G393" i="50"/>
  <c r="C393" i="50"/>
  <c r="N392" i="50"/>
  <c r="M392" i="50"/>
  <c r="L392" i="50"/>
  <c r="I392" i="50"/>
  <c r="G392" i="50"/>
  <c r="C392" i="50"/>
  <c r="N391" i="50"/>
  <c r="M391" i="50"/>
  <c r="L391" i="50"/>
  <c r="I391" i="50"/>
  <c r="H391" i="50"/>
  <c r="G391" i="50"/>
  <c r="C391" i="50"/>
  <c r="N390" i="50"/>
  <c r="M390" i="50"/>
  <c r="L390" i="50"/>
  <c r="I390" i="50"/>
  <c r="H390" i="50"/>
  <c r="G390" i="50"/>
  <c r="C390" i="50"/>
  <c r="N389" i="50"/>
  <c r="M389" i="50"/>
  <c r="L389" i="50"/>
  <c r="I389" i="50"/>
  <c r="H389" i="50"/>
  <c r="G389" i="50"/>
  <c r="C389" i="50"/>
  <c r="N388" i="50"/>
  <c r="M388" i="50"/>
  <c r="L388" i="50"/>
  <c r="I388" i="50"/>
  <c r="H388" i="50"/>
  <c r="G388" i="50"/>
  <c r="C388" i="50"/>
  <c r="N387" i="50"/>
  <c r="M387" i="50"/>
  <c r="L387" i="50"/>
  <c r="I387" i="50"/>
  <c r="H387" i="50"/>
  <c r="G387" i="50"/>
  <c r="C387" i="50"/>
  <c r="N386" i="50"/>
  <c r="M386" i="50"/>
  <c r="L386" i="50"/>
  <c r="I386" i="50"/>
  <c r="H386" i="50"/>
  <c r="G386" i="50"/>
  <c r="C386" i="50"/>
  <c r="N385" i="50"/>
  <c r="M385" i="50"/>
  <c r="L385" i="50"/>
  <c r="I385" i="50"/>
  <c r="H385" i="50"/>
  <c r="G385" i="50"/>
  <c r="C385" i="50"/>
  <c r="N384" i="50"/>
  <c r="M384" i="50"/>
  <c r="L384" i="50"/>
  <c r="I384" i="50"/>
  <c r="H384" i="50"/>
  <c r="G384" i="50"/>
  <c r="C384" i="50"/>
  <c r="N383" i="50"/>
  <c r="M383" i="50"/>
  <c r="L383" i="50"/>
  <c r="I383" i="50"/>
  <c r="H383" i="50"/>
  <c r="G383" i="50"/>
  <c r="C383" i="50"/>
  <c r="N382" i="50"/>
  <c r="M382" i="50"/>
  <c r="L382" i="50"/>
  <c r="I382" i="50"/>
  <c r="H382" i="50"/>
  <c r="G382" i="50"/>
  <c r="C382" i="50"/>
  <c r="N381" i="50"/>
  <c r="M381" i="50"/>
  <c r="L381" i="50"/>
  <c r="I381" i="50"/>
  <c r="G381" i="50"/>
  <c r="C381" i="50"/>
  <c r="N380" i="50"/>
  <c r="M380" i="50"/>
  <c r="L380" i="50"/>
  <c r="I380" i="50"/>
  <c r="G380" i="50"/>
  <c r="C380" i="50"/>
  <c r="N379" i="50"/>
  <c r="M379" i="50"/>
  <c r="L379" i="50"/>
  <c r="I379" i="50"/>
  <c r="G379" i="50"/>
  <c r="C379" i="50"/>
  <c r="N378" i="50"/>
  <c r="M378" i="50"/>
  <c r="L378" i="50"/>
  <c r="I378" i="50"/>
  <c r="H378" i="50"/>
  <c r="G378" i="50"/>
  <c r="C378" i="50"/>
  <c r="N377" i="50"/>
  <c r="M377" i="50"/>
  <c r="L377" i="50"/>
  <c r="I377" i="50"/>
  <c r="H377" i="50"/>
  <c r="G377" i="50"/>
  <c r="C377" i="50"/>
  <c r="N376" i="50"/>
  <c r="M376" i="50"/>
  <c r="L376" i="50"/>
  <c r="I376" i="50"/>
  <c r="H376" i="50"/>
  <c r="G376" i="50"/>
  <c r="C376" i="50"/>
  <c r="N375" i="50"/>
  <c r="M375" i="50"/>
  <c r="L375" i="50"/>
  <c r="I375" i="50"/>
  <c r="H375" i="50"/>
  <c r="G375" i="50"/>
  <c r="C375" i="50"/>
  <c r="N374" i="50"/>
  <c r="M374" i="50"/>
  <c r="L374" i="50"/>
  <c r="I374" i="50"/>
  <c r="H374" i="50"/>
  <c r="G374" i="50"/>
  <c r="C374" i="50"/>
  <c r="N373" i="50"/>
  <c r="M373" i="50"/>
  <c r="L373" i="50"/>
  <c r="I373" i="50"/>
  <c r="H373" i="50"/>
  <c r="G373" i="50"/>
  <c r="C373" i="50"/>
  <c r="N372" i="50"/>
  <c r="M372" i="50"/>
  <c r="L372" i="50"/>
  <c r="I372" i="50"/>
  <c r="H372" i="50"/>
  <c r="G372" i="50"/>
  <c r="C372" i="50"/>
  <c r="N371" i="50"/>
  <c r="M371" i="50"/>
  <c r="L371" i="50"/>
  <c r="I371" i="50"/>
  <c r="H371" i="50"/>
  <c r="G371" i="50"/>
  <c r="C371" i="50"/>
  <c r="N370" i="50"/>
  <c r="M370" i="50"/>
  <c r="L370" i="50"/>
  <c r="I370" i="50"/>
  <c r="H370" i="50"/>
  <c r="G370" i="50"/>
  <c r="C370" i="50"/>
  <c r="N369" i="50"/>
  <c r="M369" i="50"/>
  <c r="L369" i="50"/>
  <c r="I369" i="50"/>
  <c r="H369" i="50"/>
  <c r="G369" i="50"/>
  <c r="C369" i="50"/>
  <c r="N368" i="50"/>
  <c r="M368" i="50"/>
  <c r="L368" i="50"/>
  <c r="I368" i="50"/>
  <c r="H368" i="50"/>
  <c r="G368" i="50"/>
  <c r="C368" i="50"/>
  <c r="N367" i="50"/>
  <c r="M367" i="50"/>
  <c r="L367" i="50"/>
  <c r="I367" i="50"/>
  <c r="H367" i="50"/>
  <c r="G367" i="50"/>
  <c r="C367" i="50"/>
  <c r="N366" i="50"/>
  <c r="M366" i="50"/>
  <c r="L366" i="50"/>
  <c r="I366" i="50"/>
  <c r="H366" i="50"/>
  <c r="G366" i="50"/>
  <c r="C366" i="50"/>
  <c r="N365" i="50"/>
  <c r="M365" i="50"/>
  <c r="L365" i="50"/>
  <c r="I365" i="50"/>
  <c r="G365" i="50"/>
  <c r="C365" i="50"/>
  <c r="N364" i="50"/>
  <c r="M364" i="50"/>
  <c r="L364" i="50"/>
  <c r="I364" i="50"/>
  <c r="G364" i="50"/>
  <c r="C364" i="50"/>
  <c r="N363" i="50"/>
  <c r="M363" i="50"/>
  <c r="L363" i="50"/>
  <c r="I363" i="50"/>
  <c r="G363" i="50"/>
  <c r="C363" i="50"/>
  <c r="N362" i="50"/>
  <c r="M362" i="50"/>
  <c r="L362" i="50"/>
  <c r="I362" i="50"/>
  <c r="H362" i="50"/>
  <c r="G362" i="50"/>
  <c r="C362" i="50"/>
  <c r="N361" i="50"/>
  <c r="M361" i="50"/>
  <c r="L361" i="50"/>
  <c r="I361" i="50"/>
  <c r="H361" i="50"/>
  <c r="G361" i="50"/>
  <c r="C361" i="50"/>
  <c r="N360" i="50"/>
  <c r="M360" i="50"/>
  <c r="L360" i="50"/>
  <c r="I360" i="50"/>
  <c r="H360" i="50"/>
  <c r="G360" i="50"/>
  <c r="C360" i="50"/>
  <c r="N359" i="50"/>
  <c r="M359" i="50"/>
  <c r="L359" i="50"/>
  <c r="I359" i="50"/>
  <c r="H359" i="50"/>
  <c r="G359" i="50"/>
  <c r="C359" i="50"/>
  <c r="N358" i="50"/>
  <c r="M358" i="50"/>
  <c r="L358" i="50"/>
  <c r="I358" i="50"/>
  <c r="H358" i="50"/>
  <c r="G358" i="50"/>
  <c r="C358" i="50"/>
  <c r="N357" i="50"/>
  <c r="M357" i="50"/>
  <c r="L357" i="50"/>
  <c r="I357" i="50"/>
  <c r="G357" i="50"/>
  <c r="C357" i="50"/>
  <c r="N356" i="50"/>
  <c r="M356" i="50"/>
  <c r="L356" i="50"/>
  <c r="I356" i="50"/>
  <c r="G356" i="50"/>
  <c r="C356" i="50"/>
  <c r="N355" i="50"/>
  <c r="M355" i="50"/>
  <c r="L355" i="50"/>
  <c r="I355" i="50"/>
  <c r="G355" i="50"/>
  <c r="C355" i="50"/>
  <c r="N354" i="50"/>
  <c r="M354" i="50"/>
  <c r="L354" i="50"/>
  <c r="I354" i="50"/>
  <c r="H354" i="50"/>
  <c r="G354" i="50"/>
  <c r="C354" i="50"/>
  <c r="N353" i="50"/>
  <c r="M353" i="50"/>
  <c r="L353" i="50"/>
  <c r="I353" i="50"/>
  <c r="H353" i="50"/>
  <c r="G353" i="50"/>
  <c r="C353" i="50"/>
  <c r="N352" i="50"/>
  <c r="M352" i="50"/>
  <c r="L352" i="50"/>
  <c r="I352" i="50"/>
  <c r="H352" i="50"/>
  <c r="G352" i="50"/>
  <c r="C352" i="50"/>
  <c r="N351" i="50"/>
  <c r="M351" i="50"/>
  <c r="L351" i="50"/>
  <c r="I351" i="50"/>
  <c r="H351" i="50"/>
  <c r="G351" i="50"/>
  <c r="C351" i="50"/>
  <c r="N350" i="50"/>
  <c r="M350" i="50"/>
  <c r="L350" i="50"/>
  <c r="I350" i="50"/>
  <c r="H350" i="50"/>
  <c r="G350" i="50"/>
  <c r="C350" i="50"/>
  <c r="N349" i="50"/>
  <c r="M349" i="50"/>
  <c r="L349" i="50"/>
  <c r="I349" i="50"/>
  <c r="G349" i="50"/>
  <c r="C349" i="50"/>
  <c r="N348" i="50"/>
  <c r="M348" i="50"/>
  <c r="L348" i="50"/>
  <c r="I348" i="50"/>
  <c r="G348" i="50"/>
  <c r="C348" i="50"/>
  <c r="N347" i="50"/>
  <c r="M347" i="50"/>
  <c r="L347" i="50"/>
  <c r="I347" i="50"/>
  <c r="G347" i="50"/>
  <c r="C347" i="50"/>
  <c r="N346" i="50"/>
  <c r="M346" i="50"/>
  <c r="L346" i="50"/>
  <c r="I346" i="50"/>
  <c r="H346" i="50"/>
  <c r="G346" i="50"/>
  <c r="C346" i="50"/>
  <c r="N345" i="50"/>
  <c r="M345" i="50"/>
  <c r="L345" i="50"/>
  <c r="I345" i="50"/>
  <c r="H345" i="50"/>
  <c r="G345" i="50"/>
  <c r="C345" i="50"/>
  <c r="N344" i="50"/>
  <c r="M344" i="50"/>
  <c r="L344" i="50"/>
  <c r="I344" i="50"/>
  <c r="H344" i="50"/>
  <c r="G344" i="50"/>
  <c r="C344" i="50"/>
  <c r="N343" i="50"/>
  <c r="M343" i="50"/>
  <c r="L343" i="50"/>
  <c r="I343" i="50"/>
  <c r="H343" i="50"/>
  <c r="G343" i="50"/>
  <c r="C343" i="50"/>
  <c r="N342" i="50"/>
  <c r="M342" i="50"/>
  <c r="L342" i="50"/>
  <c r="I342" i="50"/>
  <c r="H342" i="50"/>
  <c r="G342" i="50"/>
  <c r="C342" i="50"/>
  <c r="N341" i="50"/>
  <c r="M341" i="50"/>
  <c r="L341" i="50"/>
  <c r="I341" i="50"/>
  <c r="G341" i="50"/>
  <c r="C341" i="50"/>
  <c r="N340" i="50"/>
  <c r="M340" i="50"/>
  <c r="L340" i="50"/>
  <c r="I340" i="50"/>
  <c r="G340" i="50"/>
  <c r="C340" i="50"/>
  <c r="N339" i="50"/>
  <c r="M339" i="50"/>
  <c r="L339" i="50"/>
  <c r="I339" i="50"/>
  <c r="G339" i="50"/>
  <c r="C339" i="50"/>
  <c r="N338" i="50"/>
  <c r="M338" i="50"/>
  <c r="L338" i="50"/>
  <c r="I338" i="50"/>
  <c r="H338" i="50"/>
  <c r="G338" i="50"/>
  <c r="C338" i="50"/>
  <c r="N337" i="50"/>
  <c r="M337" i="50"/>
  <c r="L337" i="50"/>
  <c r="I337" i="50"/>
  <c r="H337" i="50"/>
  <c r="G337" i="50"/>
  <c r="C337" i="50"/>
  <c r="N336" i="50"/>
  <c r="M336" i="50"/>
  <c r="L336" i="50"/>
  <c r="I336" i="50"/>
  <c r="H336" i="50"/>
  <c r="G336" i="50"/>
  <c r="C336" i="50"/>
  <c r="N335" i="50"/>
  <c r="M335" i="50"/>
  <c r="L335" i="50"/>
  <c r="I335" i="50"/>
  <c r="H335" i="50"/>
  <c r="G335" i="50"/>
  <c r="C335" i="50"/>
  <c r="N334" i="50"/>
  <c r="M334" i="50"/>
  <c r="L334" i="50"/>
  <c r="I334" i="50"/>
  <c r="H334" i="50"/>
  <c r="G334" i="50"/>
  <c r="C334" i="50"/>
  <c r="N333" i="50"/>
  <c r="M333" i="50"/>
  <c r="L333" i="50"/>
  <c r="I333" i="50"/>
  <c r="G333" i="50"/>
  <c r="C333" i="50"/>
  <c r="N332" i="50"/>
  <c r="M332" i="50"/>
  <c r="L332" i="50"/>
  <c r="I332" i="50"/>
  <c r="H332" i="50"/>
  <c r="G332" i="50"/>
  <c r="C332" i="50"/>
  <c r="N331" i="50"/>
  <c r="M331" i="50"/>
  <c r="L331" i="50"/>
  <c r="I331" i="50"/>
  <c r="H331" i="50"/>
  <c r="G331" i="50"/>
  <c r="C331" i="50"/>
  <c r="N330" i="50"/>
  <c r="M330" i="50"/>
  <c r="L330" i="50"/>
  <c r="I330" i="50"/>
  <c r="H330" i="50"/>
  <c r="G330" i="50"/>
  <c r="C330" i="50"/>
  <c r="N329" i="50"/>
  <c r="M329" i="50"/>
  <c r="L329" i="50"/>
  <c r="I329" i="50"/>
  <c r="H329" i="50"/>
  <c r="G329" i="50"/>
  <c r="C329" i="50"/>
  <c r="N328" i="50"/>
  <c r="M328" i="50"/>
  <c r="L328" i="50"/>
  <c r="I328" i="50"/>
  <c r="H328" i="50"/>
  <c r="G328" i="50"/>
  <c r="C328" i="50"/>
  <c r="N327" i="50"/>
  <c r="M327" i="50"/>
  <c r="L327" i="50"/>
  <c r="I327" i="50"/>
  <c r="H327" i="50"/>
  <c r="G327" i="50"/>
  <c r="C327" i="50"/>
  <c r="N326" i="50"/>
  <c r="M326" i="50"/>
  <c r="L326" i="50"/>
  <c r="I326" i="50"/>
  <c r="H326" i="50"/>
  <c r="G326" i="50"/>
  <c r="C326" i="50"/>
  <c r="N325" i="50"/>
  <c r="M325" i="50"/>
  <c r="L325" i="50"/>
  <c r="I325" i="50"/>
  <c r="G325" i="50"/>
  <c r="C325" i="50"/>
  <c r="N324" i="50"/>
  <c r="M324" i="50"/>
  <c r="L324" i="50"/>
  <c r="I324" i="50"/>
  <c r="G324" i="50"/>
  <c r="C324" i="50"/>
  <c r="N323" i="50"/>
  <c r="M323" i="50"/>
  <c r="L323" i="50"/>
  <c r="I323" i="50"/>
  <c r="G323" i="50"/>
  <c r="C323" i="50"/>
  <c r="N322" i="50"/>
  <c r="M322" i="50"/>
  <c r="L322" i="50"/>
  <c r="I322" i="50"/>
  <c r="H322" i="50"/>
  <c r="G322" i="50"/>
  <c r="C322" i="50"/>
  <c r="N321" i="50"/>
  <c r="M321" i="50"/>
  <c r="L321" i="50"/>
  <c r="I321" i="50"/>
  <c r="H321" i="50"/>
  <c r="G321" i="50"/>
  <c r="C321" i="50"/>
  <c r="N320" i="50"/>
  <c r="M320" i="50"/>
  <c r="L320" i="50"/>
  <c r="I320" i="50"/>
  <c r="H320" i="50"/>
  <c r="G320" i="50"/>
  <c r="C320" i="50"/>
  <c r="N319" i="50"/>
  <c r="M319" i="50"/>
  <c r="L319" i="50"/>
  <c r="I319" i="50"/>
  <c r="H319" i="50"/>
  <c r="G319" i="50"/>
  <c r="C319" i="50"/>
  <c r="N318" i="50"/>
  <c r="M318" i="50"/>
  <c r="L318" i="50"/>
  <c r="I318" i="50"/>
  <c r="H318" i="50"/>
  <c r="G318" i="50"/>
  <c r="C318" i="50"/>
  <c r="N317" i="50"/>
  <c r="M317" i="50"/>
  <c r="L317" i="50"/>
  <c r="I317" i="50"/>
  <c r="G317" i="50"/>
  <c r="C317" i="50"/>
  <c r="N316" i="50"/>
  <c r="M316" i="50"/>
  <c r="L316" i="50"/>
  <c r="I316" i="50"/>
  <c r="G316" i="50"/>
  <c r="C316" i="50"/>
  <c r="N315" i="50"/>
  <c r="M315" i="50"/>
  <c r="L315" i="50"/>
  <c r="I315" i="50"/>
  <c r="G315" i="50"/>
  <c r="C315" i="50"/>
  <c r="N314" i="50"/>
  <c r="M314" i="50"/>
  <c r="L314" i="50"/>
  <c r="I314" i="50"/>
  <c r="H314" i="50"/>
  <c r="G314" i="50"/>
  <c r="C314" i="50"/>
  <c r="N313" i="50"/>
  <c r="M313" i="50"/>
  <c r="L313" i="50"/>
  <c r="I313" i="50"/>
  <c r="H313" i="50"/>
  <c r="G313" i="50"/>
  <c r="C313" i="50"/>
  <c r="N312" i="50"/>
  <c r="M312" i="50"/>
  <c r="L312" i="50"/>
  <c r="I312" i="50"/>
  <c r="H312" i="50"/>
  <c r="G312" i="50"/>
  <c r="C312" i="50"/>
  <c r="N311" i="50"/>
  <c r="M311" i="50"/>
  <c r="L311" i="50"/>
  <c r="I311" i="50"/>
  <c r="H311" i="50"/>
  <c r="G311" i="50"/>
  <c r="C311" i="50"/>
  <c r="N310" i="50"/>
  <c r="M310" i="50"/>
  <c r="L310" i="50"/>
  <c r="I310" i="50"/>
  <c r="H310" i="50"/>
  <c r="G310" i="50"/>
  <c r="C310" i="50"/>
  <c r="N309" i="50"/>
  <c r="M309" i="50"/>
  <c r="L309" i="50"/>
  <c r="I309" i="50"/>
  <c r="G309" i="50"/>
  <c r="C309" i="50"/>
  <c r="N308" i="50"/>
  <c r="M308" i="50"/>
  <c r="L308" i="50"/>
  <c r="I308" i="50"/>
  <c r="G308" i="50"/>
  <c r="C308" i="50"/>
  <c r="N307" i="50"/>
  <c r="M307" i="50"/>
  <c r="L307" i="50"/>
  <c r="I307" i="50"/>
  <c r="G307" i="50"/>
  <c r="C307" i="50"/>
  <c r="N306" i="50"/>
  <c r="M306" i="50"/>
  <c r="L306" i="50"/>
  <c r="I306" i="50"/>
  <c r="H306" i="50"/>
  <c r="G306" i="50"/>
  <c r="C306" i="50"/>
  <c r="N305" i="50"/>
  <c r="M305" i="50"/>
  <c r="L305" i="50"/>
  <c r="I305" i="50"/>
  <c r="H305" i="50"/>
  <c r="G305" i="50"/>
  <c r="C305" i="50"/>
  <c r="N304" i="50"/>
  <c r="M304" i="50"/>
  <c r="L304" i="50"/>
  <c r="I304" i="50"/>
  <c r="H304" i="50"/>
  <c r="G304" i="50"/>
  <c r="C304" i="50"/>
  <c r="N303" i="50"/>
  <c r="M303" i="50"/>
  <c r="L303" i="50"/>
  <c r="I303" i="50"/>
  <c r="H303" i="50"/>
  <c r="G303" i="50"/>
  <c r="C303" i="50"/>
  <c r="N302" i="50"/>
  <c r="M302" i="50"/>
  <c r="L302" i="50"/>
  <c r="I302" i="50"/>
  <c r="H302" i="50"/>
  <c r="G302" i="50"/>
  <c r="C302" i="50"/>
  <c r="N301" i="50"/>
  <c r="M301" i="50"/>
  <c r="L301" i="50"/>
  <c r="I301" i="50"/>
  <c r="G301" i="50"/>
  <c r="C301" i="50"/>
  <c r="N300" i="50"/>
  <c r="M300" i="50"/>
  <c r="L300" i="50"/>
  <c r="I300" i="50"/>
  <c r="G300" i="50"/>
  <c r="C300" i="50"/>
  <c r="N299" i="50"/>
  <c r="M299" i="50"/>
  <c r="L299" i="50"/>
  <c r="I299" i="50"/>
  <c r="G299" i="50"/>
  <c r="C299" i="50"/>
  <c r="N298" i="50"/>
  <c r="M298" i="50"/>
  <c r="L298" i="50"/>
  <c r="I298" i="50"/>
  <c r="H298" i="50"/>
  <c r="G298" i="50"/>
  <c r="C298" i="50"/>
  <c r="N297" i="50"/>
  <c r="M297" i="50"/>
  <c r="L297" i="50"/>
  <c r="I297" i="50"/>
  <c r="H297" i="50"/>
  <c r="G297" i="50"/>
  <c r="C297" i="50"/>
  <c r="N296" i="50"/>
  <c r="M296" i="50"/>
  <c r="L296" i="50"/>
  <c r="I296" i="50"/>
  <c r="H296" i="50"/>
  <c r="G296" i="50"/>
  <c r="C296" i="50"/>
  <c r="N295" i="50"/>
  <c r="M295" i="50"/>
  <c r="L295" i="50"/>
  <c r="I295" i="50"/>
  <c r="H295" i="50"/>
  <c r="G295" i="50"/>
  <c r="C295" i="50"/>
  <c r="N294" i="50"/>
  <c r="M294" i="50"/>
  <c r="L294" i="50"/>
  <c r="I294" i="50"/>
  <c r="H294" i="50"/>
  <c r="G294" i="50"/>
  <c r="C294" i="50"/>
  <c r="N293" i="50"/>
  <c r="M293" i="50"/>
  <c r="L293" i="50"/>
  <c r="I293" i="50"/>
  <c r="H293" i="50"/>
  <c r="G293" i="50"/>
  <c r="C293" i="50"/>
  <c r="N292" i="50"/>
  <c r="M292" i="50"/>
  <c r="L292" i="50"/>
  <c r="I292" i="50"/>
  <c r="G292" i="50"/>
  <c r="C292" i="50"/>
  <c r="N291" i="50"/>
  <c r="M291" i="50"/>
  <c r="L291" i="50"/>
  <c r="I291" i="50"/>
  <c r="G291" i="50"/>
  <c r="C291" i="50"/>
  <c r="N290" i="50"/>
  <c r="M290" i="50"/>
  <c r="L290" i="50"/>
  <c r="I290" i="50"/>
  <c r="H290" i="50"/>
  <c r="G290" i="50"/>
  <c r="C290" i="50"/>
  <c r="N289" i="50"/>
  <c r="M289" i="50"/>
  <c r="L289" i="50"/>
  <c r="I289" i="50"/>
  <c r="H289" i="50"/>
  <c r="G289" i="50"/>
  <c r="C289" i="50"/>
  <c r="N288" i="50"/>
  <c r="M288" i="50"/>
  <c r="L288" i="50"/>
  <c r="I288" i="50"/>
  <c r="H288" i="50"/>
  <c r="G288" i="50"/>
  <c r="C288" i="50"/>
  <c r="N287" i="50"/>
  <c r="M287" i="50"/>
  <c r="L287" i="50"/>
  <c r="I287" i="50"/>
  <c r="H287" i="50"/>
  <c r="G287" i="50"/>
  <c r="C287" i="50"/>
  <c r="N286" i="50"/>
  <c r="M286" i="50"/>
  <c r="L286" i="50"/>
  <c r="I286" i="50"/>
  <c r="H286" i="50"/>
  <c r="G286" i="50"/>
  <c r="C286" i="50"/>
  <c r="N285" i="50"/>
  <c r="M285" i="50"/>
  <c r="L285" i="50"/>
  <c r="I285" i="50"/>
  <c r="H285" i="50"/>
  <c r="G285" i="50"/>
  <c r="C285" i="50"/>
  <c r="N284" i="50"/>
  <c r="M284" i="50"/>
  <c r="L284" i="50"/>
  <c r="I284" i="50"/>
  <c r="H284" i="50"/>
  <c r="G284" i="50"/>
  <c r="C284" i="50"/>
  <c r="N283" i="50"/>
  <c r="M283" i="50"/>
  <c r="L283" i="50"/>
  <c r="I283" i="50"/>
  <c r="G283" i="50"/>
  <c r="C283" i="50"/>
  <c r="N282" i="50"/>
  <c r="M282" i="50"/>
  <c r="L282" i="50"/>
  <c r="I282" i="50"/>
  <c r="H282" i="50"/>
  <c r="G282" i="50"/>
  <c r="C282" i="50"/>
  <c r="N281" i="50"/>
  <c r="M281" i="50"/>
  <c r="L281" i="50"/>
  <c r="I281" i="50"/>
  <c r="H281" i="50"/>
  <c r="G281" i="50"/>
  <c r="C281" i="50"/>
  <c r="N280" i="50"/>
  <c r="M280" i="50"/>
  <c r="L280" i="50"/>
  <c r="I280" i="50"/>
  <c r="H280" i="50"/>
  <c r="G280" i="50"/>
  <c r="C280" i="50"/>
  <c r="N279" i="50"/>
  <c r="M279" i="50"/>
  <c r="L279" i="50"/>
  <c r="I279" i="50"/>
  <c r="H279" i="50"/>
  <c r="G279" i="50"/>
  <c r="C279" i="50"/>
  <c r="N278" i="50"/>
  <c r="M278" i="50"/>
  <c r="L278" i="50"/>
  <c r="I278" i="50"/>
  <c r="H278" i="50"/>
  <c r="G278" i="50"/>
  <c r="C278" i="50"/>
  <c r="N277" i="50"/>
  <c r="M277" i="50"/>
  <c r="L277" i="50"/>
  <c r="I277" i="50"/>
  <c r="H277" i="50"/>
  <c r="G277" i="50"/>
  <c r="C277" i="50"/>
  <c r="N276" i="50"/>
  <c r="M276" i="50"/>
  <c r="L276" i="50"/>
  <c r="I276" i="50"/>
  <c r="H276" i="50"/>
  <c r="G276" i="50"/>
  <c r="C276" i="50"/>
  <c r="N275" i="50"/>
  <c r="M275" i="50"/>
  <c r="L275" i="50"/>
  <c r="I275" i="50"/>
  <c r="G275" i="50"/>
  <c r="C275" i="50"/>
  <c r="N274" i="50"/>
  <c r="M274" i="50"/>
  <c r="L274" i="50"/>
  <c r="I274" i="50"/>
  <c r="H274" i="50"/>
  <c r="G274" i="50"/>
  <c r="C274" i="50"/>
  <c r="N273" i="50"/>
  <c r="M273" i="50"/>
  <c r="L273" i="50"/>
  <c r="I273" i="50"/>
  <c r="H273" i="50"/>
  <c r="G273" i="50"/>
  <c r="C273" i="50"/>
  <c r="N272" i="50"/>
  <c r="M272" i="50"/>
  <c r="L272" i="50"/>
  <c r="I272" i="50"/>
  <c r="H272" i="50"/>
  <c r="G272" i="50"/>
  <c r="C272" i="50"/>
  <c r="N271" i="50"/>
  <c r="M271" i="50"/>
  <c r="L271" i="50"/>
  <c r="I271" i="50"/>
  <c r="H271" i="50"/>
  <c r="G271" i="50"/>
  <c r="C271" i="50"/>
  <c r="N270" i="50"/>
  <c r="M270" i="50"/>
  <c r="L270" i="50"/>
  <c r="I270" i="50"/>
  <c r="H270" i="50"/>
  <c r="G270" i="50"/>
  <c r="C270" i="50"/>
  <c r="N269" i="50"/>
  <c r="M269" i="50"/>
  <c r="L269" i="50"/>
  <c r="I269" i="50"/>
  <c r="H269" i="50"/>
  <c r="G269" i="50"/>
  <c r="C269" i="50"/>
  <c r="N268" i="50"/>
  <c r="M268" i="50"/>
  <c r="L268" i="50"/>
  <c r="I268" i="50"/>
  <c r="H268" i="50"/>
  <c r="G268" i="50"/>
  <c r="C268" i="50"/>
  <c r="N267" i="50"/>
  <c r="M267" i="50"/>
  <c r="L267" i="50"/>
  <c r="I267" i="50"/>
  <c r="G267" i="50"/>
  <c r="C267" i="50"/>
  <c r="N266" i="50"/>
  <c r="M266" i="50"/>
  <c r="L266" i="50"/>
  <c r="I266" i="50"/>
  <c r="H266" i="50"/>
  <c r="G266" i="50"/>
  <c r="C266" i="50"/>
  <c r="N265" i="50"/>
  <c r="M265" i="50"/>
  <c r="L265" i="50"/>
  <c r="I265" i="50"/>
  <c r="H265" i="50"/>
  <c r="G265" i="50"/>
  <c r="C265" i="50"/>
  <c r="N264" i="50"/>
  <c r="M264" i="50"/>
  <c r="L264" i="50"/>
  <c r="I264" i="50"/>
  <c r="H264" i="50"/>
  <c r="G264" i="50"/>
  <c r="C264" i="50"/>
  <c r="N263" i="50"/>
  <c r="M263" i="50"/>
  <c r="L263" i="50"/>
  <c r="I263" i="50"/>
  <c r="H263" i="50"/>
  <c r="G263" i="50"/>
  <c r="C263" i="50"/>
  <c r="N262" i="50"/>
  <c r="M262" i="50"/>
  <c r="L262" i="50"/>
  <c r="I262" i="50"/>
  <c r="H262" i="50"/>
  <c r="G262" i="50"/>
  <c r="C262" i="50"/>
  <c r="N261" i="50"/>
  <c r="M261" i="50"/>
  <c r="L261" i="50"/>
  <c r="I261" i="50"/>
  <c r="H261" i="50"/>
  <c r="G261" i="50"/>
  <c r="C261" i="50"/>
  <c r="N260" i="50"/>
  <c r="M260" i="50"/>
  <c r="L260" i="50"/>
  <c r="I260" i="50"/>
  <c r="H260" i="50"/>
  <c r="G260" i="50"/>
  <c r="C260" i="50"/>
  <c r="N259" i="50"/>
  <c r="M259" i="50"/>
  <c r="L259" i="50"/>
  <c r="I259" i="50"/>
  <c r="G259" i="50"/>
  <c r="C259" i="50"/>
  <c r="N258" i="50"/>
  <c r="M258" i="50"/>
  <c r="L258" i="50"/>
  <c r="I258" i="50"/>
  <c r="H258" i="50"/>
  <c r="G258" i="50"/>
  <c r="C258" i="50"/>
  <c r="N257" i="50"/>
  <c r="M257" i="50"/>
  <c r="L257" i="50"/>
  <c r="I257" i="50"/>
  <c r="H257" i="50"/>
  <c r="G257" i="50"/>
  <c r="C257" i="50"/>
  <c r="N256" i="50"/>
  <c r="M256" i="50"/>
  <c r="L256" i="50"/>
  <c r="I256" i="50"/>
  <c r="H256" i="50"/>
  <c r="G256" i="50"/>
  <c r="C256" i="50"/>
  <c r="N255" i="50"/>
  <c r="M255" i="50"/>
  <c r="L255" i="50"/>
  <c r="I255" i="50"/>
  <c r="H255" i="50"/>
  <c r="G255" i="50"/>
  <c r="C255" i="50"/>
  <c r="N254" i="50"/>
  <c r="M254" i="50"/>
  <c r="L254" i="50"/>
  <c r="I254" i="50"/>
  <c r="H254" i="50"/>
  <c r="G254" i="50"/>
  <c r="C254" i="50"/>
  <c r="N253" i="50"/>
  <c r="M253" i="50"/>
  <c r="L253" i="50"/>
  <c r="I253" i="50"/>
  <c r="H253" i="50"/>
  <c r="G253" i="50"/>
  <c r="C253" i="50"/>
  <c r="N252" i="50"/>
  <c r="M252" i="50"/>
  <c r="L252" i="50"/>
  <c r="I252" i="50"/>
  <c r="H252" i="50"/>
  <c r="G252" i="50"/>
  <c r="C252" i="50"/>
  <c r="N251" i="50"/>
  <c r="M251" i="50"/>
  <c r="L251" i="50"/>
  <c r="I251" i="50"/>
  <c r="G251" i="50"/>
  <c r="C251" i="50"/>
  <c r="N250" i="50"/>
  <c r="M250" i="50"/>
  <c r="L250" i="50"/>
  <c r="I250" i="50"/>
  <c r="H250" i="50"/>
  <c r="G250" i="50"/>
  <c r="C250" i="50"/>
  <c r="N249" i="50"/>
  <c r="M249" i="50"/>
  <c r="L249" i="50"/>
  <c r="I249" i="50"/>
  <c r="H249" i="50"/>
  <c r="G249" i="50"/>
  <c r="C249" i="50"/>
  <c r="N248" i="50"/>
  <c r="M248" i="50"/>
  <c r="L248" i="50"/>
  <c r="I248" i="50"/>
  <c r="H248" i="50"/>
  <c r="G248" i="50"/>
  <c r="C248" i="50"/>
  <c r="N247" i="50"/>
  <c r="M247" i="50"/>
  <c r="L247" i="50"/>
  <c r="I247" i="50"/>
  <c r="H247" i="50"/>
  <c r="G247" i="50"/>
  <c r="C247" i="50"/>
  <c r="N246" i="50"/>
  <c r="M246" i="50"/>
  <c r="L246" i="50"/>
  <c r="I246" i="50"/>
  <c r="H246" i="50"/>
  <c r="G246" i="50"/>
  <c r="C246" i="50"/>
  <c r="N245" i="50"/>
  <c r="M245" i="50"/>
  <c r="L245" i="50"/>
  <c r="I245" i="50"/>
  <c r="H245" i="50"/>
  <c r="G245" i="50"/>
  <c r="C245" i="50"/>
  <c r="N244" i="50"/>
  <c r="M244" i="50"/>
  <c r="L244" i="50"/>
  <c r="I244" i="50"/>
  <c r="H244" i="50"/>
  <c r="G244" i="50"/>
  <c r="C244" i="50"/>
  <c r="N243" i="50"/>
  <c r="M243" i="50"/>
  <c r="L243" i="50"/>
  <c r="I243" i="50"/>
  <c r="G243" i="50"/>
  <c r="C243" i="50"/>
  <c r="N242" i="50"/>
  <c r="M242" i="50"/>
  <c r="L242" i="50"/>
  <c r="I242" i="50"/>
  <c r="H242" i="50"/>
  <c r="G242" i="50"/>
  <c r="C242" i="50"/>
  <c r="N241" i="50"/>
  <c r="M241" i="50"/>
  <c r="L241" i="50"/>
  <c r="I241" i="50"/>
  <c r="H241" i="50"/>
  <c r="G241" i="50"/>
  <c r="C241" i="50"/>
  <c r="N240" i="50"/>
  <c r="M240" i="50"/>
  <c r="L240" i="50"/>
  <c r="I240" i="50"/>
  <c r="H240" i="50"/>
  <c r="G240" i="50"/>
  <c r="C240" i="50"/>
  <c r="N239" i="50"/>
  <c r="M239" i="50"/>
  <c r="L239" i="50"/>
  <c r="I239" i="50"/>
  <c r="H239" i="50"/>
  <c r="G239" i="50"/>
  <c r="C239" i="50"/>
  <c r="N238" i="50"/>
  <c r="M238" i="50"/>
  <c r="L238" i="50"/>
  <c r="I238" i="50"/>
  <c r="H238" i="50"/>
  <c r="G238" i="50"/>
  <c r="C238" i="50"/>
  <c r="N237" i="50"/>
  <c r="M237" i="50"/>
  <c r="L237" i="50"/>
  <c r="I237" i="50"/>
  <c r="H237" i="50"/>
  <c r="G237" i="50"/>
  <c r="C237" i="50"/>
  <c r="N236" i="50"/>
  <c r="M236" i="50"/>
  <c r="L236" i="50"/>
  <c r="I236" i="50"/>
  <c r="H236" i="50"/>
  <c r="G236" i="50"/>
  <c r="C236" i="50"/>
  <c r="N235" i="50"/>
  <c r="M235" i="50"/>
  <c r="L235" i="50"/>
  <c r="I235" i="50"/>
  <c r="H235" i="50"/>
  <c r="G235" i="50"/>
  <c r="C235" i="50"/>
  <c r="N234" i="50"/>
  <c r="M234" i="50"/>
  <c r="L234" i="50"/>
  <c r="I234" i="50"/>
  <c r="H234" i="50"/>
  <c r="G234" i="50"/>
  <c r="C234" i="50"/>
  <c r="N233" i="50"/>
  <c r="M233" i="50"/>
  <c r="L233" i="50"/>
  <c r="I233" i="50"/>
  <c r="H233" i="50"/>
  <c r="G233" i="50"/>
  <c r="C233" i="50"/>
  <c r="N232" i="50"/>
  <c r="M232" i="50"/>
  <c r="L232" i="50"/>
  <c r="I232" i="50"/>
  <c r="H232" i="50"/>
  <c r="G232" i="50"/>
  <c r="C232" i="50"/>
  <c r="N231" i="50"/>
  <c r="M231" i="50"/>
  <c r="L231" i="50"/>
  <c r="I231" i="50"/>
  <c r="H231" i="50"/>
  <c r="G231" i="50"/>
  <c r="C231" i="50"/>
  <c r="N230" i="50"/>
  <c r="M230" i="50"/>
  <c r="L230" i="50"/>
  <c r="I230" i="50"/>
  <c r="H230" i="50"/>
  <c r="G230" i="50"/>
  <c r="C230" i="50"/>
  <c r="N229" i="50"/>
  <c r="M229" i="50"/>
  <c r="L229" i="50"/>
  <c r="I229" i="50"/>
  <c r="H229" i="50"/>
  <c r="G229" i="50"/>
  <c r="C229" i="50"/>
  <c r="N228" i="50"/>
  <c r="M228" i="50"/>
  <c r="L228" i="50"/>
  <c r="I228" i="50"/>
  <c r="H228" i="50"/>
  <c r="G228" i="50"/>
  <c r="C228" i="50"/>
  <c r="N227" i="50"/>
  <c r="M227" i="50"/>
  <c r="L227" i="50"/>
  <c r="I227" i="50"/>
  <c r="H227" i="50"/>
  <c r="G227" i="50"/>
  <c r="C227" i="50"/>
  <c r="N226" i="50"/>
  <c r="M226" i="50"/>
  <c r="L226" i="50"/>
  <c r="I226" i="50"/>
  <c r="H226" i="50"/>
  <c r="G226" i="50"/>
  <c r="C226" i="50"/>
  <c r="N225" i="50"/>
  <c r="M225" i="50"/>
  <c r="L225" i="50"/>
  <c r="I225" i="50"/>
  <c r="H225" i="50"/>
  <c r="G225" i="50"/>
  <c r="C225" i="50"/>
  <c r="N224" i="50"/>
  <c r="M224" i="50"/>
  <c r="L224" i="50"/>
  <c r="I224" i="50"/>
  <c r="H224" i="50"/>
  <c r="G224" i="50"/>
  <c r="C224" i="50"/>
  <c r="N223" i="50"/>
  <c r="M223" i="50"/>
  <c r="L223" i="50"/>
  <c r="I223" i="50"/>
  <c r="H223" i="50"/>
  <c r="G223" i="50"/>
  <c r="C223" i="50"/>
  <c r="N222" i="50"/>
  <c r="M222" i="50"/>
  <c r="L222" i="50"/>
  <c r="I222" i="50"/>
  <c r="H222" i="50"/>
  <c r="G222" i="50"/>
  <c r="C222" i="50"/>
  <c r="N221" i="50"/>
  <c r="M221" i="50"/>
  <c r="L221" i="50"/>
  <c r="I221" i="50"/>
  <c r="H221" i="50"/>
  <c r="G221" i="50"/>
  <c r="C221" i="50"/>
  <c r="N220" i="50"/>
  <c r="M220" i="50"/>
  <c r="L220" i="50"/>
  <c r="I220" i="50"/>
  <c r="H220" i="50"/>
  <c r="G220" i="50"/>
  <c r="C220" i="50"/>
  <c r="N219" i="50"/>
  <c r="M219" i="50"/>
  <c r="L219" i="50"/>
  <c r="I219" i="50"/>
  <c r="H219" i="50"/>
  <c r="G219" i="50"/>
  <c r="C219" i="50"/>
  <c r="N218" i="50"/>
  <c r="M218" i="50"/>
  <c r="L218" i="50"/>
  <c r="I218" i="50"/>
  <c r="H218" i="50"/>
  <c r="G218" i="50"/>
  <c r="C218" i="50"/>
  <c r="N217" i="50"/>
  <c r="M217" i="50"/>
  <c r="L217" i="50"/>
  <c r="I217" i="50"/>
  <c r="H217" i="50"/>
  <c r="G217" i="50"/>
  <c r="C217" i="50"/>
  <c r="N216" i="50"/>
  <c r="M216" i="50"/>
  <c r="L216" i="50"/>
  <c r="I216" i="50"/>
  <c r="H216" i="50"/>
  <c r="G216" i="50"/>
  <c r="C216" i="50"/>
  <c r="N215" i="50"/>
  <c r="M215" i="50"/>
  <c r="L215" i="50"/>
  <c r="I215" i="50"/>
  <c r="H215" i="50"/>
  <c r="G215" i="50"/>
  <c r="C215" i="50"/>
  <c r="N214" i="50"/>
  <c r="M214" i="50"/>
  <c r="L214" i="50"/>
  <c r="I214" i="50"/>
  <c r="H214" i="50"/>
  <c r="G214" i="50"/>
  <c r="C214" i="50"/>
  <c r="N213" i="50"/>
  <c r="M213" i="50"/>
  <c r="L213" i="50"/>
  <c r="I213" i="50"/>
  <c r="H213" i="50"/>
  <c r="G213" i="50"/>
  <c r="C213" i="50"/>
  <c r="N212" i="50"/>
  <c r="M212" i="50"/>
  <c r="L212" i="50"/>
  <c r="I212" i="50"/>
  <c r="H212" i="50"/>
  <c r="G212" i="50"/>
  <c r="C212" i="50"/>
  <c r="N211" i="50"/>
  <c r="M211" i="50"/>
  <c r="L211" i="50"/>
  <c r="I211" i="50"/>
  <c r="H211" i="50"/>
  <c r="G211" i="50"/>
  <c r="C211" i="50"/>
  <c r="N210" i="50"/>
  <c r="M210" i="50"/>
  <c r="L210" i="50"/>
  <c r="I210" i="50"/>
  <c r="H210" i="50"/>
  <c r="G210" i="50"/>
  <c r="C210" i="50"/>
  <c r="N209" i="50"/>
  <c r="M209" i="50"/>
  <c r="L209" i="50"/>
  <c r="I209" i="50"/>
  <c r="H209" i="50"/>
  <c r="G209" i="50"/>
  <c r="C209" i="50"/>
  <c r="N208" i="50"/>
  <c r="M208" i="50"/>
  <c r="L208" i="50"/>
  <c r="I208" i="50"/>
  <c r="H208" i="50"/>
  <c r="G208" i="50"/>
  <c r="C208" i="50"/>
  <c r="N207" i="50"/>
  <c r="M207" i="50"/>
  <c r="L207" i="50"/>
  <c r="I207" i="50"/>
  <c r="H207" i="50"/>
  <c r="G207" i="50"/>
  <c r="C207" i="50"/>
  <c r="N206" i="50"/>
  <c r="M206" i="50"/>
  <c r="L206" i="50"/>
  <c r="I206" i="50"/>
  <c r="H206" i="50"/>
  <c r="G206" i="50"/>
  <c r="C206" i="50"/>
  <c r="N205" i="50"/>
  <c r="M205" i="50"/>
  <c r="L205" i="50"/>
  <c r="I205" i="50"/>
  <c r="H205" i="50"/>
  <c r="G205" i="50"/>
  <c r="C205" i="50"/>
  <c r="N204" i="50"/>
  <c r="M204" i="50"/>
  <c r="L204" i="50"/>
  <c r="I204" i="50"/>
  <c r="H204" i="50"/>
  <c r="G204" i="50"/>
  <c r="C204" i="50"/>
  <c r="N203" i="50"/>
  <c r="M203" i="50"/>
  <c r="L203" i="50"/>
  <c r="I203" i="50"/>
  <c r="H203" i="50"/>
  <c r="G203" i="50"/>
  <c r="C203" i="50"/>
  <c r="N202" i="50"/>
  <c r="M202" i="50"/>
  <c r="L202" i="50"/>
  <c r="I202" i="50"/>
  <c r="H202" i="50"/>
  <c r="G202" i="50"/>
  <c r="C202" i="50"/>
  <c r="N201" i="50"/>
  <c r="M201" i="50"/>
  <c r="L201" i="50"/>
  <c r="I201" i="50"/>
  <c r="H201" i="50"/>
  <c r="G201" i="50"/>
  <c r="C201" i="50"/>
  <c r="N200" i="50"/>
  <c r="M200" i="50"/>
  <c r="L200" i="50"/>
  <c r="I200" i="50"/>
  <c r="H200" i="50"/>
  <c r="G200" i="50"/>
  <c r="C200" i="50"/>
  <c r="N199" i="50"/>
  <c r="M199" i="50"/>
  <c r="L199" i="50"/>
  <c r="I199" i="50"/>
  <c r="H199" i="50"/>
  <c r="G199" i="50"/>
  <c r="C199" i="50"/>
  <c r="N198" i="50"/>
  <c r="M198" i="50"/>
  <c r="L198" i="50"/>
  <c r="I198" i="50"/>
  <c r="H198" i="50"/>
  <c r="G198" i="50"/>
  <c r="C198" i="50"/>
  <c r="N197" i="50"/>
  <c r="M197" i="50"/>
  <c r="L197" i="50"/>
  <c r="I197" i="50"/>
  <c r="H197" i="50"/>
  <c r="G197" i="50"/>
  <c r="C197" i="50"/>
  <c r="N196" i="50"/>
  <c r="M196" i="50"/>
  <c r="L196" i="50"/>
  <c r="I196" i="50"/>
  <c r="H196" i="50"/>
  <c r="G196" i="50"/>
  <c r="C196" i="50"/>
  <c r="N195" i="50"/>
  <c r="M195" i="50"/>
  <c r="L195" i="50"/>
  <c r="I195" i="50"/>
  <c r="H195" i="50"/>
  <c r="G195" i="50"/>
  <c r="C195" i="50"/>
  <c r="N194" i="50"/>
  <c r="M194" i="50"/>
  <c r="L194" i="50"/>
  <c r="I194" i="50"/>
  <c r="H194" i="50"/>
  <c r="G194" i="50"/>
  <c r="C194" i="50"/>
  <c r="N193" i="50"/>
  <c r="M193" i="50"/>
  <c r="L193" i="50"/>
  <c r="I193" i="50"/>
  <c r="H193" i="50"/>
  <c r="G193" i="50"/>
  <c r="C193" i="50"/>
  <c r="N192" i="50"/>
  <c r="M192" i="50"/>
  <c r="L192" i="50"/>
  <c r="I192" i="50"/>
  <c r="H192" i="50"/>
  <c r="G192" i="50"/>
  <c r="C192" i="50"/>
  <c r="N191" i="50"/>
  <c r="M191" i="50"/>
  <c r="L191" i="50"/>
  <c r="I191" i="50"/>
  <c r="H191" i="50"/>
  <c r="G191" i="50"/>
  <c r="C191" i="50"/>
  <c r="N190" i="50"/>
  <c r="M190" i="50"/>
  <c r="L190" i="50"/>
  <c r="I190" i="50"/>
  <c r="H190" i="50"/>
  <c r="G190" i="50"/>
  <c r="C190" i="50"/>
  <c r="N189" i="50"/>
  <c r="M189" i="50"/>
  <c r="L189" i="50"/>
  <c r="I189" i="50"/>
  <c r="H189" i="50"/>
  <c r="G189" i="50"/>
  <c r="C189" i="50"/>
  <c r="N188" i="50"/>
  <c r="M188" i="50"/>
  <c r="L188" i="50"/>
  <c r="I188" i="50"/>
  <c r="H188" i="50"/>
  <c r="G188" i="50"/>
  <c r="C188" i="50"/>
  <c r="N187" i="50"/>
  <c r="M187" i="50"/>
  <c r="L187" i="50"/>
  <c r="I187" i="50"/>
  <c r="H187" i="50"/>
  <c r="G187" i="50"/>
  <c r="C187" i="50"/>
  <c r="N186" i="50"/>
  <c r="M186" i="50"/>
  <c r="L186" i="50"/>
  <c r="I186" i="50"/>
  <c r="H186" i="50"/>
  <c r="G186" i="50"/>
  <c r="C186" i="50"/>
  <c r="N185" i="50"/>
  <c r="M185" i="50"/>
  <c r="L185" i="50"/>
  <c r="I185" i="50"/>
  <c r="H185" i="50"/>
  <c r="G185" i="50"/>
  <c r="C185" i="50"/>
  <c r="N184" i="50"/>
  <c r="M184" i="50"/>
  <c r="L184" i="50"/>
  <c r="I184" i="50"/>
  <c r="H184" i="50"/>
  <c r="G184" i="50"/>
  <c r="C184" i="50"/>
  <c r="N183" i="50"/>
  <c r="M183" i="50"/>
  <c r="L183" i="50"/>
  <c r="I183" i="50"/>
  <c r="H183" i="50"/>
  <c r="G183" i="50"/>
  <c r="C183" i="50"/>
  <c r="N182" i="50"/>
  <c r="M182" i="50"/>
  <c r="L182" i="50"/>
  <c r="I182" i="50"/>
  <c r="H182" i="50"/>
  <c r="G182" i="50"/>
  <c r="C182" i="50"/>
  <c r="N181" i="50"/>
  <c r="M181" i="50"/>
  <c r="L181" i="50"/>
  <c r="I181" i="50"/>
  <c r="H181" i="50"/>
  <c r="G181" i="50"/>
  <c r="C181" i="50"/>
  <c r="N180" i="50"/>
  <c r="M180" i="50"/>
  <c r="L180" i="50"/>
  <c r="I180" i="50"/>
  <c r="H180" i="50"/>
  <c r="G180" i="50"/>
  <c r="C180" i="50"/>
  <c r="N179" i="50"/>
  <c r="M179" i="50"/>
  <c r="L179" i="50"/>
  <c r="I179" i="50"/>
  <c r="H179" i="50"/>
  <c r="G179" i="50"/>
  <c r="C179" i="50"/>
  <c r="N178" i="50"/>
  <c r="M178" i="50"/>
  <c r="L178" i="50"/>
  <c r="I178" i="50"/>
  <c r="H178" i="50"/>
  <c r="G178" i="50"/>
  <c r="C178" i="50"/>
  <c r="N177" i="50"/>
  <c r="M177" i="50"/>
  <c r="L177" i="50"/>
  <c r="I177" i="50"/>
  <c r="H177" i="50"/>
  <c r="G177" i="50"/>
  <c r="C177" i="50"/>
  <c r="N176" i="50"/>
  <c r="M176" i="50"/>
  <c r="L176" i="50"/>
  <c r="I176" i="50"/>
  <c r="H176" i="50"/>
  <c r="G176" i="50"/>
  <c r="C176" i="50"/>
  <c r="N175" i="50"/>
  <c r="M175" i="50"/>
  <c r="L175" i="50"/>
  <c r="I175" i="50"/>
  <c r="H175" i="50"/>
  <c r="G175" i="50"/>
  <c r="C175" i="50"/>
  <c r="N174" i="50"/>
  <c r="M174" i="50"/>
  <c r="L174" i="50"/>
  <c r="I174" i="50"/>
  <c r="H174" i="50"/>
  <c r="G174" i="50"/>
  <c r="C174" i="50"/>
  <c r="N173" i="50"/>
  <c r="M173" i="50"/>
  <c r="L173" i="50"/>
  <c r="I173" i="50"/>
  <c r="H173" i="50"/>
  <c r="G173" i="50"/>
  <c r="C173" i="50"/>
  <c r="N172" i="50"/>
  <c r="M172" i="50"/>
  <c r="L172" i="50"/>
  <c r="I172" i="50"/>
  <c r="H172" i="50"/>
  <c r="G172" i="50"/>
  <c r="C172" i="50"/>
  <c r="N171" i="50"/>
  <c r="M171" i="50"/>
  <c r="L171" i="50"/>
  <c r="I171" i="50"/>
  <c r="H171" i="50"/>
  <c r="G171" i="50"/>
  <c r="C171" i="50"/>
  <c r="N170" i="50"/>
  <c r="M170" i="50"/>
  <c r="L170" i="50"/>
  <c r="I170" i="50"/>
  <c r="H170" i="50"/>
  <c r="G170" i="50"/>
  <c r="C170" i="50"/>
  <c r="N169" i="50"/>
  <c r="M169" i="50"/>
  <c r="L169" i="50"/>
  <c r="I169" i="50"/>
  <c r="H169" i="50"/>
  <c r="G169" i="50"/>
  <c r="C169" i="50"/>
  <c r="N168" i="50"/>
  <c r="M168" i="50"/>
  <c r="L168" i="50"/>
  <c r="I168" i="50"/>
  <c r="H168" i="50"/>
  <c r="G168" i="50"/>
  <c r="C168" i="50"/>
  <c r="N167" i="50"/>
  <c r="M167" i="50"/>
  <c r="L167" i="50"/>
  <c r="I167" i="50"/>
  <c r="H167" i="50"/>
  <c r="G167" i="50"/>
  <c r="C167" i="50"/>
  <c r="N166" i="50"/>
  <c r="M166" i="50"/>
  <c r="L166" i="50"/>
  <c r="I166" i="50"/>
  <c r="H166" i="50"/>
  <c r="G166" i="50"/>
  <c r="C166" i="50"/>
  <c r="N165" i="50"/>
  <c r="M165" i="50"/>
  <c r="L165" i="50"/>
  <c r="I165" i="50"/>
  <c r="H165" i="50"/>
  <c r="G165" i="50"/>
  <c r="C165" i="50"/>
  <c r="N164" i="50"/>
  <c r="M164" i="50"/>
  <c r="L164" i="50"/>
  <c r="I164" i="50"/>
  <c r="H164" i="50"/>
  <c r="G164" i="50"/>
  <c r="C164" i="50"/>
  <c r="N163" i="50"/>
  <c r="M163" i="50"/>
  <c r="L163" i="50"/>
  <c r="I163" i="50"/>
  <c r="H163" i="50"/>
  <c r="G163" i="50"/>
  <c r="C163" i="50"/>
  <c r="N162" i="50"/>
  <c r="M162" i="50"/>
  <c r="L162" i="50"/>
  <c r="I162" i="50"/>
  <c r="H162" i="50"/>
  <c r="G162" i="50"/>
  <c r="C162" i="50"/>
  <c r="N161" i="50"/>
  <c r="M161" i="50"/>
  <c r="L161" i="50"/>
  <c r="I161" i="50"/>
  <c r="H161" i="50"/>
  <c r="G161" i="50"/>
  <c r="C161" i="50"/>
  <c r="N160" i="50"/>
  <c r="M160" i="50"/>
  <c r="L160" i="50"/>
  <c r="I160" i="50"/>
  <c r="H160" i="50"/>
  <c r="G160" i="50"/>
  <c r="C160" i="50"/>
  <c r="N159" i="50"/>
  <c r="M159" i="50"/>
  <c r="L159" i="50"/>
  <c r="I159" i="50"/>
  <c r="H159" i="50"/>
  <c r="G159" i="50"/>
  <c r="C159" i="50"/>
  <c r="N158" i="50"/>
  <c r="M158" i="50"/>
  <c r="L158" i="50"/>
  <c r="I158" i="50"/>
  <c r="H158" i="50"/>
  <c r="G158" i="50"/>
  <c r="C158" i="50"/>
  <c r="N157" i="50"/>
  <c r="M157" i="50"/>
  <c r="L157" i="50"/>
  <c r="I157" i="50"/>
  <c r="H157" i="50"/>
  <c r="G157" i="50"/>
  <c r="C157" i="50"/>
  <c r="N156" i="50"/>
  <c r="M156" i="50"/>
  <c r="L156" i="50"/>
  <c r="I156" i="50"/>
  <c r="H156" i="50"/>
  <c r="G156" i="50"/>
  <c r="C156" i="50"/>
  <c r="N155" i="50"/>
  <c r="M155" i="50"/>
  <c r="L155" i="50"/>
  <c r="I155" i="50"/>
  <c r="H155" i="50"/>
  <c r="G155" i="50"/>
  <c r="C155" i="50"/>
  <c r="N154" i="50"/>
  <c r="M154" i="50"/>
  <c r="L154" i="50"/>
  <c r="I154" i="50"/>
  <c r="H154" i="50"/>
  <c r="G154" i="50"/>
  <c r="C154" i="50"/>
  <c r="N153" i="50"/>
  <c r="M153" i="50"/>
  <c r="L153" i="50"/>
  <c r="I153" i="50"/>
  <c r="H153" i="50"/>
  <c r="G153" i="50"/>
  <c r="C153" i="50"/>
  <c r="N152" i="50"/>
  <c r="M152" i="50"/>
  <c r="L152" i="50"/>
  <c r="I152" i="50"/>
  <c r="H152" i="50"/>
  <c r="G152" i="50"/>
  <c r="C152" i="50"/>
  <c r="N151" i="50"/>
  <c r="M151" i="50"/>
  <c r="L151" i="50"/>
  <c r="I151" i="50"/>
  <c r="H151" i="50"/>
  <c r="G151" i="50"/>
  <c r="C151" i="50"/>
  <c r="N150" i="50"/>
  <c r="M150" i="50"/>
  <c r="L150" i="50"/>
  <c r="I150" i="50"/>
  <c r="H150" i="50"/>
  <c r="G150" i="50"/>
  <c r="C150" i="50"/>
  <c r="N149" i="50"/>
  <c r="M149" i="50"/>
  <c r="L149" i="50"/>
  <c r="I149" i="50"/>
  <c r="H149" i="50"/>
  <c r="G149" i="50"/>
  <c r="C149" i="50"/>
  <c r="N148" i="50"/>
  <c r="M148" i="50"/>
  <c r="L148" i="50"/>
  <c r="I148" i="50"/>
  <c r="H148" i="50"/>
  <c r="G148" i="50"/>
  <c r="C148" i="50"/>
  <c r="N147" i="50"/>
  <c r="M147" i="50"/>
  <c r="L147" i="50"/>
  <c r="I147" i="50"/>
  <c r="H147" i="50"/>
  <c r="G147" i="50"/>
  <c r="C147" i="50"/>
  <c r="N146" i="50"/>
  <c r="M146" i="50"/>
  <c r="L146" i="50"/>
  <c r="I146" i="50"/>
  <c r="H146" i="50"/>
  <c r="G146" i="50"/>
  <c r="C146" i="50"/>
  <c r="N145" i="50"/>
  <c r="M145" i="50"/>
  <c r="L145" i="50"/>
  <c r="I145" i="50"/>
  <c r="H145" i="50"/>
  <c r="G145" i="50"/>
  <c r="C145" i="50"/>
  <c r="N144" i="50"/>
  <c r="M144" i="50"/>
  <c r="L144" i="50"/>
  <c r="I144" i="50"/>
  <c r="H144" i="50"/>
  <c r="G144" i="50"/>
  <c r="C144" i="50"/>
  <c r="N143" i="50"/>
  <c r="M143" i="50"/>
  <c r="L143" i="50"/>
  <c r="I143" i="50"/>
  <c r="H143" i="50"/>
  <c r="G143" i="50"/>
  <c r="C143" i="50"/>
  <c r="N142" i="50"/>
  <c r="M142" i="50"/>
  <c r="L142" i="50"/>
  <c r="I142" i="50"/>
  <c r="H142" i="50"/>
  <c r="G142" i="50"/>
  <c r="C142" i="50"/>
  <c r="N141" i="50"/>
  <c r="M141" i="50"/>
  <c r="L141" i="50"/>
  <c r="I141" i="50"/>
  <c r="H141" i="50"/>
  <c r="G141" i="50"/>
  <c r="C141" i="50"/>
  <c r="N140" i="50"/>
  <c r="M140" i="50"/>
  <c r="L140" i="50"/>
  <c r="I140" i="50"/>
  <c r="H140" i="50"/>
  <c r="G140" i="50"/>
  <c r="C140" i="50"/>
  <c r="N139" i="50"/>
  <c r="M139" i="50"/>
  <c r="L139" i="50"/>
  <c r="I139" i="50"/>
  <c r="H139" i="50"/>
  <c r="G139" i="50"/>
  <c r="C139" i="50"/>
  <c r="N138" i="50"/>
  <c r="M138" i="50"/>
  <c r="L138" i="50"/>
  <c r="I138" i="50"/>
  <c r="H138" i="50"/>
  <c r="G138" i="50"/>
  <c r="C138" i="50"/>
  <c r="N137" i="50"/>
  <c r="M137" i="50"/>
  <c r="L137" i="50"/>
  <c r="I137" i="50"/>
  <c r="H137" i="50"/>
  <c r="G137" i="50"/>
  <c r="C137" i="50"/>
  <c r="N136" i="50"/>
  <c r="M136" i="50"/>
  <c r="L136" i="50"/>
  <c r="I136" i="50"/>
  <c r="H136" i="50"/>
  <c r="G136" i="50"/>
  <c r="C136" i="50"/>
  <c r="N135" i="50"/>
  <c r="M135" i="50"/>
  <c r="L135" i="50"/>
  <c r="I135" i="50"/>
  <c r="H135" i="50"/>
  <c r="G135" i="50"/>
  <c r="C135" i="50"/>
  <c r="N134" i="50"/>
  <c r="M134" i="50"/>
  <c r="L134" i="50"/>
  <c r="I134" i="50"/>
  <c r="H134" i="50"/>
  <c r="G134" i="50"/>
  <c r="C134" i="50"/>
  <c r="N133" i="50"/>
  <c r="M133" i="50"/>
  <c r="L133" i="50"/>
  <c r="I133" i="50"/>
  <c r="H133" i="50"/>
  <c r="G133" i="50"/>
  <c r="C133" i="50"/>
  <c r="N132" i="50"/>
  <c r="M132" i="50"/>
  <c r="L132" i="50"/>
  <c r="I132" i="50"/>
  <c r="H132" i="50"/>
  <c r="G132" i="50"/>
  <c r="C132" i="50"/>
  <c r="N131" i="50"/>
  <c r="M131" i="50"/>
  <c r="L131" i="50"/>
  <c r="I131" i="50"/>
  <c r="H131" i="50"/>
  <c r="G131" i="50"/>
  <c r="C131" i="50"/>
  <c r="N130" i="50"/>
  <c r="M130" i="50"/>
  <c r="L130" i="50"/>
  <c r="I130" i="50"/>
  <c r="H130" i="50"/>
  <c r="G130" i="50"/>
  <c r="C130" i="50"/>
  <c r="N129" i="50"/>
  <c r="M129" i="50"/>
  <c r="L129" i="50"/>
  <c r="I129" i="50"/>
  <c r="H129" i="50"/>
  <c r="G129" i="50"/>
  <c r="C129" i="50"/>
  <c r="N128" i="50"/>
  <c r="M128" i="50"/>
  <c r="L128" i="50"/>
  <c r="I128" i="50"/>
  <c r="H128" i="50"/>
  <c r="G128" i="50"/>
  <c r="C128" i="50"/>
  <c r="N127" i="50"/>
  <c r="M127" i="50"/>
  <c r="L127" i="50"/>
  <c r="I127" i="50"/>
  <c r="H127" i="50"/>
  <c r="G127" i="50"/>
  <c r="C127" i="50"/>
  <c r="N126" i="50"/>
  <c r="M126" i="50"/>
  <c r="L126" i="50"/>
  <c r="I126" i="50"/>
  <c r="H126" i="50"/>
  <c r="G126" i="50"/>
  <c r="C126" i="50"/>
  <c r="N125" i="50"/>
  <c r="M125" i="50"/>
  <c r="L125" i="50"/>
  <c r="I125" i="50"/>
  <c r="H125" i="50"/>
  <c r="G125" i="50"/>
  <c r="C125" i="50"/>
  <c r="N124" i="50"/>
  <c r="M124" i="50"/>
  <c r="L124" i="50"/>
  <c r="I124" i="50"/>
  <c r="H124" i="50"/>
  <c r="G124" i="50"/>
  <c r="C124" i="50"/>
  <c r="N123" i="50"/>
  <c r="M123" i="50"/>
  <c r="L123" i="50"/>
  <c r="I123" i="50"/>
  <c r="H123" i="50"/>
  <c r="G123" i="50"/>
  <c r="C123" i="50"/>
  <c r="N122" i="50"/>
  <c r="M122" i="50"/>
  <c r="L122" i="50"/>
  <c r="I122" i="50"/>
  <c r="H122" i="50"/>
  <c r="G122" i="50"/>
  <c r="C122" i="50"/>
  <c r="N121" i="50"/>
  <c r="M121" i="50"/>
  <c r="L121" i="50"/>
  <c r="I121" i="50"/>
  <c r="H121" i="50"/>
  <c r="G121" i="50"/>
  <c r="C121" i="50"/>
  <c r="N120" i="50"/>
  <c r="M120" i="50"/>
  <c r="L120" i="50"/>
  <c r="I120" i="50"/>
  <c r="H120" i="50"/>
  <c r="G120" i="50"/>
  <c r="C120" i="50"/>
  <c r="N119" i="50"/>
  <c r="M119" i="50"/>
  <c r="L119" i="50"/>
  <c r="I119" i="50"/>
  <c r="H119" i="50"/>
  <c r="G119" i="50"/>
  <c r="C119" i="50"/>
  <c r="N118" i="50"/>
  <c r="M118" i="50"/>
  <c r="L118" i="50"/>
  <c r="I118" i="50"/>
  <c r="H118" i="50"/>
  <c r="G118" i="50"/>
  <c r="C118" i="50"/>
  <c r="N117" i="50"/>
  <c r="M117" i="50"/>
  <c r="L117" i="50"/>
  <c r="I117" i="50"/>
  <c r="H117" i="50"/>
  <c r="G117" i="50"/>
  <c r="C117" i="50"/>
  <c r="N116" i="50"/>
  <c r="M116" i="50"/>
  <c r="L116" i="50"/>
  <c r="I116" i="50"/>
  <c r="H116" i="50"/>
  <c r="G116" i="50"/>
  <c r="C116" i="50"/>
  <c r="N115" i="50"/>
  <c r="M115" i="50"/>
  <c r="L115" i="50"/>
  <c r="I115" i="50"/>
  <c r="H115" i="50"/>
  <c r="G115" i="50"/>
  <c r="C115" i="50"/>
  <c r="N114" i="50"/>
  <c r="M114" i="50"/>
  <c r="L114" i="50"/>
  <c r="I114" i="50"/>
  <c r="H114" i="50"/>
  <c r="G114" i="50"/>
  <c r="C114" i="50"/>
  <c r="N113" i="50"/>
  <c r="M113" i="50"/>
  <c r="L113" i="50"/>
  <c r="I113" i="50"/>
  <c r="H113" i="50"/>
  <c r="G113" i="50"/>
  <c r="C113" i="50"/>
  <c r="N112" i="50"/>
  <c r="M112" i="50"/>
  <c r="L112" i="50"/>
  <c r="I112" i="50"/>
  <c r="H112" i="50"/>
  <c r="G112" i="50"/>
  <c r="C112" i="50"/>
  <c r="N111" i="50"/>
  <c r="M111" i="50"/>
  <c r="L111" i="50"/>
  <c r="I111" i="50"/>
  <c r="H111" i="50"/>
  <c r="G111" i="50"/>
  <c r="C111" i="50"/>
  <c r="N110" i="50"/>
  <c r="M110" i="50"/>
  <c r="L110" i="50"/>
  <c r="I110" i="50"/>
  <c r="H110" i="50"/>
  <c r="G110" i="50"/>
  <c r="C110" i="50"/>
  <c r="N109" i="50"/>
  <c r="M109" i="50"/>
  <c r="L109" i="50"/>
  <c r="I109" i="50"/>
  <c r="H109" i="50"/>
  <c r="G109" i="50"/>
  <c r="C109" i="50"/>
  <c r="N108" i="50"/>
  <c r="M108" i="50"/>
  <c r="L108" i="50"/>
  <c r="I108" i="50"/>
  <c r="H108" i="50"/>
  <c r="G108" i="50"/>
  <c r="C108" i="50"/>
  <c r="N107" i="50"/>
  <c r="M107" i="50"/>
  <c r="L107" i="50"/>
  <c r="I107" i="50"/>
  <c r="H107" i="50"/>
  <c r="G107" i="50"/>
  <c r="C107" i="50"/>
  <c r="N106" i="50"/>
  <c r="M106" i="50"/>
  <c r="L106" i="50"/>
  <c r="I106" i="50"/>
  <c r="H106" i="50"/>
  <c r="G106" i="50"/>
  <c r="C106" i="50"/>
  <c r="N105" i="50"/>
  <c r="M105" i="50"/>
  <c r="L105" i="50"/>
  <c r="I105" i="50"/>
  <c r="H105" i="50"/>
  <c r="G105" i="50"/>
  <c r="C105" i="50"/>
  <c r="N104" i="50"/>
  <c r="M104" i="50"/>
  <c r="L104" i="50"/>
  <c r="I104" i="50"/>
  <c r="H104" i="50"/>
  <c r="G104" i="50"/>
  <c r="C104" i="50"/>
  <c r="N103" i="50"/>
  <c r="M103" i="50"/>
  <c r="L103" i="50"/>
  <c r="I103" i="50"/>
  <c r="H103" i="50"/>
  <c r="G103" i="50"/>
  <c r="C103" i="50"/>
  <c r="N102" i="50"/>
  <c r="M102" i="50"/>
  <c r="L102" i="50"/>
  <c r="I102" i="50"/>
  <c r="H102" i="50"/>
  <c r="G102" i="50"/>
  <c r="C102" i="50"/>
  <c r="N101" i="50"/>
  <c r="M101" i="50"/>
  <c r="L101" i="50"/>
  <c r="I101" i="50"/>
  <c r="H101" i="50"/>
  <c r="G101" i="50"/>
  <c r="C101" i="50"/>
  <c r="N100" i="50"/>
  <c r="M100" i="50"/>
  <c r="L100" i="50"/>
  <c r="I100" i="50"/>
  <c r="H100" i="50"/>
  <c r="G100" i="50"/>
  <c r="C100" i="50"/>
  <c r="N99" i="50"/>
  <c r="M99" i="50"/>
  <c r="L99" i="50"/>
  <c r="I99" i="50"/>
  <c r="H99" i="50"/>
  <c r="G99" i="50"/>
  <c r="C99" i="50"/>
  <c r="N98" i="50"/>
  <c r="M98" i="50"/>
  <c r="L98" i="50"/>
  <c r="I98" i="50"/>
  <c r="H98" i="50"/>
  <c r="G98" i="50"/>
  <c r="C98" i="50"/>
  <c r="N97" i="50"/>
  <c r="M97" i="50"/>
  <c r="L97" i="50"/>
  <c r="I97" i="50"/>
  <c r="H97" i="50"/>
  <c r="G97" i="50"/>
  <c r="C97" i="50"/>
  <c r="N96" i="50"/>
  <c r="M96" i="50"/>
  <c r="L96" i="50"/>
  <c r="I96" i="50"/>
  <c r="H96" i="50"/>
  <c r="G96" i="50"/>
  <c r="C96" i="50"/>
  <c r="N95" i="50"/>
  <c r="M95" i="50"/>
  <c r="L95" i="50"/>
  <c r="I95" i="50"/>
  <c r="H95" i="50"/>
  <c r="G95" i="50"/>
  <c r="C95" i="50"/>
  <c r="N94" i="50"/>
  <c r="M94" i="50"/>
  <c r="L94" i="50"/>
  <c r="I94" i="50"/>
  <c r="H94" i="50"/>
  <c r="G94" i="50"/>
  <c r="C94" i="50"/>
  <c r="N93" i="50"/>
  <c r="M93" i="50"/>
  <c r="L93" i="50"/>
  <c r="I93" i="50"/>
  <c r="H93" i="50"/>
  <c r="G93" i="50"/>
  <c r="C93" i="50"/>
  <c r="N92" i="50"/>
  <c r="M92" i="50"/>
  <c r="L92" i="50"/>
  <c r="I92" i="50"/>
  <c r="H92" i="50"/>
  <c r="G92" i="50"/>
  <c r="C92" i="50"/>
  <c r="N91" i="50"/>
  <c r="M91" i="50"/>
  <c r="L91" i="50"/>
  <c r="I91" i="50"/>
  <c r="H91" i="50"/>
  <c r="G91" i="50"/>
  <c r="C91" i="50"/>
  <c r="N90" i="50"/>
  <c r="M90" i="50"/>
  <c r="L90" i="50"/>
  <c r="I90" i="50"/>
  <c r="H90" i="50"/>
  <c r="G90" i="50"/>
  <c r="C90" i="50"/>
  <c r="N89" i="50"/>
  <c r="M89" i="50"/>
  <c r="L89" i="50"/>
  <c r="I89" i="50"/>
  <c r="H89" i="50"/>
  <c r="G89" i="50"/>
  <c r="C89" i="50"/>
  <c r="N88" i="50"/>
  <c r="M88" i="50"/>
  <c r="L88" i="50"/>
  <c r="I88" i="50"/>
  <c r="H88" i="50"/>
  <c r="G88" i="50"/>
  <c r="C88" i="50"/>
  <c r="N87" i="50"/>
  <c r="M87" i="50"/>
  <c r="L87" i="50"/>
  <c r="I87" i="50"/>
  <c r="H87" i="50"/>
  <c r="G87" i="50"/>
  <c r="C87" i="50"/>
  <c r="N86" i="50"/>
  <c r="M86" i="50"/>
  <c r="L86" i="50"/>
  <c r="I86" i="50"/>
  <c r="H86" i="50"/>
  <c r="G86" i="50"/>
  <c r="C86" i="50"/>
  <c r="N85" i="50"/>
  <c r="M85" i="50"/>
  <c r="L85" i="50"/>
  <c r="I85" i="50"/>
  <c r="H85" i="50"/>
  <c r="G85" i="50"/>
  <c r="C85" i="50"/>
  <c r="N84" i="50"/>
  <c r="M84" i="50"/>
  <c r="L84" i="50"/>
  <c r="I84" i="50"/>
  <c r="H84" i="50"/>
  <c r="G84" i="50"/>
  <c r="C84" i="50"/>
  <c r="N83" i="50"/>
  <c r="M83" i="50"/>
  <c r="L83" i="50"/>
  <c r="I83" i="50"/>
  <c r="H83" i="50"/>
  <c r="G83" i="50"/>
  <c r="C83" i="50"/>
  <c r="N82" i="50"/>
  <c r="M82" i="50"/>
  <c r="L82" i="50"/>
  <c r="I82" i="50"/>
  <c r="H82" i="50"/>
  <c r="G82" i="50"/>
  <c r="C82" i="50"/>
  <c r="N81" i="50"/>
  <c r="M81" i="50"/>
  <c r="L81" i="50"/>
  <c r="I81" i="50"/>
  <c r="H81" i="50"/>
  <c r="G81" i="50"/>
  <c r="C81" i="50"/>
  <c r="N80" i="50"/>
  <c r="M80" i="50"/>
  <c r="L80" i="50"/>
  <c r="I80" i="50"/>
  <c r="H80" i="50"/>
  <c r="G80" i="50"/>
  <c r="C80" i="50"/>
  <c r="N79" i="50"/>
  <c r="M79" i="50"/>
  <c r="L79" i="50"/>
  <c r="I79" i="50"/>
  <c r="H79" i="50"/>
  <c r="G79" i="50"/>
  <c r="C79" i="50"/>
  <c r="N78" i="50"/>
  <c r="M78" i="50"/>
  <c r="L78" i="50"/>
  <c r="I78" i="50"/>
  <c r="H78" i="50"/>
  <c r="G78" i="50"/>
  <c r="C78" i="50"/>
  <c r="N77" i="50"/>
  <c r="M77" i="50"/>
  <c r="L77" i="50"/>
  <c r="I77" i="50"/>
  <c r="H77" i="50"/>
  <c r="G77" i="50"/>
  <c r="C77" i="50"/>
  <c r="N76" i="50"/>
  <c r="M76" i="50"/>
  <c r="L76" i="50"/>
  <c r="I76" i="50"/>
  <c r="H76" i="50"/>
  <c r="G76" i="50"/>
  <c r="C76" i="50"/>
  <c r="N75" i="50"/>
  <c r="M75" i="50"/>
  <c r="L75" i="50"/>
  <c r="I75" i="50"/>
  <c r="H75" i="50"/>
  <c r="G75" i="50"/>
  <c r="C75" i="50"/>
  <c r="N74" i="50"/>
  <c r="M74" i="50"/>
  <c r="L74" i="50"/>
  <c r="I74" i="50"/>
  <c r="H74" i="50"/>
  <c r="G74" i="50"/>
  <c r="C74" i="50"/>
  <c r="N73" i="50"/>
  <c r="M73" i="50"/>
  <c r="L73" i="50"/>
  <c r="I73" i="50"/>
  <c r="H73" i="50"/>
  <c r="G73" i="50"/>
  <c r="C73" i="50"/>
  <c r="N72" i="50"/>
  <c r="M72" i="50"/>
  <c r="L72" i="50"/>
  <c r="I72" i="50"/>
  <c r="H72" i="50"/>
  <c r="G72" i="50"/>
  <c r="C72" i="50"/>
  <c r="N71" i="50"/>
  <c r="M71" i="50"/>
  <c r="L71" i="50"/>
  <c r="I71" i="50"/>
  <c r="H71" i="50"/>
  <c r="G71" i="50"/>
  <c r="C71" i="50"/>
  <c r="N70" i="50"/>
  <c r="M70" i="50"/>
  <c r="L70" i="50"/>
  <c r="I70" i="50"/>
  <c r="H70" i="50"/>
  <c r="G70" i="50"/>
  <c r="C70" i="50"/>
  <c r="N69" i="50"/>
  <c r="M69" i="50"/>
  <c r="L69" i="50"/>
  <c r="I69" i="50"/>
  <c r="H69" i="50"/>
  <c r="G69" i="50"/>
  <c r="C69" i="50"/>
  <c r="N68" i="50"/>
  <c r="M68" i="50"/>
  <c r="L68" i="50"/>
  <c r="I68" i="50"/>
  <c r="H68" i="50"/>
  <c r="G68" i="50"/>
  <c r="C68" i="50"/>
  <c r="N67" i="50"/>
  <c r="M67" i="50"/>
  <c r="L67" i="50"/>
  <c r="I67" i="50"/>
  <c r="H67" i="50"/>
  <c r="G67" i="50"/>
  <c r="C67" i="50"/>
  <c r="N66" i="50"/>
  <c r="M66" i="50"/>
  <c r="L66" i="50"/>
  <c r="I66" i="50"/>
  <c r="H66" i="50"/>
  <c r="G66" i="50"/>
  <c r="C66" i="50"/>
  <c r="N65" i="50"/>
  <c r="M65" i="50"/>
  <c r="L65" i="50"/>
  <c r="I65" i="50"/>
  <c r="H65" i="50"/>
  <c r="G65" i="50"/>
  <c r="C65" i="50"/>
  <c r="N64" i="50"/>
  <c r="M64" i="50"/>
  <c r="L64" i="50"/>
  <c r="I64" i="50"/>
  <c r="H64" i="50"/>
  <c r="G64" i="50"/>
  <c r="C64" i="50"/>
  <c r="N63" i="50"/>
  <c r="M63" i="50"/>
  <c r="L63" i="50"/>
  <c r="I63" i="50"/>
  <c r="H63" i="50"/>
  <c r="G63" i="50"/>
  <c r="C63" i="50"/>
  <c r="N62" i="50"/>
  <c r="M62" i="50"/>
  <c r="L62" i="50"/>
  <c r="I62" i="50"/>
  <c r="H62" i="50"/>
  <c r="G62" i="50"/>
  <c r="C62" i="50"/>
  <c r="N61" i="50"/>
  <c r="M61" i="50"/>
  <c r="L61" i="50"/>
  <c r="I61" i="50"/>
  <c r="H61" i="50"/>
  <c r="G61" i="50"/>
  <c r="C61" i="50"/>
  <c r="N60" i="50"/>
  <c r="M60" i="50"/>
  <c r="L60" i="50"/>
  <c r="I60" i="50"/>
  <c r="H60" i="50"/>
  <c r="G60" i="50"/>
  <c r="C60" i="50"/>
  <c r="N59" i="50"/>
  <c r="M59" i="50"/>
  <c r="L59" i="50"/>
  <c r="I59" i="50"/>
  <c r="H59" i="50"/>
  <c r="G59" i="50"/>
  <c r="C59" i="50"/>
  <c r="N58" i="50"/>
  <c r="M58" i="50"/>
  <c r="L58" i="50"/>
  <c r="I58" i="50"/>
  <c r="H58" i="50"/>
  <c r="G58" i="50"/>
  <c r="C58" i="50"/>
  <c r="N57" i="50"/>
  <c r="M57" i="50"/>
  <c r="L57" i="50"/>
  <c r="I57" i="50"/>
  <c r="H57" i="50"/>
  <c r="G57" i="50"/>
  <c r="C57" i="50"/>
  <c r="N56" i="50"/>
  <c r="M56" i="50"/>
  <c r="L56" i="50"/>
  <c r="I56" i="50"/>
  <c r="H56" i="50"/>
  <c r="G56" i="50"/>
  <c r="C56" i="50"/>
  <c r="N55" i="50"/>
  <c r="M55" i="50"/>
  <c r="L55" i="50"/>
  <c r="I55" i="50"/>
  <c r="H55" i="50"/>
  <c r="G55" i="50"/>
  <c r="C55" i="50"/>
  <c r="N54" i="50"/>
  <c r="M54" i="50"/>
  <c r="L54" i="50"/>
  <c r="I54" i="50"/>
  <c r="H54" i="50"/>
  <c r="G54" i="50"/>
  <c r="C54" i="50"/>
  <c r="N53" i="50"/>
  <c r="M53" i="50"/>
  <c r="L53" i="50"/>
  <c r="I53" i="50"/>
  <c r="H53" i="50"/>
  <c r="G53" i="50"/>
  <c r="C53" i="50"/>
  <c r="N52" i="50"/>
  <c r="M52" i="50"/>
  <c r="L52" i="50"/>
  <c r="I52" i="50"/>
  <c r="H52" i="50"/>
  <c r="G52" i="50"/>
  <c r="C52" i="50"/>
  <c r="N51" i="50"/>
  <c r="M51" i="50"/>
  <c r="L51" i="50"/>
  <c r="I51" i="50"/>
  <c r="H51" i="50"/>
  <c r="G51" i="50"/>
  <c r="C51" i="50"/>
  <c r="N50" i="50"/>
  <c r="M50" i="50"/>
  <c r="L50" i="50"/>
  <c r="I50" i="50"/>
  <c r="H50" i="50"/>
  <c r="G50" i="50"/>
  <c r="C50" i="50"/>
  <c r="N49" i="50"/>
  <c r="M49" i="50"/>
  <c r="L49" i="50"/>
  <c r="I49" i="50"/>
  <c r="H49" i="50"/>
  <c r="G49" i="50"/>
  <c r="C49" i="50"/>
  <c r="N48" i="50"/>
  <c r="M48" i="50"/>
  <c r="L48" i="50"/>
  <c r="I48" i="50"/>
  <c r="H48" i="50"/>
  <c r="G48" i="50"/>
  <c r="C48" i="50"/>
  <c r="N47" i="50"/>
  <c r="M47" i="50"/>
  <c r="L47" i="50"/>
  <c r="I47" i="50"/>
  <c r="H47" i="50"/>
  <c r="G47" i="50"/>
  <c r="C47" i="50"/>
  <c r="N46" i="50"/>
  <c r="M46" i="50"/>
  <c r="L46" i="50"/>
  <c r="I46" i="50"/>
  <c r="H46" i="50"/>
  <c r="G46" i="50"/>
  <c r="C46" i="50"/>
  <c r="N45" i="50"/>
  <c r="M45" i="50"/>
  <c r="L45" i="50"/>
  <c r="I45" i="50"/>
  <c r="H45" i="50"/>
  <c r="G45" i="50"/>
  <c r="C45" i="50"/>
  <c r="N44" i="50"/>
  <c r="M44" i="50"/>
  <c r="L44" i="50"/>
  <c r="I44" i="50"/>
  <c r="H44" i="50"/>
  <c r="G44" i="50"/>
  <c r="C44" i="50"/>
  <c r="N43" i="50"/>
  <c r="M43" i="50"/>
  <c r="L43" i="50"/>
  <c r="I43" i="50"/>
  <c r="H43" i="50"/>
  <c r="G43" i="50"/>
  <c r="C43" i="50"/>
  <c r="N42" i="50"/>
  <c r="M42" i="50"/>
  <c r="L42" i="50"/>
  <c r="I42" i="50"/>
  <c r="H42" i="50"/>
  <c r="G42" i="50"/>
  <c r="C42" i="50"/>
  <c r="N41" i="50"/>
  <c r="M41" i="50"/>
  <c r="L41" i="50"/>
  <c r="I41" i="50"/>
  <c r="H41" i="50"/>
  <c r="G41" i="50"/>
  <c r="C41" i="50"/>
  <c r="N40" i="50"/>
  <c r="M40" i="50"/>
  <c r="L40" i="50"/>
  <c r="I40" i="50"/>
  <c r="H40" i="50"/>
  <c r="G40" i="50"/>
  <c r="C40" i="50"/>
  <c r="N39" i="50"/>
  <c r="M39" i="50"/>
  <c r="L39" i="50"/>
  <c r="I39" i="50"/>
  <c r="H39" i="50"/>
  <c r="G39" i="50"/>
  <c r="C39" i="50"/>
  <c r="N38" i="50"/>
  <c r="M38" i="50"/>
  <c r="L38" i="50"/>
  <c r="I38" i="50"/>
  <c r="H38" i="50"/>
  <c r="G38" i="50"/>
  <c r="C38" i="50"/>
  <c r="N37" i="50"/>
  <c r="M37" i="50"/>
  <c r="L37" i="50"/>
  <c r="I37" i="50"/>
  <c r="H37" i="50"/>
  <c r="G37" i="50"/>
  <c r="C37" i="50"/>
  <c r="N36" i="50"/>
  <c r="M36" i="50"/>
  <c r="L36" i="50"/>
  <c r="I36" i="50"/>
  <c r="H36" i="50"/>
  <c r="G36" i="50"/>
  <c r="C36" i="50"/>
  <c r="N35" i="50"/>
  <c r="M35" i="50"/>
  <c r="L35" i="50"/>
  <c r="I35" i="50"/>
  <c r="H35" i="50"/>
  <c r="G35" i="50"/>
  <c r="C35" i="50"/>
  <c r="N34" i="50"/>
  <c r="M34" i="50"/>
  <c r="L34" i="50"/>
  <c r="I34" i="50"/>
  <c r="H34" i="50"/>
  <c r="G34" i="50"/>
  <c r="C34" i="50"/>
  <c r="N33" i="50"/>
  <c r="M33" i="50"/>
  <c r="L33" i="50"/>
  <c r="I33" i="50"/>
  <c r="H33" i="50"/>
  <c r="G33" i="50"/>
  <c r="C33" i="50"/>
  <c r="N32" i="50"/>
  <c r="M32" i="50"/>
  <c r="L32" i="50"/>
  <c r="I32" i="50"/>
  <c r="H32" i="50"/>
  <c r="G32" i="50"/>
  <c r="C32" i="50"/>
  <c r="N31" i="50"/>
  <c r="M31" i="50"/>
  <c r="L31" i="50"/>
  <c r="I31" i="50"/>
  <c r="H31" i="50"/>
  <c r="G31" i="50"/>
  <c r="C31" i="50"/>
  <c r="N30" i="50"/>
  <c r="M30" i="50"/>
  <c r="L30" i="50"/>
  <c r="I30" i="50"/>
  <c r="H30" i="50"/>
  <c r="G30" i="50"/>
  <c r="C30" i="50"/>
  <c r="N29" i="50"/>
  <c r="M29" i="50"/>
  <c r="L29" i="50"/>
  <c r="I29" i="50"/>
  <c r="H29" i="50"/>
  <c r="G29" i="50"/>
  <c r="C29" i="50"/>
  <c r="N28" i="50"/>
  <c r="M28" i="50"/>
  <c r="L28" i="50"/>
  <c r="I28" i="50"/>
  <c r="H28" i="50"/>
  <c r="G28" i="50"/>
  <c r="C28" i="50"/>
  <c r="N27" i="50"/>
  <c r="M27" i="50"/>
  <c r="L27" i="50"/>
  <c r="I27" i="50"/>
  <c r="H27" i="50"/>
  <c r="G27" i="50"/>
  <c r="C27" i="50"/>
  <c r="N26" i="50"/>
  <c r="M26" i="50"/>
  <c r="L26" i="50"/>
  <c r="I26" i="50"/>
  <c r="H26" i="50"/>
  <c r="G26" i="50"/>
  <c r="C26" i="50"/>
  <c r="N25" i="50"/>
  <c r="M25" i="50"/>
  <c r="L25" i="50"/>
  <c r="I25" i="50"/>
  <c r="H25" i="50"/>
  <c r="G25" i="50"/>
  <c r="C25" i="50"/>
  <c r="N24" i="50"/>
  <c r="M24" i="50"/>
  <c r="L24" i="50"/>
  <c r="I24" i="50"/>
  <c r="H24" i="50"/>
  <c r="G24" i="50"/>
  <c r="C24" i="50"/>
  <c r="N23" i="50"/>
  <c r="M23" i="50"/>
  <c r="L23" i="50"/>
  <c r="I23" i="50"/>
  <c r="H23" i="50"/>
  <c r="G23" i="50"/>
  <c r="C23" i="50"/>
  <c r="N22" i="50"/>
  <c r="M22" i="50"/>
  <c r="L22" i="50"/>
  <c r="I22" i="50"/>
  <c r="H22" i="50"/>
  <c r="G22" i="50"/>
  <c r="C22" i="50"/>
  <c r="N21" i="50"/>
  <c r="M21" i="50"/>
  <c r="L21" i="50"/>
  <c r="I21" i="50"/>
  <c r="H21" i="50"/>
  <c r="G21" i="50"/>
  <c r="C21" i="50"/>
  <c r="N20" i="50"/>
  <c r="M20" i="50"/>
  <c r="L20" i="50"/>
  <c r="I20" i="50"/>
  <c r="H20" i="50"/>
  <c r="G20" i="50"/>
  <c r="C20" i="50"/>
  <c r="N19" i="50"/>
  <c r="M19" i="50"/>
  <c r="L19" i="50"/>
  <c r="I19" i="50"/>
  <c r="H19" i="50"/>
  <c r="G19" i="50"/>
  <c r="C19" i="50"/>
  <c r="N18" i="50"/>
  <c r="M18" i="50"/>
  <c r="L18" i="50"/>
  <c r="I18" i="50"/>
  <c r="H18" i="50"/>
  <c r="G18" i="50"/>
  <c r="C18" i="50"/>
  <c r="N17" i="50"/>
  <c r="M17" i="50"/>
  <c r="L17" i="50"/>
  <c r="I17" i="50"/>
  <c r="H17" i="50"/>
  <c r="G17" i="50"/>
  <c r="C17" i="50"/>
  <c r="N16" i="50"/>
  <c r="M16" i="50"/>
  <c r="L16" i="50"/>
  <c r="I16" i="50"/>
  <c r="H16" i="50"/>
  <c r="G16" i="50"/>
  <c r="C16" i="50"/>
  <c r="N15" i="50"/>
  <c r="M15" i="50"/>
  <c r="L15" i="50"/>
  <c r="I15" i="50"/>
  <c r="H15" i="50"/>
  <c r="G15" i="50"/>
  <c r="C15" i="50"/>
  <c r="N14" i="50"/>
  <c r="M14" i="50"/>
  <c r="L14" i="50"/>
  <c r="I14" i="50"/>
  <c r="H14" i="50"/>
  <c r="G14" i="50"/>
  <c r="C14" i="50"/>
  <c r="N13" i="50"/>
  <c r="M13" i="50"/>
  <c r="L13" i="50"/>
  <c r="I13" i="50"/>
  <c r="H13" i="50"/>
  <c r="G13" i="50"/>
  <c r="C13" i="50"/>
  <c r="N12" i="50"/>
  <c r="M12" i="50"/>
  <c r="L12" i="50"/>
  <c r="I12" i="50"/>
  <c r="H12" i="50"/>
  <c r="G12" i="50"/>
  <c r="C12" i="50"/>
  <c r="N11" i="50"/>
  <c r="M11" i="50"/>
  <c r="L11" i="50"/>
  <c r="I11" i="50"/>
  <c r="H11" i="50"/>
  <c r="G11" i="50"/>
  <c r="C11" i="50"/>
  <c r="N10" i="50"/>
  <c r="M10" i="50"/>
  <c r="L10" i="50"/>
  <c r="I10" i="50"/>
  <c r="H10" i="50"/>
  <c r="G10" i="50"/>
  <c r="C10" i="50"/>
  <c r="H4" i="50"/>
  <c r="H3" i="50"/>
  <c r="H392" i="50" l="1"/>
  <c r="H301" i="50"/>
  <c r="H309" i="50"/>
  <c r="H317" i="50"/>
  <c r="H325" i="50"/>
  <c r="H333" i="50"/>
  <c r="H341" i="50"/>
  <c r="H349" i="50"/>
  <c r="H357" i="50"/>
  <c r="H365" i="50"/>
  <c r="H381" i="50"/>
  <c r="H292" i="50"/>
  <c r="H300" i="50"/>
  <c r="H308" i="50"/>
  <c r="H316" i="50"/>
  <c r="H324" i="50"/>
  <c r="H340" i="50"/>
  <c r="H348" i="50"/>
  <c r="H356" i="50"/>
  <c r="H364" i="50"/>
  <c r="H380" i="50"/>
  <c r="H243" i="50"/>
  <c r="H251" i="50"/>
  <c r="H259" i="50"/>
  <c r="H267" i="50"/>
  <c r="H275" i="50"/>
  <c r="H283" i="50"/>
  <c r="H291" i="50"/>
  <c r="H299" i="50"/>
  <c r="H307" i="50"/>
  <c r="H315" i="50"/>
  <c r="H323" i="50"/>
  <c r="H339" i="50"/>
  <c r="H347" i="50"/>
  <c r="H355" i="50"/>
  <c r="H363" i="50"/>
  <c r="H379" i="50"/>
  <c r="H403" i="50"/>
  <c r="E406" i="50"/>
  <c r="J406" i="50"/>
  <c r="R66" i="3" l="1"/>
  <c r="R66" i="2"/>
  <c r="B15" i="11"/>
  <c r="F15" i="11" s="1"/>
  <c r="C15" i="11"/>
  <c r="D15" i="11"/>
  <c r="E15" i="11"/>
  <c r="H15" i="11"/>
  <c r="I15" i="11"/>
  <c r="B42" i="5"/>
  <c r="C42" i="5"/>
  <c r="F42" i="5" s="1"/>
  <c r="D42" i="5"/>
  <c r="G42" i="5" s="1"/>
  <c r="E42" i="5"/>
  <c r="H42" i="5"/>
  <c r="I42" i="5"/>
  <c r="B21" i="5"/>
  <c r="C21" i="5"/>
  <c r="F21" i="5" s="1"/>
  <c r="D21" i="5"/>
  <c r="E21" i="5"/>
  <c r="H21" i="5"/>
  <c r="I21" i="5"/>
  <c r="B16" i="19"/>
  <c r="C16" i="19"/>
  <c r="D16" i="19"/>
  <c r="E16" i="19"/>
  <c r="H16" i="19"/>
  <c r="I16" i="19"/>
  <c r="C36" i="18"/>
  <c r="D36" i="18"/>
  <c r="G36" i="18" s="1"/>
  <c r="E36" i="18"/>
  <c r="F36" i="18"/>
  <c r="H36" i="18" s="1"/>
  <c r="I36" i="18"/>
  <c r="J36" i="18"/>
  <c r="K36" i="18"/>
  <c r="L36" i="18"/>
  <c r="B31" i="17"/>
  <c r="C31" i="17"/>
  <c r="D31" i="17"/>
  <c r="E31" i="17"/>
  <c r="F31" i="17"/>
  <c r="H31" i="17"/>
  <c r="I31" i="17"/>
  <c r="B66" i="16"/>
  <c r="C66" i="16"/>
  <c r="D66" i="16"/>
  <c r="E66" i="16"/>
  <c r="H66" i="16"/>
  <c r="I66" i="16"/>
  <c r="G66" i="16" s="1"/>
  <c r="J66" i="16"/>
  <c r="K66" i="16"/>
  <c r="L66" i="16"/>
  <c r="M66" i="16"/>
  <c r="P66" i="16"/>
  <c r="Q66" i="16"/>
  <c r="O66" i="16" s="1"/>
  <c r="J10" i="12"/>
  <c r="J11" i="12"/>
  <c r="J12" i="12"/>
  <c r="J13" i="12"/>
  <c r="J14" i="12"/>
  <c r="J15" i="12"/>
  <c r="J16" i="12"/>
  <c r="J17" i="12"/>
  <c r="K10" i="12"/>
  <c r="K11" i="12"/>
  <c r="K12" i="12"/>
  <c r="K13" i="12"/>
  <c r="K14" i="12"/>
  <c r="K15" i="12"/>
  <c r="K16" i="12"/>
  <c r="K17" i="12"/>
  <c r="D260" i="36"/>
  <c r="E260" i="36"/>
  <c r="F260" i="36"/>
  <c r="G260" i="36"/>
  <c r="D259" i="35"/>
  <c r="E259" i="35"/>
  <c r="H259" i="35" s="1"/>
  <c r="F259" i="35"/>
  <c r="G259" i="35"/>
  <c r="D261" i="10"/>
  <c r="E261" i="10"/>
  <c r="F261" i="10"/>
  <c r="I261" i="10" s="1"/>
  <c r="G261" i="10"/>
  <c r="B16" i="13"/>
  <c r="D9" i="13" s="1"/>
  <c r="C16" i="13"/>
  <c r="E13" i="13" s="1"/>
  <c r="F16" i="13"/>
  <c r="H9" i="13" s="1"/>
  <c r="G16" i="13"/>
  <c r="I13" i="13" s="1"/>
  <c r="E10" i="13"/>
  <c r="E14" i="13"/>
  <c r="I10" i="13"/>
  <c r="J8" i="13"/>
  <c r="J9" i="13"/>
  <c r="J10" i="13"/>
  <c r="J11" i="13"/>
  <c r="J12" i="13"/>
  <c r="J13" i="13"/>
  <c r="J14" i="13"/>
  <c r="J15" i="13"/>
  <c r="C344" i="8"/>
  <c r="J261" i="10" s="1"/>
  <c r="D344" i="8"/>
  <c r="G344" i="8" s="1"/>
  <c r="E344" i="8"/>
  <c r="F344" i="8"/>
  <c r="I344" i="8"/>
  <c r="J344" i="8"/>
  <c r="K344" i="8"/>
  <c r="L344" i="8"/>
  <c r="H344" i="8" l="1"/>
  <c r="I8" i="13"/>
  <c r="E12" i="13"/>
  <c r="I15" i="13"/>
  <c r="E11" i="13"/>
  <c r="I260" i="36"/>
  <c r="M259" i="35"/>
  <c r="I9" i="13"/>
  <c r="I12" i="13"/>
  <c r="I11" i="13"/>
  <c r="E9" i="13"/>
  <c r="H261" i="10"/>
  <c r="G21" i="5"/>
  <c r="J259" i="35"/>
  <c r="M260" i="36"/>
  <c r="G15" i="11"/>
  <c r="H12" i="13"/>
  <c r="M261" i="10"/>
  <c r="L260" i="36"/>
  <c r="I14" i="13"/>
  <c r="H8" i="13"/>
  <c r="E8" i="13"/>
  <c r="L261" i="10"/>
  <c r="L259" i="35"/>
  <c r="F66" i="16"/>
  <c r="E15" i="13"/>
  <c r="D12" i="13"/>
  <c r="G31" i="17"/>
  <c r="G16" i="19"/>
  <c r="N66" i="16"/>
  <c r="D8" i="13"/>
  <c r="I259" i="35"/>
  <c r="J260" i="36"/>
  <c r="F16" i="19"/>
  <c r="K260" i="36"/>
  <c r="H260" i="36"/>
  <c r="K259" i="35"/>
  <c r="K261" i="10"/>
  <c r="H14" i="13"/>
  <c r="H10" i="13"/>
  <c r="D14" i="13"/>
  <c r="D10" i="13"/>
  <c r="H15" i="13"/>
  <c r="H13" i="13"/>
  <c r="H11" i="13"/>
  <c r="D15" i="13"/>
  <c r="D13" i="13"/>
  <c r="D11" i="13"/>
  <c r="G22" i="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Q18" i="10"/>
  <c r="P18" i="10"/>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8" i="12" l="1"/>
  <c r="D11" i="12" l="1"/>
  <c r="D13" i="12"/>
  <c r="D15" i="12"/>
  <c r="D17" i="12"/>
  <c r="D10" i="12"/>
  <c r="D12" i="12"/>
  <c r="D14" i="12"/>
  <c r="D16" i="12"/>
  <c r="G18" i="12" l="1"/>
  <c r="F18" i="12"/>
  <c r="C18" i="12"/>
  <c r="D18" i="12"/>
  <c r="E11" i="12" l="1"/>
  <c r="E13" i="12"/>
  <c r="E15" i="12"/>
  <c r="E17" i="12"/>
  <c r="E10" i="12"/>
  <c r="E12" i="12"/>
  <c r="E14" i="12"/>
  <c r="E16" i="12"/>
  <c r="I11" i="12"/>
  <c r="I13" i="12"/>
  <c r="I15" i="12"/>
  <c r="I17" i="12"/>
  <c r="I10" i="12"/>
  <c r="I12" i="12"/>
  <c r="I14" i="12"/>
  <c r="I16" i="12"/>
  <c r="H11" i="12"/>
  <c r="H13" i="12"/>
  <c r="H15" i="12"/>
  <c r="H17" i="12"/>
  <c r="H10" i="12"/>
  <c r="H12" i="12"/>
  <c r="H14" i="12"/>
  <c r="H16" i="12"/>
  <c r="H18" i="12"/>
  <c r="J18" i="12"/>
  <c r="E18" i="12"/>
  <c r="I18" i="12"/>
  <c r="K18"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8" i="12"/>
  <c r="F8" i="12"/>
  <c r="C8" i="12"/>
  <c r="B8"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8" i="12"/>
  <c r="K8" i="12"/>
  <c r="E8" i="12"/>
  <c r="J8"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8" i="12"/>
  <c r="H8"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G26" i="1"/>
  <c r="F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description="Nyreg Bussar (&gt; 10 ton)"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
  </connection>
  <connection id="2" xr16:uid="{00000000-0015-0000-FFFF-FFFF01000000}" keepAlive="1" name="bdsql12 BDnewRegistrations getAggBussAlla" description="Nyreg Bussar (all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ALLA"/>
  </connection>
  <connection id="3" xr16:uid="{00000000-0015-0000-FFFF-FFFF02000000}" keepAlive="1" name="bdsql12 BDnewRegistrations getAggBussEL" description="Nyreg el-buss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BussLB 3,EL"/>
  </connection>
  <connection id="4" xr16:uid="{00000000-0015-0000-FFFF-FFFF03000000}" keepAlive="1" name="bdsql12 BDnewRegistrations getAggFysJur" description="Nyreg PB fördelade på fysiska och juridiska persone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FysJur 1"/>
  </connection>
  <connection id="5" xr16:uid="{00000000-0015-0000-FFFF-FFFF04000000}" keepAlive="1" name="bdsql12 BDnewRegistrations getAggGAModels" description="Nyreg PB GA-list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GAModels 1"/>
  </connection>
  <connection id="6" xr16:uid="{00000000-0015-0000-FFFF-FFFF06000000}" keepAlive="1" name="bdsql12 BDnewRegistrations getAggLB" description="Nyreg tunga LB (&gt; 16 ton)"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TLB"/>
  </connection>
  <connection id="7" xr16:uid="{00000000-0015-0000-FFFF-FFFF07000000}" keepAlive="1" name="bdsql12 BDnewRegistrations getAggLBbyWeigth" description="Nyreg LB per viktklass" type="5" refreshedVersion="6"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LBbyWeigth 2"/>
  </connection>
  <connection id="8" xr16:uid="{00000000-0015-0000-FFFF-FFFF08000000}" keepAlive="1" name="bdsql12 BDnewRegistrations getAggMakes2" description="Nyreg lätta LB per fabrikat"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akes 2"/>
  </connection>
  <connection id="9" xr16:uid="{00000000-0015-0000-FFFF-FFFF09000000}" keepAlive="1" name="bdsql12 BDnewRegistrations getAggModels PB" description="Nyreg PB Rankinglista"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Models 1"/>
  </connection>
  <connection id="10" xr16:uid="{00000000-0015-0000-FFFF-FFFF0A000000}" keepAlive="1" name="bdsql12 BDnewRegistrations getAggModelsFuelType LLB" description="Nyreg eldrivna lätta lastbilar"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getAggModelsFuelType 2,EL"/>
  </connection>
  <connection id="11" xr16:uid="{00000000-0015-0000-FFFF-FFFF0C000000}" keepAlive="1" name="bdsql12 BDnewRegistrations getAggPBCO2EmissionsWLTP" description="Nyreg PB fördelat på CO2 WLTP"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CO2EmissionsWLTP 1"/>
  </connection>
  <connection id="12" xr16:uid="{00000000-0015-0000-FFFF-FFFF0D000000}" keepAlive="1" name="bdsql12 BDnewRegistrations getAggPBFuelTypes" description="Nyreg PB per drivmedel"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PBFuelTypes 1"/>
  </connection>
  <connection id="13" xr16:uid="{00000000-0015-0000-FFFF-FFFF0E000000}" keepAlive="1" name="bdsql12 BDnewRegistrations getAggRechargeModelsII"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4" xr16:uid="{00000000-0015-0000-FFFF-FFFF0F000000}" keepAlive="1" name="bdsql12 BDnewRegistrations getAggRechargeModelsII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5" xr16:uid="{00000000-0015-0000-FFFF-FFFF10000000}" keepAlive="1" name="bdsql12 BDnewRegistrations getAggRechargeModelsII11" description="Nyreg laddbara PB" type="5" refreshedVersion="4"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exec getAggRechargeModels 1"/>
  </connection>
  <connection id="16" xr16:uid="{00000000-0015-0000-FFFF-FFFF11000000}" keepAlive="1" name="bdsql12 BDnewRegistrations getAggTotalCO2" description="Calculated average CO2 emissions for all PB's" type="5" refreshedVersion="4" minRefreshableVersion="3" savePassword="1" saveData="1">
    <dbPr connection="Provider=SQLOLEDB.1;Password=cloetta;Persist Security Info=True;User ID=bdweb;Initial Catalog=BDnewRegistrations;Data Source=bdsql19;Use Procedure for Prepare=1;Auto Translate=True;Packet Size=4096;Workstation ID=JAV-X1-CARBON-I;Use Encryption for Data=False;Tag with column collation when possible=False" command="getAggTotalCO2 1"/>
  </connection>
  <connection id="17" xr16:uid="{00000000-0015-0000-FFFF-FFFF12000000}" keepAlive="1" name="bdsql12 Transportstyrelsen sumPrelNyregImportBUSS" description="Privatimporterade bussar" type="5" refreshedVersion="4"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BUSS"/>
  </connection>
  <connection id="18" xr16:uid="{00000000-0015-0000-FFFF-FFFF13000000}" keepAlive="1" name="bdsql12 Transportstyrelsen sumPrelNyregImportPBTotaler" description="Privatimport PB endast totaler" type="5" refreshedVersion="4" minRefreshableVersion="3" savePassword="1" saveData="1">
    <dbPr connection="Provider=SQLOLEDB.1;Password=cloetta;Persist Security Info=True;User ID=bdweb;Initial Catalog=Transportstyrelsen;Data Source=bdsql19;Use Procedure for Prepare=1;Auto Translate=True;Packet Size=4096;Workstation ID=JAV-X1-CARBON-I;Use Encryption for Data=False;Tag with column collation when possible=False" command="exec sumPrelNyregImportPBTotaler"/>
  </connection>
</connections>
</file>

<file path=xl/sharedStrings.xml><?xml version="1.0" encoding="utf-8"?>
<sst xmlns="http://schemas.openxmlformats.org/spreadsheetml/2006/main" count="3029" uniqueCount="1291">
  <si>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</si>
  <si>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</si>
  <si>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</si>
  <si>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</si>
  <si>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</si>
  <si>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</si>
  <si>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</si>
  <si>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</si>
  <si>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</si>
  <si>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</si>
  <si>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</si>
  <si>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</si>
  <si>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</si>
  <si>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</si>
  <si>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</si>
  <si>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</si>
  <si>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</si>
  <si>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</si>
  <si>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</si>
  <si>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</si>
  <si>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</si>
  <si>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</si>
  <si>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</si>
  <si>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</si>
  <si>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</si>
  <si>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</si>
  <si>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</si>
  <si>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</si>
  <si>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</si>
  <si>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</si>
  <si>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</si>
  <si>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</si>
  <si>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</si>
  <si>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</si>
  <si>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</si>
  <si>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</si>
  <si>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</si>
  <si>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</si>
  <si>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</si>
  <si>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</si>
  <si>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</si>
  <si>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</si>
  <si>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</si>
  <si>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</si>
  <si>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</si>
  <si>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</si>
  <si>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</si>
  <si>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</si>
  <si>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</si>
  <si>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</si>
  <si>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</si>
  <si>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</si>
  <si>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</si>
  <si>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</si>
  <si>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</si>
  <si>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</si>
  <si>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</si>
  <si>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</si>
  <si>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</si>
  <si>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</si>
  <si>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</si>
  <si>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</si>
  <si>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</si>
  <si>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</si>
  <si>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</si>
  <si>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</si>
  <si>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</si>
  <si>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</si>
  <si>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</si>
  <si>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</si>
  <si>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</si>
  <si>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</si>
  <si>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</si>
  <si>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</si>
  <si>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</si>
  <si>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</si>
  <si>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</si>
  <si>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</si>
  <si>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</si>
  <si>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</si>
  <si>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</si>
  <si>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</si>
  <si>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</si>
  <si>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</si>
  <si>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</si>
  <si>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</si>
  <si>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</si>
  <si>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</si>
  <si>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</si>
  <si>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</si>
  <si>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</si>
  <si>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</si>
  <si>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</si>
  <si>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</si>
  <si>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</si>
  <si>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</si>
  <si>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</si>
  <si>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</si>
  <si>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</si>
  <si>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</si>
  <si>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</si>
  <si>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</si>
  <si>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</si>
  <si>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</si>
  <si>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</si>
  <si>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</si>
  <si>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</si>
  <si>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</si>
  <si>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</si>
  <si>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</si>
  <si>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</si>
  <si>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</si>
  <si>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</si>
  <si>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</si>
  <si>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</si>
  <si>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</si>
  <si>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</si>
  <si>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</si>
  <si>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</si>
  <si>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</si>
  <si>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</si>
  <si>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</si>
  <si>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</si>
  <si>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</si>
  <si>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</si>
  <si>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</si>
  <si>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</si>
  <si>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</si>
  <si>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</si>
  <si>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</si>
  <si>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</si>
  <si>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</si>
  <si>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</si>
  <si>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</si>
  <si>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</si>
  <si>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</si>
  <si>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</si>
  <si>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</si>
  <si>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</si>
  <si>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</si>
  <si>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</si>
  <si>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</si>
  <si>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</si>
  <si>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</si>
  <si>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</si>
  <si>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</si>
  <si>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</si>
  <si>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</si>
  <si>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</si>
  <si>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</si>
  <si>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</si>
  <si>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</si>
  <si>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</si>
  <si>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</si>
  <si>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</si>
  <si>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</si>
  <si>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</si>
  <si>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</si>
  <si>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</si>
  <si>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</si>
  <si>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</si>
  <si>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</si>
  <si>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</si>
  <si>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</si>
  <si>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</si>
  <si>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</si>
  <si>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</si>
  <si>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</si>
  <si>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</si>
  <si>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</si>
  <si>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</si>
  <si>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</si>
  <si>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</si>
  <si>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</si>
  <si>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</si>
  <si>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</si>
  <si>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</si>
  <si>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</si>
  <si>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</si>
  <si>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</si>
  <si>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</si>
  <si>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</si>
  <si>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</si>
  <si>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</si>
  <si>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</si>
  <si>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</si>
  <si>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</si>
  <si>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</si>
  <si>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</si>
  <si>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</si>
  <si>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</si>
  <si>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</si>
  <si>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</si>
  <si>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</si>
  <si>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</si>
  <si>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</si>
  <si>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</si>
  <si>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</si>
  <si>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</si>
  <si>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</si>
  <si>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</si>
  <si>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</si>
  <si>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</si>
  <si>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</si>
  <si>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</si>
  <si>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</si>
  <si>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</si>
  <si>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</si>
  <si>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</si>
  <si>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</si>
  <si>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</si>
  <si>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</si>
  <si>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</si>
  <si>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</si>
  <si>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</si>
  <si>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</si>
  <si>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</si>
  <si>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</si>
  <si>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</si>
  <si>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</si>
  <si>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</si>
  <si>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</si>
  <si>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</si>
  <si>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</si>
  <si>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</si>
  <si>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</si>
  <si>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</si>
  <si>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</si>
  <si>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</si>
  <si>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</si>
  <si>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</si>
  <si>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</si>
  <si>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</si>
  <si>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</si>
  <si>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</si>
  <si>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</si>
  <si>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</si>
  <si>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</si>
  <si>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</si>
  <si>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</si>
  <si>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</si>
  <si>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</si>
  <si>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</si>
  <si>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</si>
  <si>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</si>
  <si>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</si>
  <si>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</si>
  <si>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</si>
  <si>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</si>
  <si>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</si>
  <si>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</si>
  <si>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</si>
  <si>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</si>
  <si>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</si>
  <si>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</si>
  <si>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</si>
  <si>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</si>
  <si>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</si>
  <si>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</si>
  <si>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</si>
  <si>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</si>
  <si>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</si>
  <si>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</si>
  <si>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</si>
  <si>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</si>
  <si>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</si>
  <si>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</si>
  <si>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</si>
  <si>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</si>
  <si>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</si>
  <si>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</si>
  <si>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</si>
  <si>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</si>
  <si>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</si>
  <si>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</si>
  <si>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</si>
  <si>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</si>
  <si>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</si>
  <si>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</si>
  <si>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</si>
  <si>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</si>
  <si>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</si>
  <si>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</si>
  <si>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</si>
  <si>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</si>
  <si>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</si>
  <si>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</si>
  <si>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</si>
  <si>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</si>
  <si>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</si>
  <si>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</si>
  <si>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</si>
  <si>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</si>
  <si>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</si>
  <si>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</si>
  <si>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</si>
  <si>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</si>
  <si>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</si>
  <si>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</si>
  <si>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</si>
  <si>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</si>
  <si>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</si>
  <si>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</si>
  <si>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</si>
  <si>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</si>
  <si>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</si>
  <si>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</si>
  <si>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</si>
  <si>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</si>
  <si>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</si>
  <si>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</si>
  <si>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</si>
  <si>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</si>
  <si>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</si>
  <si>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</si>
  <si>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</si>
  <si>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</si>
  <si>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</si>
  <si>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</si>
  <si>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</si>
  <si>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</si>
  <si>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</si>
  <si>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</si>
  <si>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</si>
  <si>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</si>
  <si>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</si>
  <si>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</si>
  <si>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</si>
  <si>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</si>
  <si>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</si>
  <si>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</si>
  <si>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</si>
  <si>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</si>
  <si>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</si>
  <si>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</si>
  <si>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</si>
  <si>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</si>
  <si>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</si>
  <si>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</si>
  <si>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</si>
  <si>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</si>
  <si>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</si>
  <si>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</si>
  <si>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</si>
  <si>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</si>
  <si>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</si>
  <si>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</si>
  <si>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</si>
  <si>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</si>
  <si>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</si>
  <si>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</si>
  <si>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</si>
  <si>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</si>
  <si>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</si>
  <si>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</si>
  <si>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</si>
  <si>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</si>
  <si>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</si>
  <si>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</si>
  <si>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</si>
  <si>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</si>
  <si>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</si>
  <si>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</si>
  <si>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</si>
  <si>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</si>
  <si>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</si>
  <si>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</si>
  <si>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</si>
  <si>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</si>
  <si>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</si>
  <si>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</si>
  <si>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</si>
  <si>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</si>
  <si>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</si>
  <si>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</si>
  <si>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</si>
  <si>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</si>
  <si>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</si>
  <si>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</si>
  <si>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</si>
  <si>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noRegs</t>
  </si>
  <si>
    <t>avgCO2</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</si>
  <si>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</si>
  <si>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</si>
  <si>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</si>
  <si>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</si>
  <si>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</si>
  <si>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</si>
  <si>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</si>
  <si>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</si>
  <si>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</si>
  <si>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</si>
  <si>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</si>
  <si>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</si>
  <si>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</si>
  <si>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</si>
  <si>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</si>
  <si>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</si>
  <si>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</si>
  <si>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</si>
  <si>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</si>
  <si>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</si>
  <si>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</si>
  <si>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</si>
  <si>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</si>
  <si>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</si>
  <si>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</si>
  <si>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</si>
  <si>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</si>
  <si>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</si>
  <si>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</si>
  <si>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</si>
  <si>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</si>
  <si>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</si>
  <si>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</si>
  <si>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</si>
  <si>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</si>
  <si>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</si>
  <si>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</si>
  <si>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</si>
  <si>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</si>
  <si>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</si>
  <si>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</si>
  <si>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</si>
  <si>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</si>
  <si>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</si>
  <si>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</si>
  <si>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</si>
  <si>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</si>
  <si>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</si>
  <si>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</si>
  <si>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</si>
  <si>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</si>
  <si>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</si>
  <si>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</si>
  <si>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</si>
  <si>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</si>
  <si>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</si>
  <si>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</si>
  <si>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</si>
  <si>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</si>
  <si>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</si>
  <si>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</si>
  <si>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</si>
  <si>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</si>
  <si>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</si>
  <si>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</si>
  <si>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</si>
  <si>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</si>
  <si>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</si>
  <si>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</si>
  <si>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</si>
  <si>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</si>
  <si>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</si>
  <si>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</si>
  <si>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</si>
  <si>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</si>
  <si>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</si>
  <si>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</si>
  <si>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</si>
  <si>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</si>
  <si>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</si>
  <si>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</si>
  <si>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</si>
  <si>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</si>
  <si>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</si>
  <si>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</si>
  <si>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</si>
  <si>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</si>
  <si>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</si>
  <si>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</si>
  <si>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</si>
  <si>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</si>
  <si>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</si>
  <si>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</si>
  <si>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</si>
  <si>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</si>
  <si>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</si>
  <si>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</si>
  <si>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</si>
  <si>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</si>
  <si>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</si>
  <si>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</si>
  <si>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</si>
  <si>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</si>
  <si>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</si>
  <si>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</si>
  <si>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</si>
  <si>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</si>
  <si>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</si>
  <si>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</si>
  <si>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</si>
  <si>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</si>
  <si>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</si>
  <si>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</si>
  <si>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</si>
  <si>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</si>
  <si>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</si>
  <si>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</si>
  <si>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</si>
  <si>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</si>
  <si>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</si>
  <si>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</si>
  <si>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</si>
  <si>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</si>
  <si>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</si>
  <si>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</si>
  <si>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</si>
  <si>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</si>
  <si>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</si>
  <si>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</si>
  <si>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</si>
  <si>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</si>
  <si>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</si>
  <si>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</si>
  <si>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</si>
  <si>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</si>
  <si>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</si>
  <si>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</si>
  <si>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</si>
  <si>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</si>
  <si>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</si>
  <si>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</si>
  <si>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</si>
  <si>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</si>
  <si>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</si>
  <si>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</si>
  <si>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</si>
  <si>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</si>
  <si>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</si>
  <si>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</si>
  <si>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</si>
  <si>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</si>
  <si>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</si>
  <si>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</si>
  <si>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</si>
  <si>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</si>
  <si>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</si>
  <si>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</si>
  <si>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</si>
  <si>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</si>
  <si>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</si>
  <si>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</si>
  <si>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</si>
  <si>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</si>
  <si>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</si>
  <si>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</si>
  <si>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</si>
  <si>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</si>
  <si>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</si>
  <si>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</si>
  <si>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</si>
  <si>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</si>
  <si>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</si>
  <si>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</si>
  <si>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</si>
  <si>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</si>
  <si>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</si>
  <si>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</si>
  <si>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</si>
  <si>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</si>
  <si>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</si>
  <si>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</si>
  <si>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</si>
  <si>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</si>
  <si>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</si>
  <si>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</si>
  <si>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</si>
  <si>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</si>
  <si>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</si>
  <si>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</si>
  <si>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</si>
  <si>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</si>
  <si>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</si>
  <si>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</si>
  <si>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</si>
  <si>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</si>
  <si>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</si>
  <si>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</si>
  <si>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</si>
  <si>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</si>
  <si>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</si>
  <si>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</si>
  <si>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</si>
  <si>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</si>
  <si>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</si>
  <si>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</si>
  <si>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</si>
  <si>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</si>
  <si>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</si>
  <si>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</si>
  <si>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</si>
  <si>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</si>
  <si>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</si>
  <si>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</si>
  <si>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</si>
  <si>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</si>
  <si>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</si>
  <si>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</si>
  <si>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</si>
  <si>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</si>
  <si>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</si>
  <si>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</si>
  <si>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</si>
  <si>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</si>
  <si>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</si>
  <si>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</si>
  <si>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</si>
  <si>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</si>
  <si>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</si>
  <si>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</si>
  <si>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</si>
  <si>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</si>
  <si>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</si>
  <si>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</si>
  <si>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</si>
  <si>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</si>
  <si>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</si>
  <si>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</si>
  <si>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</si>
  <si>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</si>
  <si>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</si>
  <si>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</si>
  <si>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</si>
  <si>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</si>
  <si>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</si>
  <si>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</si>
  <si>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</si>
  <si>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</si>
  <si>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</si>
  <si>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</si>
  <si>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</si>
  <si>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</si>
  <si>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</si>
  <si>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</si>
  <si>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</si>
  <si>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</si>
  <si>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</si>
  <si>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</si>
  <si>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</si>
  <si>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</si>
  <si>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</si>
  <si>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</si>
  <si>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</si>
  <si>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</si>
  <si>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</si>
  <si>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</si>
  <si>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</si>
  <si>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</si>
  <si>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</si>
  <si>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</si>
  <si>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</si>
  <si>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</si>
  <si>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</si>
  <si>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</si>
  <si>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</si>
  <si>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</si>
  <si>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</si>
  <si>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</si>
  <si>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</si>
  <si>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</si>
  <si>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</si>
  <si>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</si>
  <si>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</si>
  <si>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</si>
  <si>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</si>
  <si>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</si>
  <si>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</si>
  <si>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</si>
  <si>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</si>
  <si>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</si>
  <si>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</si>
  <si>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</si>
  <si>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</si>
  <si>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</si>
  <si>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</si>
  <si>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</si>
  <si>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</si>
  <si>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</si>
  <si>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</si>
  <si>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</si>
  <si>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</si>
  <si>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</si>
  <si>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</si>
  <si>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</si>
  <si>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</si>
  <si>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</si>
  <si>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</si>
  <si>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</si>
  <si>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</si>
  <si>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</si>
  <si>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</si>
  <si>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</si>
  <si>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</si>
  <si>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</si>
  <si>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</si>
  <si>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</si>
  <si>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</si>
  <si>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</si>
  <si>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</si>
  <si>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</si>
  <si>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</si>
  <si>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</si>
  <si>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</si>
  <si>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</si>
  <si>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</si>
  <si>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</si>
  <si>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</si>
  <si>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</si>
  <si>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</si>
  <si>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</si>
  <si>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</si>
  <si>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</si>
  <si>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</si>
  <si>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</si>
  <si>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</si>
  <si>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</si>
  <si>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</si>
  <si>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</si>
  <si>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</si>
  <si>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</si>
  <si>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</si>
  <si>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</si>
  <si>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</si>
  <si>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</si>
  <si>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</si>
  <si>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</si>
  <si>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</si>
  <si>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</si>
  <si>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</si>
  <si>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</si>
  <si>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</si>
  <si>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</si>
  <si>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</si>
  <si>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</si>
  <si>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</si>
  <si>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</si>
  <si>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</si>
  <si>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</si>
  <si>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</si>
  <si>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</si>
  <si>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</si>
  <si>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</si>
  <si>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</si>
  <si>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</si>
  <si>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</si>
  <si>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</si>
  <si>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</si>
  <si>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</si>
  <si>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</si>
  <si>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</si>
  <si>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</si>
  <si>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</si>
  <si>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</si>
  <si>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</si>
  <si>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</si>
  <si>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</si>
  <si>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</si>
  <si>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</si>
  <si>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</si>
  <si>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</si>
  <si>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</si>
  <si>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</si>
  <si>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</si>
  <si>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</si>
  <si>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</si>
  <si>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</si>
  <si>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</si>
  <si>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</si>
  <si>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</si>
  <si>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</si>
  <si>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</si>
  <si>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</si>
  <si>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</si>
  <si>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</si>
  <si>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</si>
  <si>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</si>
  <si>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</si>
  <si>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</si>
  <si>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</si>
  <si>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</si>
  <si>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</si>
  <si>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</si>
  <si>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</si>
  <si>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</si>
  <si>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</si>
  <si>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</si>
  <si>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</si>
  <si>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</si>
  <si>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</si>
  <si>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</si>
  <si>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</si>
  <si>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</si>
  <si>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</si>
  <si>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</si>
  <si>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</si>
  <si>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</si>
  <si>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</si>
  <si>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</si>
  <si>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</si>
  <si>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</si>
  <si>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</si>
  <si>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</si>
  <si>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</si>
  <si>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</si>
  <si>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</si>
  <si>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</si>
  <si>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</si>
  <si>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</si>
  <si>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</si>
  <si>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</si>
  <si>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</si>
  <si>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</si>
  <si>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</si>
  <si>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</si>
  <si>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</si>
  <si>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</si>
  <si>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</si>
  <si>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</si>
  <si>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</si>
  <si>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</si>
  <si>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</si>
  <si>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</si>
  <si>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</si>
  <si>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</si>
  <si>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</si>
  <si>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</si>
  <si>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</si>
  <si>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</si>
  <si>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</si>
  <si>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</si>
  <si>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</si>
  <si>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</si>
  <si>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</si>
  <si>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</si>
  <si>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</si>
  <si>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</si>
  <si>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</si>
  <si>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</si>
  <si>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</si>
  <si>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</si>
  <si>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</si>
  <si>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</si>
  <si>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</si>
  <si>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</si>
  <si>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</si>
  <si>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</si>
  <si>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</si>
  <si>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</si>
  <si>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</si>
  <si>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</si>
  <si>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</si>
  <si>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</si>
  <si>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</si>
  <si>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</si>
  <si>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</si>
  <si>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</si>
  <si>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</si>
  <si>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</si>
  <si>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</si>
  <si>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</si>
  <si>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</si>
  <si>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</si>
  <si>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</si>
  <si>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</si>
  <si>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</si>
  <si>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</si>
  <si>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</si>
  <si>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</si>
  <si>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</si>
  <si>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</si>
  <si>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</si>
  <si>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</si>
  <si>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</si>
  <si>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</si>
  <si>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</si>
  <si>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</si>
  <si>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</si>
  <si>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</si>
  <si>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</si>
  <si>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</si>
  <si>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</si>
  <si>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</si>
  <si>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</si>
  <si>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</si>
  <si>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</si>
  <si>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</si>
  <si>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</si>
  <si>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</si>
  <si>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</si>
  <si>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</si>
  <si>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</si>
  <si>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</si>
  <si>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</si>
  <si>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</si>
  <si>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</si>
  <si>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</si>
  <si>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</si>
  <si>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</si>
  <si>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</si>
  <si>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</si>
  <si>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</si>
  <si>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</si>
  <si>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</si>
  <si>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</si>
  <si>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</si>
  <si>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</si>
  <si>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</si>
  <si>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</si>
  <si>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</si>
  <si>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</si>
  <si>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</si>
  <si>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</si>
  <si>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</si>
  <si>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</si>
  <si>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</si>
  <si>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</si>
  <si>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</si>
  <si>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</si>
  <si>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</si>
  <si>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</si>
  <si>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</si>
  <si>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</si>
  <si>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</si>
  <si>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</si>
  <si>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</si>
  <si>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</si>
  <si>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</si>
  <si>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</si>
  <si>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</si>
  <si>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</si>
  <si>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</si>
  <si>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</si>
  <si>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</si>
  <si>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</si>
  <si>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</si>
  <si>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</si>
  <si>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</si>
  <si>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</si>
  <si>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</si>
  <si>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</si>
  <si>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</si>
  <si>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</si>
  <si>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</si>
  <si>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</si>
  <si>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</si>
  <si>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</si>
  <si>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</si>
  <si>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</si>
  <si>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</si>
  <si>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</si>
  <si>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</si>
  <si>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</si>
  <si>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</si>
  <si>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</si>
  <si>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</si>
  <si>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</si>
  <si>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</si>
  <si>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</si>
  <si>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</si>
  <si>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</si>
  <si>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</si>
  <si>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</si>
  <si>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</si>
  <si>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</si>
  <si>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</si>
  <si>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</si>
  <si>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</si>
  <si>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</si>
  <si>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</si>
  <si>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</si>
  <si>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</si>
  <si>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</si>
  <si>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</si>
  <si>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</si>
  <si>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</si>
  <si>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</si>
  <si>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</si>
  <si>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</si>
  <si>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</si>
  <si>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</si>
  <si>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</si>
  <si>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</si>
  <si>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</si>
  <si>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</si>
  <si>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</si>
  <si>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</si>
  <si>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</si>
  <si>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</si>
  <si>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</si>
  <si>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</si>
  <si>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</si>
  <si>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</si>
  <si>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</si>
  <si>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</si>
  <si>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</si>
  <si>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</si>
  <si>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</si>
  <si>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</si>
  <si>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</si>
  <si>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</si>
  <si>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</si>
  <si>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</si>
  <si>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</si>
  <si>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</si>
  <si>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</si>
  <si>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</si>
  <si>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</si>
  <si>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</si>
  <si>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</si>
  <si>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</si>
  <si>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</si>
  <si>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</si>
  <si>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</si>
  <si>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</si>
  <si>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</si>
  <si>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</si>
  <si>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</si>
  <si>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</si>
  <si>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</si>
  <si>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</si>
  <si>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</si>
  <si>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</si>
  <si>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</si>
  <si>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</si>
  <si>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</si>
  <si>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</si>
  <si>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</si>
  <si>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</si>
  <si>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</si>
  <si>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</si>
  <si>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</si>
  <si>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</si>
  <si>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</si>
  <si>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</si>
  <si>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</si>
  <si>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</si>
  <si>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</si>
  <si>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</si>
  <si>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</si>
  <si>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</si>
  <si>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</si>
  <si>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</si>
  <si>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</si>
  <si>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</si>
  <si>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</si>
  <si>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</si>
  <si>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</si>
  <si>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</si>
  <si>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</si>
  <si>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</si>
  <si>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</si>
  <si>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</si>
  <si>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</si>
  <si>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</si>
  <si>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</si>
  <si>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</si>
  <si>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</si>
  <si>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</si>
  <si>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</si>
  <si>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</si>
  <si>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</si>
  <si>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</si>
  <si>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</si>
  <si>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</si>
  <si>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</si>
  <si>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</si>
  <si>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</si>
  <si>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</si>
  <si>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</si>
  <si>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</si>
  <si>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</si>
  <si>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</si>
  <si>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</si>
  <si>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</si>
  <si>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</si>
  <si>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</si>
  <si>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</si>
  <si>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</si>
  <si>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</si>
  <si>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</si>
  <si>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</si>
  <si>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</si>
  <si>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</si>
  <si>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</si>
  <si>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</si>
  <si>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</si>
  <si>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</si>
  <si>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</si>
  <si>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</si>
  <si>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</si>
  <si>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</si>
  <si>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</si>
  <si>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</si>
  <si>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</si>
  <si>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</si>
  <si>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</si>
  <si>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</si>
  <si>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</si>
  <si>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</si>
  <si>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</si>
  <si>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</si>
  <si>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</si>
  <si>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</si>
  <si>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</si>
  <si>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</si>
  <si>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</si>
  <si>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</si>
  <si>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</si>
  <si>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</si>
  <si>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</si>
  <si>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</si>
  <si>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</si>
  <si>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</si>
  <si>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</si>
  <si>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</si>
  <si>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</si>
  <si>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</si>
  <si>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</si>
  <si>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</si>
  <si>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</si>
  <si>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</si>
  <si>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</si>
  <si>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</si>
  <si>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</si>
  <si>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</si>
  <si>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</si>
  <si>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</si>
  <si>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</si>
  <si>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</si>
  <si>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</si>
  <si>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</si>
  <si>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</si>
  <si>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</si>
  <si>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</si>
  <si>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</si>
  <si>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</si>
  <si>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</si>
  <si>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</si>
  <si>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</si>
  <si>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</si>
  <si>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</si>
  <si>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</si>
  <si>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</si>
  <si>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</si>
  <si>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</si>
  <si>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</si>
  <si>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</si>
  <si>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</si>
  <si>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</si>
  <si>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</si>
  <si>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</si>
  <si>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</si>
  <si>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</si>
  <si>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</si>
  <si>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</si>
  <si>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</si>
  <si>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</si>
  <si>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</si>
  <si>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</si>
  <si>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</si>
  <si>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</si>
  <si>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VOLVO ÖVRIGA ELHYBRID</t>
  </si>
  <si>
    <t>MILDH</t>
  </si>
  <si>
    <t>CUPRA LEON VZ</t>
  </si>
  <si>
    <t>SMART ED</t>
  </si>
  <si>
    <t>BMW M760LI XDRIVE</t>
  </si>
  <si>
    <t>LEVC TX ICON</t>
  </si>
  <si>
    <t>Smart</t>
  </si>
  <si>
    <t>Xpeng</t>
  </si>
  <si>
    <t>XPENG MOTORS</t>
  </si>
  <si>
    <t>Apr-23</t>
  </si>
  <si>
    <t>3(4)</t>
  </si>
  <si>
    <t>4(2)</t>
  </si>
  <si>
    <t>6(7)</t>
  </si>
  <si>
    <t>7(5)</t>
  </si>
  <si>
    <t>XM</t>
  </si>
  <si>
    <t>RZ</t>
  </si>
  <si>
    <t>31(30)</t>
  </si>
  <si>
    <t>Mifa 9</t>
  </si>
  <si>
    <t>XF</t>
  </si>
  <si>
    <t>Camaro</t>
  </si>
  <si>
    <t>46(41)</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</si>
  <si>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</si>
  <si>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</si>
  <si>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</si>
  <si>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</si>
  <si>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</si>
  <si>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</si>
  <si>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</si>
  <si>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</si>
  <si>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</si>
  <si>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</si>
  <si>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</si>
  <si>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</si>
  <si>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</si>
  <si>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</si>
  <si>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</si>
  <si>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</si>
  <si>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</si>
  <si>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</si>
  <si>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</si>
  <si>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</si>
  <si>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</si>
  <si>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16(27)</t>
  </si>
  <si>
    <t>20(21)</t>
  </si>
  <si>
    <t>Movano</t>
  </si>
  <si>
    <t>23(16)</t>
  </si>
  <si>
    <t>24(52)</t>
  </si>
  <si>
    <t>25(20)</t>
  </si>
  <si>
    <t>Panda</t>
  </si>
  <si>
    <t>ES</t>
  </si>
  <si>
    <t>LC</t>
  </si>
  <si>
    <t>RC</t>
  </si>
  <si>
    <t>LS</t>
  </si>
  <si>
    <t>32(28)</t>
  </si>
  <si>
    <t>33(31)</t>
  </si>
  <si>
    <t>35(32)</t>
  </si>
  <si>
    <t>Discovery</t>
  </si>
  <si>
    <t>36(33)</t>
  </si>
  <si>
    <t>Grand cherokee</t>
  </si>
  <si>
    <t>44(38)</t>
  </si>
  <si>
    <t>45(34)</t>
  </si>
  <si>
    <t>Escalade</t>
  </si>
  <si>
    <t>53(46)</t>
  </si>
  <si>
    <t>55(47)</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</si>
  <si>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</si>
  <si>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</si>
  <si>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</si>
  <si>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</si>
  <si>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</si>
  <si>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</si>
  <si>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</si>
  <si>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</si>
  <si>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</si>
  <si>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</si>
  <si>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</si>
  <si>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</si>
  <si>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</si>
  <si>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</si>
  <si>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</si>
  <si>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</si>
  <si>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Juni  2023</t>
  </si>
  <si>
    <t>Januari - juni</t>
  </si>
  <si>
    <t xml:space="preserve"> 2023-06</t>
  </si>
  <si>
    <t xml:space="preserve"> 2022-06</t>
  </si>
  <si>
    <t>Jan - jun 2023</t>
  </si>
  <si>
    <t>Jan - jun 2022</t>
  </si>
  <si>
    <t>Jun-23</t>
  </si>
  <si>
    <t>Personbilar nyregistreringar juni 2023</t>
  </si>
  <si>
    <t>2023-06-01 -&gt; 2023-06-30</t>
  </si>
  <si>
    <t>5(9)</t>
  </si>
  <si>
    <t>9(8)</t>
  </si>
  <si>
    <t>10(11)</t>
  </si>
  <si>
    <t>11(12)</t>
  </si>
  <si>
    <t>12(10)</t>
  </si>
  <si>
    <t>13(13)</t>
  </si>
  <si>
    <t>14(14)</t>
  </si>
  <si>
    <t>15(15)</t>
  </si>
  <si>
    <t>17(18)</t>
  </si>
  <si>
    <t>18(17)</t>
  </si>
  <si>
    <t>19(22)</t>
  </si>
  <si>
    <t>21(19)</t>
  </si>
  <si>
    <t>22(25)</t>
  </si>
  <si>
    <t>26(29)</t>
  </si>
  <si>
    <t>27(23)</t>
  </si>
  <si>
    <t>28(24)</t>
  </si>
  <si>
    <t>29(51)</t>
  </si>
  <si>
    <t>30(26)</t>
  </si>
  <si>
    <t>Zr-v</t>
  </si>
  <si>
    <t>34(39)</t>
  </si>
  <si>
    <t>37(55)</t>
  </si>
  <si>
    <t>38(56)</t>
  </si>
  <si>
    <t>39(35)</t>
  </si>
  <si>
    <t>40(36)</t>
  </si>
  <si>
    <t>41(53)</t>
  </si>
  <si>
    <t>42(37)</t>
  </si>
  <si>
    <t>43(40)</t>
  </si>
  <si>
    <t>47(42)</t>
  </si>
  <si>
    <t>48(43)</t>
  </si>
  <si>
    <t>49(54)</t>
  </si>
  <si>
    <t>Grenadier</t>
  </si>
  <si>
    <t>50(45)</t>
  </si>
  <si>
    <t>51(48)</t>
  </si>
  <si>
    <t>52(57)</t>
  </si>
  <si>
    <t>54(50)</t>
  </si>
  <si>
    <t>56(49)</t>
  </si>
  <si>
    <t>57(44)</t>
  </si>
  <si>
    <t>Utgått</t>
  </si>
  <si>
    <t>OBS Denna lista är sammanlänkad med A.5 Laddbara PB, vilket medför att placeringarna i kolumn A och marknadsandelarna är beräknade på laddbara bilar totalt.</t>
  </si>
  <si>
    <t>Anm. Vår definition av tunga lastbilar är &gt;= 16 ton. I maj registreringarna hade vi &gt; 16 ton, men nu återgått till &gt;= 16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</si>
</sst>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cellStyleXfs>
  <cellXfs count="275">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1" fillId="0" borderId="0" xfId="0" applyFont="1" applyAlignment="1">
      <alignment vertical="center"/>
    </xf>
  </cellXfs>
  <cellStyles count="8">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 name="Tusental 2 2" xfId="7" xr:uid="{00000000-0005-0000-0000-000007000000}"/>
  </cellStyles>
  <dxfs count="473">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9476096"/>
        <c:axId val="109481984"/>
        <c:extLst/>
      </c:barChart>
      <c:catAx>
        <c:axId val="10947609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481984"/>
        <c:crosses val="autoZero"/>
        <c:auto val="1"/>
        <c:lblAlgn val="ctr"/>
        <c:lblOffset val="100"/>
        <c:noMultiLvlLbl val="0"/>
      </c:catAx>
      <c:valAx>
        <c:axId val="1094819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47609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lastbilar'!$Q$37:$Q$66</c:f>
              <c:strCache>
                <c:ptCount val="30"/>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strCache>
            </c:strRef>
          </c:cat>
          <c:val>
            <c:numRef>
              <c:f>'B.4 Tunga lastbilar'!$R$37:$R$66</c:f>
              <c:numCache>
                <c:formatCode>0.0</c:formatCode>
                <c:ptCount val="30"/>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923776"/>
        <c:axId val="132925312"/>
        <c:extLst/>
      </c:barChart>
      <c:catAx>
        <c:axId val="13292377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925312"/>
        <c:crosses val="autoZero"/>
        <c:auto val="1"/>
        <c:lblAlgn val="ctr"/>
        <c:lblOffset val="100"/>
        <c:noMultiLvlLbl val="0"/>
      </c:catAx>
      <c:valAx>
        <c:axId val="132925312"/>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92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Personbilar'!$Q$37:$Q$66</c:f>
              <c:strCache>
                <c:ptCount val="30"/>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strCache>
            </c:strRef>
          </c:cat>
          <c:val>
            <c:numRef>
              <c:f>'A. Personbilar'!$R$37:$R$66</c:f>
              <c:numCache>
                <c:formatCode>#\ ##0.0</c:formatCode>
                <c:ptCount val="30"/>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8785920"/>
        <c:axId val="118787456"/>
        <c:extLst/>
      </c:barChart>
      <c:catAx>
        <c:axId val="11878592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8787456"/>
        <c:crosses val="autoZero"/>
        <c:auto val="1"/>
        <c:lblAlgn val="ctr"/>
        <c:lblOffset val="100"/>
        <c:noMultiLvlLbl val="0"/>
      </c:catAx>
      <c:valAx>
        <c:axId val="118787456"/>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878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Diesel</c:v>
                </c:pt>
                <c:pt idx="4">
                  <c:v>Elhybrid</c:v>
                </c:pt>
                <c:pt idx="5">
                  <c:v>Etanol</c:v>
                </c:pt>
                <c:pt idx="6">
                  <c:v>Gas</c:v>
                </c:pt>
              </c:strCache>
            </c:strRef>
          </c:cat>
          <c:val>
            <c:numRef>
              <c:f>'A.4 Drivmedel PB'!$M$32:$M$38</c:f>
              <c:numCache>
                <c:formatCode>0.0</c:formatCode>
                <c:ptCount val="7"/>
                <c:pt idx="0">
                  <c:v>37.28130354108756</c:v>
                </c:pt>
                <c:pt idx="1">
                  <c:v>22.167876413840169</c:v>
                </c:pt>
                <c:pt idx="2">
                  <c:v>20.707648777574772</c:v>
                </c:pt>
                <c:pt idx="3">
                  <c:v>9.0364914725265351</c:v>
                </c:pt>
                <c:pt idx="4">
                  <c:v>8.4037735580785284</c:v>
                </c:pt>
                <c:pt idx="5">
                  <c:v>1.7111820450296098</c:v>
                </c:pt>
                <c:pt idx="6">
                  <c:v>0.67679489275786808</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356544"/>
        <c:axId val="131358080"/>
        <c:extLst/>
      </c:barChart>
      <c:catAx>
        <c:axId val="13135654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358080"/>
        <c:crosses val="autoZero"/>
        <c:auto val="1"/>
        <c:lblAlgn val="ctr"/>
        <c:lblOffset val="100"/>
        <c:noMultiLvlLbl val="0"/>
      </c:catAx>
      <c:valAx>
        <c:axId val="1313580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356544"/>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721856"/>
        <c:axId val="131404160"/>
        <c:extLst/>
      </c:barChart>
      <c:catAx>
        <c:axId val="1317218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404160"/>
        <c:crosses val="autoZero"/>
        <c:auto val="1"/>
        <c:lblAlgn val="ctr"/>
        <c:lblOffset val="100"/>
        <c:noMultiLvlLbl val="0"/>
      </c:catAx>
      <c:valAx>
        <c:axId val="1314041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721856"/>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pt idx="3">
                  <c:v>4549</c:v>
                </c:pt>
                <c:pt idx="4">
                  <c:v>5975</c:v>
                </c:pt>
                <c:pt idx="5">
                  <c:v>5798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2387968"/>
        <c:axId val="132389504"/>
        <c:extLst/>
      </c:barChart>
      <c:catAx>
        <c:axId val="1323879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389504"/>
        <c:crosses val="autoZero"/>
        <c:auto val="1"/>
        <c:lblAlgn val="ctr"/>
        <c:lblOffset val="100"/>
        <c:noMultiLvlLbl val="0"/>
      </c:catAx>
      <c:valAx>
        <c:axId val="1323895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38796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2806912"/>
        <c:axId val="132820992"/>
        <c:extLst/>
      </c:barChart>
      <c:catAx>
        <c:axId val="1328069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820992"/>
        <c:crosses val="autoZero"/>
        <c:auto val="1"/>
        <c:lblAlgn val="ctr"/>
        <c:lblOffset val="100"/>
        <c:noMultiLvlLbl val="0"/>
      </c:catAx>
      <c:valAx>
        <c:axId val="1328209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80691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lastbilar'!$Q$37:$Q$66</c:f>
              <c:strCache>
                <c:ptCount val="30"/>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strCache>
            </c:strRef>
          </c:cat>
          <c:val>
            <c:numRef>
              <c:f>'B.1 Lätta lastbilar'!$R$37:$R$66</c:f>
              <c:numCache>
                <c:formatCode>0.0</c:formatCode>
                <c:ptCount val="30"/>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3134592"/>
        <c:axId val="133152768"/>
        <c:extLst/>
      </c:barChart>
      <c:catAx>
        <c:axId val="13313459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3152768"/>
        <c:crosses val="autoZero"/>
        <c:auto val="1"/>
        <c:lblAlgn val="ctr"/>
        <c:lblOffset val="100"/>
        <c:noMultiLvlLbl val="0"/>
      </c:catAx>
      <c:valAx>
        <c:axId val="13315276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313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3820800"/>
        <c:axId val="133822336"/>
        <c:extLst/>
      </c:barChart>
      <c:catAx>
        <c:axId val="1338208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3822336"/>
        <c:crosses val="autoZero"/>
        <c:auto val="1"/>
        <c:lblAlgn val="ctr"/>
        <c:lblOffset val="100"/>
        <c:noMultiLvlLbl val="0"/>
      </c:catAx>
      <c:valAx>
        <c:axId val="133822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382080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5.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108066</xdr:colOff>
      <xdr:row>0</xdr:row>
      <xdr:rowOff>0</xdr:rowOff>
    </xdr:from>
    <xdr:to>
      <xdr:col>1</xdr:col>
      <xdr:colOff>460726</xdr:colOff>
      <xdr:row>1</xdr:row>
      <xdr:rowOff>124706</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6" y="0"/>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jun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109.525003819443" createdVersion="6" refreshedVersion="4" minRefreshableVersion="3" recordCount="51" xr:uid="{00000000-000A-0000-FFFF-FFFF00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3">
        <s v="Alfa Romeo"/>
        <s v="Fiat"/>
        <s v="Jeep"/>
        <s v="Jaguar"/>
        <s v="Land Rover"/>
        <s v="BMW"/>
        <s v="Mini"/>
        <s v="Cadillac"/>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Maxus"/>
        <s v="Tesla"/>
        <s v="Lexus"/>
        <s v="Toyota"/>
        <s v="Audi"/>
        <s v="CUPRA"/>
        <s v="Porsche"/>
        <s v="Seat"/>
        <s v="Skoda"/>
        <s v="Volkswagen"/>
        <s v="Volvo"/>
        <s v="Xpeng"/>
        <s v="Övriga"/>
        <s v="NEVS" u="1"/>
        <s v="SsangYong" u="1"/>
        <s v="Polestar 2" u="1"/>
      </sharedItems>
    </cacheField>
    <cacheField name="antalPerioden" numFmtId="0">
      <sharedItems containsSemiMixedTypes="0" containsString="0" containsNumber="1" containsInteger="1" minValue="0" maxValue="3489"/>
    </cacheField>
    <cacheField name="antalFGPeriod" numFmtId="0">
      <sharedItems containsSemiMixedTypes="0" containsString="0" containsNumber="1" containsInteger="1" minValue="0" maxValue="3257"/>
    </cacheField>
    <cacheField name="antalÅret" numFmtId="0">
      <sharedItems containsSemiMixedTypes="0" containsString="0" containsNumber="1" containsInteger="1" minValue="0" maxValue="20196"/>
    </cacheField>
    <cacheField name="antalFGAr" numFmtId="0">
      <sharedItems containsSemiMixedTypes="0" containsString="0" containsNumber="1" containsInteger="1" minValue="0" maxValue="22538"/>
    </cacheField>
    <cacheField name="changePeriod" numFmtId="0">
      <sharedItems containsSemiMixedTypes="0" containsString="0" containsNumber="1" minValue="-100" maxValue="400"/>
    </cacheField>
    <cacheField name="changeAret" numFmtId="0">
      <sharedItems containsSemiMixedTypes="0" containsString="0" containsNumber="1" minValue="-100" maxValue="431.25"/>
    </cacheField>
    <cacheField name="shrPeriod" numFmtId="0">
      <sharedItems containsSemiMixedTypes="0" containsString="0" containsNumber="1" minValue="0" maxValue="12.34"/>
    </cacheField>
    <cacheField name="shrYear" numFmtId="0">
      <sharedItems containsSemiMixedTypes="0" containsString="0" containsNumber="1" minValue="0" maxValue="14.36"/>
    </cacheField>
    <cacheField name="shrPrevPeriod" numFmtId="0">
      <sharedItems containsSemiMixedTypes="0" containsString="0" containsNumber="1" minValue="0" maxValue="12.48"/>
    </cacheField>
    <cacheField name="shrPrevYear" numFmtId="0">
      <sharedItems containsSemiMixedTypes="0" containsString="0" containsNumber="1" minValue="0" maxValue="15.63"/>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109.525005439813" createdVersion="6" refreshedVersion="4" minRefreshableVersion="3" recordCount="16" xr:uid="{00000000-000A-0000-FFFF-FFFF01000000}">
  <cacheSource type="external" connectionId="17"/>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68" count="11">
        <n v="1"/>
        <n v="2"/>
        <n v="0"/>
        <n v="11"/>
        <n v="6"/>
        <n v="12"/>
        <n v="32"/>
        <n v="40"/>
        <n v="5"/>
        <n v="68"/>
        <n v="57"/>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Vikström" refreshedDate="45111.399616666669" createdVersion="6" refreshedVersion="6" minRefreshableVersion="3" recordCount="4" xr:uid="{00000000-000A-0000-FFFF-FFFF07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20" maxValue="4111" count="4">
        <n v="4111"/>
        <n v="20"/>
        <n v="25"/>
        <n v="587"/>
      </sharedItems>
    </cacheField>
    <cacheField name="antalPeriodenFG" numFmtId="0">
      <sharedItems containsSemiMixedTypes="0" containsString="0" containsNumber="1" containsInteger="1" minValue="30" maxValue="2605" count="4">
        <n v="2605"/>
        <n v="30"/>
        <n v="34"/>
        <n v="498"/>
      </sharedItems>
    </cacheField>
    <cacheField name="antalAret" numFmtId="0">
      <sharedItems containsSemiMixedTypes="0" containsString="0" containsNumber="1" containsInteger="1" minValue="99" maxValue="20226" count="4">
        <n v="20226"/>
        <n v="99"/>
        <n v="136"/>
        <n v="3341"/>
      </sharedItems>
    </cacheField>
    <cacheField name="antalAretFG" numFmtId="0">
      <sharedItems containsSemiMixedTypes="0" containsString="0" containsNumber="1" containsInteger="1" minValue="118" maxValue="16651" count="4">
        <n v="16651"/>
        <n v="118"/>
        <n v="144"/>
        <n v="2622"/>
      </sharedItems>
    </cacheField>
    <cacheField name="chgPerioden" numFmtId="0">
      <sharedItems containsSemiMixedTypes="0" containsString="0" containsNumber="1" minValue="-33.299999999999997" maxValue="57.8" count="4">
        <n v="57.8"/>
        <n v="-33.299999999999997"/>
        <n v="-26.5"/>
        <n v="17.899999999999999"/>
      </sharedItems>
    </cacheField>
    <cacheField name="chgAret" numFmtId="0">
      <sharedItems containsSemiMixedTypes="0" containsString="0" containsNumber="1" minValue="-16.100000000000001" maxValue="27.4" count="4">
        <n v="21.5"/>
        <n v="-16.100000000000001"/>
        <n v="-5.6"/>
        <n v="27.4"/>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x v="0"/>
    <x v="0"/>
    <x v="0"/>
    <x v="0"/>
    <x v="0"/>
    <x v="0"/>
    <x v="0"/>
    <x v="0"/>
    <x v="0"/>
    <x v="0"/>
  </r>
  <r>
    <x v="1"/>
    <x v="1"/>
    <x v="0"/>
    <x v="0"/>
    <x v="0"/>
    <x v="0"/>
    <x v="0"/>
    <x v="0"/>
    <x v="0"/>
    <x v="0"/>
    <x v="0"/>
    <x v="0"/>
    <x v="0"/>
    <x v="0"/>
    <x v="0"/>
  </r>
  <r>
    <x v="1"/>
    <x v="0"/>
    <x v="1"/>
    <x v="0"/>
    <x v="1"/>
    <x v="0"/>
    <x v="1"/>
    <x v="1"/>
    <x v="0"/>
    <x v="0"/>
    <x v="0"/>
    <x v="0"/>
    <x v="0"/>
    <x v="0"/>
    <x v="0"/>
  </r>
  <r>
    <x v="2"/>
    <x v="0"/>
    <x v="2"/>
    <x v="0"/>
    <x v="0"/>
    <x v="0"/>
    <x v="0"/>
    <x v="1"/>
    <x v="0"/>
    <x v="0"/>
    <x v="0"/>
    <x v="1"/>
    <x v="0"/>
    <x v="0"/>
    <x v="0"/>
  </r>
  <r>
    <x v="3"/>
    <x v="1"/>
    <x v="3"/>
    <x v="0"/>
    <x v="2"/>
    <x v="0"/>
    <x v="2"/>
    <x v="0"/>
    <x v="0"/>
    <x v="0"/>
    <x v="0"/>
    <x v="0"/>
    <x v="0"/>
    <x v="0"/>
    <x v="0"/>
  </r>
  <r>
    <x v="3"/>
    <x v="0"/>
    <x v="4"/>
    <x v="1"/>
    <x v="0"/>
    <x v="1"/>
    <x v="1"/>
    <x v="0"/>
    <x v="1"/>
    <x v="1"/>
    <x v="0"/>
    <x v="0"/>
    <x v="1"/>
    <x v="0"/>
    <x v="0"/>
  </r>
  <r>
    <x v="4"/>
    <x v="1"/>
    <x v="4"/>
    <x v="0"/>
    <x v="0"/>
    <x v="2"/>
    <x v="3"/>
    <x v="1"/>
    <x v="0"/>
    <x v="0"/>
    <x v="0"/>
    <x v="0"/>
    <x v="0"/>
    <x v="0"/>
    <x v="0"/>
  </r>
  <r>
    <x v="4"/>
    <x v="0"/>
    <x v="1"/>
    <x v="1"/>
    <x v="0"/>
    <x v="0"/>
    <x v="0"/>
    <x v="0"/>
    <x v="0"/>
    <x v="0"/>
    <x v="0"/>
    <x v="1"/>
    <x v="0"/>
    <x v="0"/>
    <x v="0"/>
  </r>
  <r>
    <x v="5"/>
    <x v="1"/>
    <x v="5"/>
    <x v="2"/>
    <x v="3"/>
    <x v="3"/>
    <x v="1"/>
    <x v="2"/>
    <x v="1"/>
    <x v="0"/>
    <x v="0"/>
    <x v="0"/>
    <x v="0"/>
    <x v="0"/>
    <x v="0"/>
  </r>
  <r>
    <x v="5"/>
    <x v="0"/>
    <x v="0"/>
    <x v="0"/>
    <x v="0"/>
    <x v="0"/>
    <x v="1"/>
    <x v="1"/>
    <x v="0"/>
    <x v="0"/>
    <x v="0"/>
    <x v="0"/>
    <x v="0"/>
    <x v="1"/>
    <x v="1"/>
  </r>
  <r>
    <x v="6"/>
    <x v="1"/>
    <x v="6"/>
    <x v="3"/>
    <x v="4"/>
    <x v="4"/>
    <x v="4"/>
    <x v="2"/>
    <x v="0"/>
    <x v="0"/>
    <x v="0"/>
    <x v="0"/>
    <x v="0"/>
    <x v="0"/>
    <x v="0"/>
  </r>
  <r>
    <x v="6"/>
    <x v="0"/>
    <x v="7"/>
    <x v="4"/>
    <x v="5"/>
    <x v="2"/>
    <x v="5"/>
    <x v="3"/>
    <x v="2"/>
    <x v="2"/>
    <x v="1"/>
    <x v="0"/>
    <x v="1"/>
    <x v="2"/>
    <x v="2"/>
  </r>
  <r>
    <x v="7"/>
    <x v="1"/>
    <x v="4"/>
    <x v="0"/>
    <x v="6"/>
    <x v="3"/>
    <x v="6"/>
    <x v="1"/>
    <x v="0"/>
    <x v="0"/>
    <x v="0"/>
    <x v="0"/>
    <x v="0"/>
    <x v="0"/>
    <x v="0"/>
  </r>
  <r>
    <x v="7"/>
    <x v="0"/>
    <x v="8"/>
    <x v="1"/>
    <x v="1"/>
    <x v="3"/>
    <x v="0"/>
    <x v="4"/>
    <x v="0"/>
    <x v="0"/>
    <x v="2"/>
    <x v="0"/>
    <x v="2"/>
    <x v="3"/>
    <x v="3"/>
  </r>
  <r>
    <x v="8"/>
    <x v="1"/>
    <x v="9"/>
    <x v="5"/>
    <x v="7"/>
    <x v="5"/>
    <x v="7"/>
    <x v="3"/>
    <x v="1"/>
    <x v="0"/>
    <x v="0"/>
    <x v="0"/>
    <x v="0"/>
    <x v="0"/>
    <x v="0"/>
  </r>
  <r>
    <x v="8"/>
    <x v="0"/>
    <x v="10"/>
    <x v="5"/>
    <x v="8"/>
    <x v="6"/>
    <x v="8"/>
    <x v="5"/>
    <x v="3"/>
    <x v="3"/>
    <x v="3"/>
    <x v="2"/>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44"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6"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4">
        <item x="0"/>
        <item x="41"/>
        <item x="5"/>
        <item x="22"/>
        <item x="10"/>
        <item x="23"/>
        <item x="1"/>
        <item x="11"/>
        <item x="16"/>
        <item x="17"/>
        <item x="20"/>
        <item x="3"/>
        <item x="2"/>
        <item x="21"/>
        <item x="4"/>
        <item x="39"/>
        <item x="37"/>
        <item x="30"/>
        <item x="31"/>
        <item x="32"/>
        <item x="6"/>
        <item x="26"/>
        <item m="1" x="50"/>
        <item x="35"/>
        <item x="24"/>
        <item x="25"/>
        <item x="36"/>
        <item x="43"/>
        <item x="15"/>
        <item x="44"/>
        <item x="45"/>
        <item x="33"/>
        <item x="19"/>
        <item x="28"/>
        <item x="38"/>
        <item x="40"/>
        <item x="46"/>
        <item x="47"/>
        <item x="49"/>
        <item x="7"/>
        <item x="29"/>
        <item m="1" x="52"/>
        <item x="8"/>
        <item x="14"/>
        <item m="1" x="51"/>
        <item x="27"/>
        <item x="48"/>
        <item x="9"/>
        <item x="18"/>
        <item x="34"/>
        <item x="42"/>
        <item x="12"/>
        <item x="13"/>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9">
    <i>
      <x/>
    </i>
    <i r="1">
      <x/>
    </i>
    <i r="1">
      <x v="6"/>
    </i>
    <i r="1">
      <x v="12"/>
    </i>
    <i>
      <x v="1"/>
    </i>
    <i r="1">
      <x v="11"/>
    </i>
    <i r="1">
      <x v="14"/>
    </i>
    <i>
      <x v="3"/>
    </i>
    <i r="1">
      <x v="2"/>
    </i>
    <i r="1">
      <x v="20"/>
    </i>
    <i>
      <x v="5"/>
    </i>
    <i r="1">
      <x v="39"/>
    </i>
    <i>
      <x v="8"/>
    </i>
    <i r="1">
      <x v="4"/>
    </i>
    <i r="1">
      <x v="7"/>
    </i>
    <i r="1">
      <x v="28"/>
    </i>
    <i r="1">
      <x v="42"/>
    </i>
    <i r="1">
      <x v="43"/>
    </i>
    <i r="1">
      <x v="47"/>
    </i>
    <i r="1">
      <x v="51"/>
    </i>
    <i r="1">
      <x v="52"/>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6"/>
    </i>
    <i r="1">
      <x v="46"/>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fieldPosition="0">
        <references count="2">
          <reference field="0" count="1" selected="0">
            <x v="1"/>
          </reference>
          <reference field="1" count="2">
            <x v="11"/>
            <x v="14"/>
          </reference>
        </references>
      </pivotArea>
    </format>
    <format dxfId="430">
      <pivotArea dataOnly="0" labelOnly="1" fieldPosition="0">
        <references count="2">
          <reference field="0" count="1" selected="0">
            <x v="2"/>
          </reference>
          <reference field="1" count="3">
            <x v="0"/>
            <x v="6"/>
            <x v="12"/>
          </reference>
        </references>
      </pivotArea>
    </format>
    <format dxfId="429">
      <pivotArea dataOnly="0" labelOnly="1" fieldPosition="0">
        <references count="2">
          <reference field="0" count="1" selected="0">
            <x v="3"/>
          </reference>
          <reference field="1" count="2">
            <x v="2"/>
            <x v="20"/>
          </reference>
        </references>
      </pivotArea>
    </format>
    <format dxfId="428">
      <pivotArea dataOnly="0" labelOnly="1" fieldPosition="0">
        <references count="2">
          <reference field="0" count="1" selected="0">
            <x v="5"/>
          </reference>
          <reference field="1" count="1">
            <x v="39"/>
          </reference>
        </references>
      </pivotArea>
    </format>
    <format dxfId="427">
      <pivotArea dataOnly="0" labelOnly="1" fieldPosition="0">
        <references count="2">
          <reference field="0" count="1" selected="0">
            <x v="7"/>
          </reference>
          <reference field="1" count="1">
            <x v="43"/>
          </reference>
        </references>
      </pivotArea>
    </format>
    <format dxfId="426">
      <pivotArea dataOnly="0" labelOnly="1" fieldPosition="0">
        <references count="2">
          <reference field="0" count="1" selected="0">
            <x v="9"/>
          </reference>
          <reference field="1" count="1">
            <x v="7"/>
          </reference>
        </references>
      </pivotArea>
    </format>
    <format dxfId="425">
      <pivotArea dataOnly="0" labelOnly="1" fieldPosition="0">
        <references count="2">
          <reference field="0" count="1" selected="0">
            <x v="10"/>
          </reference>
          <reference field="1" count="1">
            <x v="8"/>
          </reference>
        </references>
      </pivotArea>
    </format>
    <format dxfId="424">
      <pivotArea dataOnly="0" labelOnly="1" fieldPosition="0">
        <references count="2">
          <reference field="0" count="1" selected="0">
            <x v="11"/>
          </reference>
          <reference field="1" count="1">
            <x v="9"/>
          </reference>
        </references>
      </pivotArea>
    </format>
    <format dxfId="423">
      <pivotArea dataOnly="0" labelOnly="1" fieldPosition="0">
        <references count="2">
          <reference field="0" count="1" selected="0">
            <x v="13"/>
          </reference>
          <reference field="1" count="1">
            <x v="10"/>
          </reference>
        </references>
      </pivotArea>
    </format>
    <format dxfId="422">
      <pivotArea dataOnly="0" labelOnly="1" fieldPosition="0">
        <references count="2">
          <reference field="0" count="1" selected="0">
            <x v="14"/>
          </reference>
          <reference field="1" count="1">
            <x v="13"/>
          </reference>
        </references>
      </pivotArea>
    </format>
    <format dxfId="421">
      <pivotArea dataOnly="0" labelOnly="1" fieldPosition="0">
        <references count="2">
          <reference field="0" count="1" selected="0">
            <x v="15"/>
          </reference>
          <reference field="1" count="4">
            <x v="3"/>
            <x v="5"/>
            <x v="24"/>
            <x v="25"/>
          </reference>
        </references>
      </pivotArea>
    </format>
    <format dxfId="420">
      <pivotArea dataOnly="0" labelOnly="1" fieldPosition="0">
        <references count="2">
          <reference field="0" count="1" selected="0">
            <x v="16"/>
          </reference>
          <reference field="1" count="1">
            <x v="21"/>
          </reference>
        </references>
      </pivotArea>
    </format>
    <format dxfId="419">
      <pivotArea dataOnly="0" labelOnly="1" fieldPosition="0">
        <references count="2">
          <reference field="0" count="1" selected="0">
            <x v="18"/>
          </reference>
          <reference field="1" count="1">
            <x v="33"/>
          </reference>
        </references>
      </pivotArea>
    </format>
    <format dxfId="418">
      <pivotArea dataOnly="0" labelOnly="1" fieldPosition="0">
        <references count="2">
          <reference field="0" count="1" selected="0">
            <x v="19"/>
          </reference>
          <reference field="1" count="1">
            <x v="40"/>
          </reference>
        </references>
      </pivotArea>
    </format>
    <format dxfId="417">
      <pivotArea dataOnly="0" labelOnly="1" fieldPosition="0">
        <references count="2">
          <reference field="0" count="1" selected="0">
            <x v="20"/>
          </reference>
          <reference field="1" count="1">
            <x v="17"/>
          </reference>
        </references>
      </pivotArea>
    </format>
    <format dxfId="416">
      <pivotArea dataOnly="0" labelOnly="1" fieldPosition="0">
        <references count="2">
          <reference field="0" count="1" selected="0">
            <x v="21"/>
          </reference>
          <reference field="1" count="2">
            <x v="18"/>
            <x v="19"/>
          </reference>
        </references>
      </pivotArea>
    </format>
    <format dxfId="415">
      <pivotArea dataOnly="0" labelOnly="1" fieldPosition="0">
        <references count="2">
          <reference field="0" count="1" selected="0">
            <x v="22"/>
          </reference>
          <reference field="1" count="1">
            <x v="22"/>
          </reference>
        </references>
      </pivotArea>
    </format>
    <format dxfId="414">
      <pivotArea dataOnly="0" labelOnly="1" fieldPosition="0">
        <references count="2">
          <reference field="0" count="1" selected="0">
            <x v="24"/>
          </reference>
          <reference field="1" count="1">
            <x v="23"/>
          </reference>
        </references>
      </pivotArea>
    </format>
    <format dxfId="413">
      <pivotArea dataOnly="0" labelOnly="1" fieldPosition="0">
        <references count="2">
          <reference field="0" count="1" selected="0">
            <x v="25"/>
          </reference>
          <reference field="1" count="1">
            <x v="26"/>
          </reference>
        </references>
      </pivotArea>
    </format>
    <format dxfId="412">
      <pivotArea dataOnly="0" labelOnly="1" fieldPosition="0">
        <references count="2">
          <reference field="0" count="1" selected="0">
            <x v="26"/>
          </reference>
          <reference field="1" count="3">
            <x v="4"/>
            <x v="28"/>
            <x v="42"/>
          </reference>
        </references>
      </pivotArea>
    </format>
    <format dxfId="411">
      <pivotArea dataOnly="0" labelOnly="1" fieldPosition="0">
        <references count="2">
          <reference field="0" count="1" selected="0">
            <x v="28"/>
          </reference>
          <reference field="1" count="1">
            <x v="16"/>
          </reference>
        </references>
      </pivotArea>
    </format>
    <format dxfId="410">
      <pivotArea dataOnly="0" labelOnly="1" fieldPosition="0">
        <references count="2">
          <reference field="0" count="1" selected="0">
            <x v="30"/>
          </reference>
          <reference field="1" count="1">
            <x v="32"/>
          </reference>
        </references>
      </pivotArea>
    </format>
    <format dxfId="409">
      <pivotArea dataOnly="0" labelOnly="1" fieldPosition="0">
        <references count="2">
          <reference field="0" count="1" selected="0">
            <x v="32"/>
          </reference>
          <reference field="1" count="1">
            <x v="34"/>
          </reference>
        </references>
      </pivotArea>
    </format>
    <format dxfId="408">
      <pivotArea dataOnly="0" labelOnly="1" fieldPosition="0">
        <references count="2">
          <reference field="0" count="1" selected="0">
            <x v="33"/>
          </reference>
          <reference field="1" count="2">
            <x v="15"/>
            <x v="35"/>
          </reference>
        </references>
      </pivotArea>
    </format>
    <format dxfId="407">
      <pivotArea dataOnly="0" labelOnly="1" fieldPosition="0">
        <references count="2">
          <reference field="0" count="1" selected="0">
            <x v="34"/>
          </reference>
          <reference field="1" count="5">
            <x v="1"/>
            <x v="27"/>
            <x v="29"/>
            <x v="30"/>
            <x v="36"/>
          </reference>
        </references>
      </pivotArea>
    </format>
    <format dxfId="406">
      <pivotArea dataOnly="0" labelOnly="1" fieldPosition="0">
        <references count="2">
          <reference field="0" count="1" selected="0">
            <x v="35"/>
          </reference>
          <reference field="1" count="2">
            <x v="26"/>
            <x v="37"/>
          </reference>
        </references>
      </pivotArea>
    </format>
    <format dxfId="405">
      <pivotArea dataOnly="0" labelOnly="1" fieldPosition="0">
        <references count="2">
          <reference field="0" count="1" selected="0">
            <x v="37"/>
          </reference>
          <reference field="1" count="1">
            <x v="38"/>
          </reference>
        </references>
      </pivotArea>
    </format>
    <format dxfId="404">
      <pivotArea dataOnly="0" labelOnly="1" outline="0" fieldPosition="0">
        <references count="1">
          <reference field="4294967294" count="8">
            <x v="0"/>
            <x v="1"/>
            <x v="2"/>
            <x v="3"/>
            <x v="4"/>
            <x v="5"/>
            <x v="6"/>
            <x v="7"/>
          </reference>
        </references>
      </pivotArea>
    </format>
    <format dxfId="403">
      <pivotArea type="all" dataOnly="0" outline="0" fieldPosition="0"/>
    </format>
    <format dxfId="402">
      <pivotArea outline="0" collapsedLevelsAreSubtotals="1" fieldPosition="0"/>
    </format>
    <format dxfId="401">
      <pivotArea field="0" type="button" dataOnly="0" labelOnly="1" outline="0" axis="axisRow" fieldPosition="0"/>
    </format>
    <format dxfId="400">
      <pivotArea dataOnly="0" labelOnly="1" fieldPosition="0">
        <references count="1">
          <reference field="0" count="0"/>
        </references>
      </pivotArea>
    </format>
    <format dxfId="399">
      <pivotArea dataOnly="0" labelOnly="1" grandRow="1" outline="0" fieldPosition="0"/>
    </format>
    <format dxfId="398">
      <pivotArea dataOnly="0" labelOnly="1" fieldPosition="0">
        <references count="2">
          <reference field="0" count="1" selected="0">
            <x v="1"/>
          </reference>
          <reference field="1" count="2">
            <x v="11"/>
            <x v="14"/>
          </reference>
        </references>
      </pivotArea>
    </format>
    <format dxfId="397">
      <pivotArea dataOnly="0" labelOnly="1" fieldPosition="0">
        <references count="2">
          <reference field="0" count="1" selected="0">
            <x v="2"/>
          </reference>
          <reference field="1" count="3">
            <x v="0"/>
            <x v="6"/>
            <x v="12"/>
          </reference>
        </references>
      </pivotArea>
    </format>
    <format dxfId="396">
      <pivotArea dataOnly="0" labelOnly="1" fieldPosition="0">
        <references count="2">
          <reference field="0" count="1" selected="0">
            <x v="3"/>
          </reference>
          <reference field="1" count="2">
            <x v="2"/>
            <x v="20"/>
          </reference>
        </references>
      </pivotArea>
    </format>
    <format dxfId="395">
      <pivotArea dataOnly="0" labelOnly="1" fieldPosition="0">
        <references count="2">
          <reference field="0" count="1" selected="0">
            <x v="5"/>
          </reference>
          <reference field="1" count="1">
            <x v="39"/>
          </reference>
        </references>
      </pivotArea>
    </format>
    <format dxfId="394">
      <pivotArea dataOnly="0" labelOnly="1" fieldPosition="0">
        <references count="2">
          <reference field="0" count="1" selected="0">
            <x v="7"/>
          </reference>
          <reference field="1" count="1">
            <x v="43"/>
          </reference>
        </references>
      </pivotArea>
    </format>
    <format dxfId="393">
      <pivotArea dataOnly="0" labelOnly="1" fieldPosition="0">
        <references count="2">
          <reference field="0" count="1" selected="0">
            <x v="9"/>
          </reference>
          <reference field="1" count="1">
            <x v="7"/>
          </reference>
        </references>
      </pivotArea>
    </format>
    <format dxfId="392">
      <pivotArea dataOnly="0" labelOnly="1" fieldPosition="0">
        <references count="2">
          <reference field="0" count="1" selected="0">
            <x v="10"/>
          </reference>
          <reference field="1" count="1">
            <x v="8"/>
          </reference>
        </references>
      </pivotArea>
    </format>
    <format dxfId="391">
      <pivotArea dataOnly="0" labelOnly="1" fieldPosition="0">
        <references count="2">
          <reference field="0" count="1" selected="0">
            <x v="11"/>
          </reference>
          <reference field="1" count="1">
            <x v="9"/>
          </reference>
        </references>
      </pivotArea>
    </format>
    <format dxfId="390">
      <pivotArea dataOnly="0" labelOnly="1" fieldPosition="0">
        <references count="2">
          <reference field="0" count="1" selected="0">
            <x v="13"/>
          </reference>
          <reference field="1" count="1">
            <x v="10"/>
          </reference>
        </references>
      </pivotArea>
    </format>
    <format dxfId="389">
      <pivotArea dataOnly="0" labelOnly="1" fieldPosition="0">
        <references count="2">
          <reference field="0" count="1" selected="0">
            <x v="14"/>
          </reference>
          <reference field="1" count="1">
            <x v="13"/>
          </reference>
        </references>
      </pivotArea>
    </format>
    <format dxfId="388">
      <pivotArea dataOnly="0" labelOnly="1" fieldPosition="0">
        <references count="2">
          <reference field="0" count="1" selected="0">
            <x v="15"/>
          </reference>
          <reference field="1" count="4">
            <x v="3"/>
            <x v="5"/>
            <x v="24"/>
            <x v="25"/>
          </reference>
        </references>
      </pivotArea>
    </format>
    <format dxfId="387">
      <pivotArea dataOnly="0" labelOnly="1" fieldPosition="0">
        <references count="2">
          <reference field="0" count="1" selected="0">
            <x v="16"/>
          </reference>
          <reference field="1" count="1">
            <x v="21"/>
          </reference>
        </references>
      </pivotArea>
    </format>
    <format dxfId="386">
      <pivotArea dataOnly="0" labelOnly="1" fieldPosition="0">
        <references count="2">
          <reference field="0" count="1" selected="0">
            <x v="18"/>
          </reference>
          <reference field="1" count="1">
            <x v="33"/>
          </reference>
        </references>
      </pivotArea>
    </format>
    <format dxfId="385">
      <pivotArea dataOnly="0" labelOnly="1" fieldPosition="0">
        <references count="2">
          <reference field="0" count="1" selected="0">
            <x v="19"/>
          </reference>
          <reference field="1" count="1">
            <x v="40"/>
          </reference>
        </references>
      </pivotArea>
    </format>
    <format dxfId="384">
      <pivotArea dataOnly="0" labelOnly="1" fieldPosition="0">
        <references count="2">
          <reference field="0" count="1" selected="0">
            <x v="20"/>
          </reference>
          <reference field="1" count="1">
            <x v="17"/>
          </reference>
        </references>
      </pivotArea>
    </format>
    <format dxfId="383">
      <pivotArea dataOnly="0" labelOnly="1" fieldPosition="0">
        <references count="2">
          <reference field="0" count="1" selected="0">
            <x v="21"/>
          </reference>
          <reference field="1" count="2">
            <x v="18"/>
            <x v="19"/>
          </reference>
        </references>
      </pivotArea>
    </format>
    <format dxfId="382">
      <pivotArea dataOnly="0" labelOnly="1" fieldPosition="0">
        <references count="2">
          <reference field="0" count="1" selected="0">
            <x v="22"/>
          </reference>
          <reference field="1" count="1">
            <x v="22"/>
          </reference>
        </references>
      </pivotArea>
    </format>
    <format dxfId="381">
      <pivotArea dataOnly="0" labelOnly="1" fieldPosition="0">
        <references count="2">
          <reference field="0" count="1" selected="0">
            <x v="24"/>
          </reference>
          <reference field="1" count="1">
            <x v="23"/>
          </reference>
        </references>
      </pivotArea>
    </format>
    <format dxfId="380">
      <pivotArea dataOnly="0" labelOnly="1" fieldPosition="0">
        <references count="2">
          <reference field="0" count="1" selected="0">
            <x v="25"/>
          </reference>
          <reference field="1" count="1">
            <x v="26"/>
          </reference>
        </references>
      </pivotArea>
    </format>
    <format dxfId="379">
      <pivotArea dataOnly="0" labelOnly="1" fieldPosition="0">
        <references count="2">
          <reference field="0" count="1" selected="0">
            <x v="26"/>
          </reference>
          <reference field="1" count="3">
            <x v="4"/>
            <x v="28"/>
            <x v="42"/>
          </reference>
        </references>
      </pivotArea>
    </format>
    <format dxfId="378">
      <pivotArea dataOnly="0" labelOnly="1" fieldPosition="0">
        <references count="2">
          <reference field="0" count="1" selected="0">
            <x v="28"/>
          </reference>
          <reference field="1" count="1">
            <x v="16"/>
          </reference>
        </references>
      </pivotArea>
    </format>
    <format dxfId="377">
      <pivotArea dataOnly="0" labelOnly="1" fieldPosition="0">
        <references count="2">
          <reference field="0" count="1" selected="0">
            <x v="30"/>
          </reference>
          <reference field="1" count="1">
            <x v="32"/>
          </reference>
        </references>
      </pivotArea>
    </format>
    <format dxfId="376">
      <pivotArea dataOnly="0" labelOnly="1" fieldPosition="0">
        <references count="2">
          <reference field="0" count="1" selected="0">
            <x v="32"/>
          </reference>
          <reference field="1" count="1">
            <x v="34"/>
          </reference>
        </references>
      </pivotArea>
    </format>
    <format dxfId="375">
      <pivotArea dataOnly="0" labelOnly="1" fieldPosition="0">
        <references count="2">
          <reference field="0" count="1" selected="0">
            <x v="33"/>
          </reference>
          <reference field="1" count="2">
            <x v="15"/>
            <x v="35"/>
          </reference>
        </references>
      </pivotArea>
    </format>
    <format dxfId="374">
      <pivotArea dataOnly="0" labelOnly="1" fieldPosition="0">
        <references count="2">
          <reference field="0" count="1" selected="0">
            <x v="34"/>
          </reference>
          <reference field="1" count="5">
            <x v="1"/>
            <x v="27"/>
            <x v="29"/>
            <x v="30"/>
            <x v="36"/>
          </reference>
        </references>
      </pivotArea>
    </format>
    <format dxfId="373">
      <pivotArea dataOnly="0" labelOnly="1" fieldPosition="0">
        <references count="2">
          <reference field="0" count="1" selected="0">
            <x v="35"/>
          </reference>
          <reference field="1" count="2">
            <x v="26"/>
            <x v="37"/>
          </reference>
        </references>
      </pivotArea>
    </format>
    <format dxfId="372">
      <pivotArea dataOnly="0" labelOnly="1" fieldPosition="0">
        <references count="2">
          <reference field="0" count="1" selected="0">
            <x v="37"/>
          </reference>
          <reference field="1" count="1">
            <x v="38"/>
          </reference>
        </references>
      </pivotArea>
    </format>
    <format dxfId="371">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146" applyNumberFormats="0" applyBorderFormats="0" applyFontFormats="0" applyPatternFormats="0" applyAlignmentFormats="0" applyWidthHeightFormats="1" dataCaption="Values" grandTotalCaption="Totalt" updatedVersion="6"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145"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8"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6"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2" dataDxfId="471">
  <tableColumns count="4">
    <tableColumn id="1" xr3:uid="{00000000-0010-0000-0000-000001000000}" uniqueName="1" name="Grupp" queryTableFieldId="1" dataDxfId="470"/>
    <tableColumn id="2" xr3:uid="{00000000-0010-0000-0000-000002000000}" uniqueName="2" name="År" queryTableFieldId="2" headerRowDxfId="469" dataDxfId="468"/>
    <tableColumn id="3" xr3:uid="{00000000-0010-0000-0000-000003000000}" uniqueName="3" name="Månaden" queryTableFieldId="3" headerRowDxfId="467" dataDxfId="466"/>
    <tableColumn id="4" xr3:uid="{00000000-0010-0000-0000-000004000000}" uniqueName="4" name="YTD" queryTableFieldId="4" headerRowDxfId="465" dataDxfId="4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1" tableType="queryTable" totalsRowCount="1" headerRowDxfId="164" dataDxfId="163" totalsRowDxfId="162">
  <autoFilter ref="A7:I30"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6"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44" tableType="queryTable" totalsRowCount="1" headerRowDxfId="463" dataDxfId="462" totalsRowDxfId="461">
  <tableColumns count="12">
    <tableColumn id="1" xr3:uid="{00000000-0010-0000-0100-000001000000}" uniqueName="1" name="no" queryTableFieldId="1" dataDxfId="460" totalsRowDxfId="459"/>
    <tableColumn id="2" xr3:uid="{00000000-0010-0000-0100-000002000000}" uniqueName="2" name="modell" totalsRowLabel="Totalt" queryTableFieldId="2" dataDxfId="458" totalsRowDxfId="457"/>
    <tableColumn id="3" xr3:uid="{00000000-0010-0000-0100-000003000000}" uniqueName="3" name="antalPerioden" totalsRowFunction="sum" queryTableFieldId="3" dataDxfId="456" totalsRowDxfId="455"/>
    <tableColumn id="4" xr3:uid="{00000000-0010-0000-0100-000004000000}" uniqueName="4" name="antalFGPeriod" totalsRowFunction="sum" queryTableFieldId="4" dataDxfId="454" totalsRowDxfId="453"/>
    <tableColumn id="5" xr3:uid="{00000000-0010-0000-0100-000005000000}" uniqueName="5" name="antalÅret" totalsRowFunction="sum" queryTableFieldId="5" dataDxfId="452" totalsRowDxfId="451"/>
    <tableColumn id="6" xr3:uid="{00000000-0010-0000-0100-000006000000}" uniqueName="6" name="antalFGAr" totalsRowFunction="sum" queryTableFieldId="6" dataDxfId="450" totalsRowDxfId="449"/>
    <tableColumn id="7" xr3:uid="{00000000-0010-0000-0100-000007000000}" uniqueName="7" name="changePeriod" totalsRowFunction="custom" queryTableFieldId="7" dataDxfId="448" totalsRowDxfId="447">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6" totalsRowDxfId="445">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4" totalsRowDxfId="443">
      <totalsRowFormula>TEXT(100,"0,00")</totalsRowFormula>
    </tableColumn>
    <tableColumn id="10" xr3:uid="{00000000-0010-0000-0100-00000A000000}" uniqueName="10" name="shrYear" totalsRowFunction="custom" queryTableFieldId="10" dataDxfId="442" totalsRowDxfId="441">
      <totalsRowFormula>TEXT(100,"0,00")</totalsRowFormula>
    </tableColumn>
    <tableColumn id="11" xr3:uid="{00000000-0010-0000-0100-00000B000000}" uniqueName="11" name="shrPrevPeriod" totalsRowFunction="custom" queryTableFieldId="11" dataDxfId="440" totalsRowDxfId="439">
      <totalsRowFormula>TEXT(100,"0,00")</totalsRowFormula>
    </tableColumn>
    <tableColumn id="12" xr3:uid="{00000000-0010-0000-0100-00000C000000}" uniqueName="12" name="shrPrevYear" totalsRowFunction="custom" queryTableFieldId="12" dataDxfId="438" totalsRowDxfId="437">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70" dataDxfId="369" totalsRowDxfId="367" tableBorderDxfId="368" totalsRowBorderDxfId="366">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5" totalsRowDxfId="364"/>
    <tableColumn id="2" xr3:uid="{00000000-0010-0000-0200-000002000000}" uniqueName="2" name="antalPerioden" totalsRowFunction="sum" queryTableFieldId="2" dataDxfId="363" totalsRowDxfId="362"/>
    <tableColumn id="3" xr3:uid="{00000000-0010-0000-0200-000003000000}" uniqueName="3" name="antalPeriodenFG" totalsRowFunction="sum" queryTableFieldId="3" dataDxfId="361" totalsRowDxfId="360"/>
    <tableColumn id="6" xr3:uid="{00000000-0010-0000-0200-000006000000}" uniqueName="6" name="Column1" totalsRowFunction="sum" queryTableFieldId="6" dataDxfId="359" totalsRowDxfId="358">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7" totalsRowDxfId="356">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5" totalsRowDxfId="354"/>
    <tableColumn id="5" xr3:uid="{00000000-0010-0000-0200-000005000000}" uniqueName="5" name="antalAretFG" totalsRowFunction="sum" queryTableFieldId="5" dataDxfId="353" totalsRowDxfId="352"/>
    <tableColumn id="8" xr3:uid="{00000000-0010-0000-0200-000008000000}" uniqueName="8" name="Column3" totalsRowFunction="custom" queryTableFieldId="9" dataDxfId="351" totalsRowDxfId="350">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9" totalsRowDxfId="348">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7" totalsRowDxfId="346">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61" tableType="queryTable" totalsRowCount="1" headerRowDxfId="345" dataDxfId="344" totalsRowDxfId="343">
  <autoFilter ref="A41:M260" xr:uid="{00000000-0009-0000-0100-000004000000}"/>
  <tableColumns count="13">
    <tableColumn id="1" xr3:uid="{00000000-0010-0000-0300-000001000000}" uniqueName="1" name="no" queryTableFieldId="1" dataDxfId="342" totalsRowDxfId="341"/>
    <tableColumn id="2" xr3:uid="{00000000-0010-0000-0300-000002000000}" uniqueName="2" name="modben" totalsRowLabel="Totalt" queryTableFieldId="2" dataDxfId="340" totalsRowDxfId="339"/>
    <tableColumn id="3" xr3:uid="{00000000-0010-0000-0300-000003000000}" uniqueName="3" name="miljoklass" queryTableFieldId="3" dataDxfId="338" totalsRowDxfId="337"/>
    <tableColumn id="4" xr3:uid="{00000000-0010-0000-0300-000004000000}" uniqueName="4" name="antalPerioden" totalsRowFunction="sum" queryTableFieldId="4" dataDxfId="336" totalsRowDxfId="335"/>
    <tableColumn id="5" xr3:uid="{00000000-0010-0000-0300-000005000000}" uniqueName="5" name="antalFGPeriod" totalsRowFunction="sum" queryTableFieldId="5" dataDxfId="334" totalsRowDxfId="333"/>
    <tableColumn id="6" xr3:uid="{00000000-0010-0000-0300-000006000000}" uniqueName="6" name="antalÅret" totalsRowFunction="sum" queryTableFieldId="6" dataDxfId="332" totalsRowDxfId="331"/>
    <tableColumn id="7" xr3:uid="{00000000-0010-0000-0300-000007000000}" uniqueName="7" name="antalFGAr" totalsRowFunction="sum" queryTableFieldId="7" dataDxfId="330" totalsRowDxfId="329"/>
    <tableColumn id="8" xr3:uid="{00000000-0010-0000-0300-000008000000}" uniqueName="8" name="changePeriod" totalsRowFunction="custom" queryTableFieldId="8" dataDxfId="328" totalsRowDxfId="327">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6" totalsRowDxfId="325">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4" totalsRowDxfId="323">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2" totalsRowDxfId="321">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20" totalsRowDxfId="319">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8" totalsRowDxfId="317">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59" tableType="queryTable" totalsRowCount="1" headerRowDxfId="316" dataDxfId="315" totalsRowDxfId="314">
  <autoFilter ref="A39:M258"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58">
    <sortCondition descending="1" ref="F40"/>
  </sortState>
  <tableColumns count="13">
    <tableColumn id="1" xr3:uid="{00000000-0010-0000-0400-000001000000}" uniqueName="1" name="no" queryTableFieldId="1" dataDxfId="313" totalsRowDxfId="312"/>
    <tableColumn id="2" xr3:uid="{00000000-0010-0000-0400-000002000000}" uniqueName="2" name="modben" totalsRowLabel="Totalt" queryTableFieldId="2" dataDxfId="311" totalsRowDxfId="310"/>
    <tableColumn id="3" xr3:uid="{00000000-0010-0000-0400-000003000000}" uniqueName="3" name="miljoklass" queryTableFieldId="3" dataDxfId="309" totalsRowDxfId="308"/>
    <tableColumn id="4" xr3:uid="{00000000-0010-0000-0400-000004000000}" uniqueName="4" name="antalPerioden" totalsRowFunction="sum" queryTableFieldId="4" dataDxfId="307" totalsRowDxfId="306"/>
    <tableColumn id="5" xr3:uid="{00000000-0010-0000-0400-000005000000}" uniqueName="5" name="antalFGPeriod" totalsRowFunction="sum" queryTableFieldId="5" dataDxfId="305" totalsRowDxfId="304"/>
    <tableColumn id="6" xr3:uid="{00000000-0010-0000-0400-000006000000}" uniqueName="6" name="antalÅret" totalsRowFunction="sum" queryTableFieldId="6" dataDxfId="303" totalsRowDxfId="302"/>
    <tableColumn id="7" xr3:uid="{00000000-0010-0000-0400-000007000000}" uniqueName="7" name="antalFGAr" totalsRowFunction="sum" queryTableFieldId="7" dataDxfId="301" totalsRowDxfId="300"/>
    <tableColumn id="8" xr3:uid="{00000000-0010-0000-0400-000008000000}" uniqueName="8" name="changePeriod" totalsRowFunction="custom" queryTableFieldId="8" dataDxfId="299" totalsRowDxfId="298">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7" totalsRowDxfId="296">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5" totalsRowDxfId="294">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3" totalsRowDxfId="292">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91" totalsRowDxfId="290">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9" totalsRowDxfId="288">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60" tableType="queryTable" totalsRowCount="1" headerRowDxfId="287" dataDxfId="286" totalsRowDxfId="285">
  <autoFilter ref="A40:M259"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59">
    <sortCondition descending="1" ref="F43"/>
  </sortState>
  <tableColumns count="13">
    <tableColumn id="1" xr3:uid="{00000000-0010-0000-0500-000001000000}" uniqueName="1" name="no" queryTableFieldId="1" dataDxfId="284" totalsRowDxfId="283"/>
    <tableColumn id="2" xr3:uid="{00000000-0010-0000-0500-000002000000}" uniqueName="2" name="modben" totalsRowLabel="Totalt" queryTableFieldId="2" dataDxfId="282" totalsRowDxfId="281"/>
    <tableColumn id="3" xr3:uid="{00000000-0010-0000-0500-000003000000}" uniqueName="3" name="miljoklass" queryTableFieldId="3" dataDxfId="280" totalsRowDxfId="279"/>
    <tableColumn id="4" xr3:uid="{00000000-0010-0000-0500-000004000000}" uniqueName="4" name="antalPerioden" totalsRowFunction="sum" queryTableFieldId="4" dataDxfId="278" totalsRowDxfId="277"/>
    <tableColumn id="5" xr3:uid="{00000000-0010-0000-0500-000005000000}" uniqueName="5" name="antalFGPeriod" totalsRowFunction="sum" queryTableFieldId="5" dataDxfId="276" totalsRowDxfId="275"/>
    <tableColumn id="6" xr3:uid="{00000000-0010-0000-0500-000006000000}" uniqueName="6" name="antalÅret" totalsRowFunction="sum" queryTableFieldId="6" dataDxfId="274" totalsRowDxfId="273"/>
    <tableColumn id="7" xr3:uid="{00000000-0010-0000-0500-000007000000}" uniqueName="7" name="antalFGAr" totalsRowFunction="sum" queryTableFieldId="7" dataDxfId="272" totalsRowDxfId="271"/>
    <tableColumn id="8" xr3:uid="{00000000-0010-0000-0500-000008000000}" uniqueName="8" name="changePeriod" totalsRowFunction="custom" queryTableFieldId="8" dataDxfId="270" totalsRowDxfId="269">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8" totalsRowDxfId="267">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6" totalsRowDxfId="265">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4" totalsRowDxfId="263">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2" totalsRowDxfId="261">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60" totalsRowDxfId="259">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9:K17"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(B10/$B$18)*100</calculatedColumnFormula>
    </tableColumn>
    <tableColumn id="7" xr3:uid="{00000000-0010-0000-0800-000007000000}" uniqueName="7" name="Column2" queryTableFieldId="7" dataDxfId="248" totalsRowDxfId="247">
      <calculatedColumnFormula>(C10/$C$18)*100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(F10/$F$18)*100</calculatedColumnFormula>
    </tableColumn>
    <tableColumn id="9" xr3:uid="{00000000-0010-0000-0800-000009000000}" uniqueName="9" name="Column4" queryTableFieldId="9" dataDxfId="241">
      <calculatedColumnFormula>(G10/$G$18)*100</calculatedColumnFormula>
    </tableColumn>
    <tableColumn id="10" xr3:uid="{00000000-0010-0000-0800-00000A000000}" uniqueName="10" name="Column5" queryTableFieldId="10" dataDxfId="240">
      <calculatedColumnFormula>((( B10  / C10) - 1) * 100)</calculatedColumnFormula>
    </tableColumn>
    <tableColumn id="11" xr3:uid="{00000000-0010-0000-0800-00000B000000}" uniqueName="11" name="Column6" queryTableFieldId="11" dataDxfId="239">
      <calculatedColumnFormula>((( F10  / G10)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82:B84"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6" tableType="queryTable" totalsRowCount="1" headerRowDxfId="236" dataDxfId="235" totalsRowDxfId="234">
  <autoFilter ref="A8:Q65"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topLeftCell="A15" zoomScaleNormal="100" workbookViewId="0">
      <selection activeCell="N43" sqref="N43"/>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472</v>
      </c>
      <c r="C7" s="56"/>
      <c r="D7" s="56"/>
      <c r="E7" s="56"/>
      <c r="F7" s="56"/>
      <c r="G7" s="56"/>
      <c r="H7" s="168" t="s">
        <v>1242</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585</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2023-06</v>
      </c>
      <c r="G12" s="39" t="str">
        <f>D80</f>
        <v xml:space="preserve"> 2022-06</v>
      </c>
      <c r="H12" s="227" t="s">
        <v>1006</v>
      </c>
      <c r="I12" s="227"/>
    </row>
    <row r="13" spans="1:17" ht="14" customHeight="1">
      <c r="A13" s="25"/>
      <c r="B13" s="38" t="s">
        <v>582</v>
      </c>
      <c r="C13" s="25"/>
      <c r="D13" s="25"/>
      <c r="E13" s="25"/>
      <c r="F13" s="25"/>
      <c r="G13" s="25"/>
      <c r="H13" s="171" t="s">
        <v>348</v>
      </c>
      <c r="I13" s="171" t="s">
        <v>537</v>
      </c>
      <c r="P13" s="215"/>
      <c r="Q13" s="215"/>
    </row>
    <row r="14" spans="1:17" ht="14" customHeight="1">
      <c r="A14" s="25"/>
      <c r="B14" s="41" t="s">
        <v>997</v>
      </c>
      <c r="C14" s="25"/>
      <c r="D14" s="25"/>
      <c r="E14" s="25"/>
      <c r="F14" s="25">
        <f>INDEX('A.4 Drivmedel PB'!$B$8:$B$16,MATCH("El",'A.4 Drivmedel PB'!$A$8:$A$16,0))</f>
        <v>10956</v>
      </c>
      <c r="G14" s="25">
        <f>INDEX('A.4 Drivmedel PB'!$C$8:$C$16,MATCH("El",'A.4 Drivmedel PB'!$A$8:$A$16,0))</f>
        <v>8237</v>
      </c>
      <c r="H14" s="42">
        <f t="shared" ref="H14:H19" si="0">IF(G14=0,"",SUM(((F14-G14)/G14)))</f>
        <v>0.33009590870462546</v>
      </c>
      <c r="I14" s="42">
        <f>INDEX('A.4 Drivmedel PB'!$J$8:$J$16,MATCH("El",'A.4 Drivmedel PB'!$A$8:$A$16,0))</f>
        <v>0.3191045151553264</v>
      </c>
      <c r="P14" s="215"/>
      <c r="Q14" s="215"/>
    </row>
    <row r="15" spans="1:17" ht="14" customHeight="1">
      <c r="A15" s="25"/>
      <c r="B15" s="41" t="s">
        <v>998</v>
      </c>
      <c r="C15" s="25"/>
      <c r="D15" s="25"/>
      <c r="E15" s="25"/>
      <c r="F15" s="25">
        <f>INDEX('A.4 Drivmedel PB'!$B$8:$B$16,MATCH("Laddhybrid",'A.4 Drivmedel PB'!$A$8:$A$16,0))</f>
        <v>5798</v>
      </c>
      <c r="G15" s="25">
        <f>INDEX('A.4 Drivmedel PB'!$C$8:$C$16,MATCH("Laddhybrid",'A.4 Drivmedel PB'!$A$8:$A$16,0))</f>
        <v>6137</v>
      </c>
      <c r="H15" s="42">
        <f t="shared" si="0"/>
        <v>-5.5238715985008964E-2</v>
      </c>
      <c r="I15" s="42">
        <f>INDEX('A.4 Drivmedel PB'!$J$8:$J$16,MATCH("Laddhybrid",'A.4 Drivmedel PB'!$A$8:$A$16,0))</f>
        <v>-0.16985864113087096</v>
      </c>
      <c r="P15" s="215"/>
      <c r="Q15" s="215"/>
    </row>
    <row r="16" spans="1:17" ht="14" customHeight="1">
      <c r="A16" s="25"/>
      <c r="B16" s="213" t="s">
        <v>1000</v>
      </c>
      <c r="C16" s="214"/>
      <c r="D16" s="214"/>
      <c r="E16" s="214"/>
      <c r="F16" s="222">
        <f>INDEX('A.4 Drivmedel PB'!$D$8:$D$16,MATCH("El",'A.4 Drivmedel PB'!$A$8:$A$16,0))</f>
        <v>38.737050525050378</v>
      </c>
      <c r="G16" s="222">
        <f>INDEX('A.4 Drivmedel PB'!$E$8:$E$16,MATCH("El",'A.4 Drivmedel PB'!$A$8:$A$16,0))</f>
        <v>31.573903710518248</v>
      </c>
      <c r="H16" s="215">
        <f t="shared" si="0"/>
        <v>0.2268692170663035</v>
      </c>
      <c r="I16" s="220">
        <f>INDEX('A.4 Drivmedel PB'!$D$8:$D$16,MATCH("El",'A.4 Drivmedel PB'!$A$8:$A$16,0))</f>
        <v>38.737050525050378</v>
      </c>
      <c r="L16" s="219"/>
    </row>
    <row r="17" spans="1:15" ht="14" customHeight="1">
      <c r="A17" s="25"/>
      <c r="B17" s="213" t="s">
        <v>1001</v>
      </c>
      <c r="C17" s="214"/>
      <c r="D17" s="214"/>
      <c r="E17" s="214"/>
      <c r="F17" s="222">
        <f>INDEX('A.4 Drivmedel PB'!$D$8:$D$16,MATCH("Laddhybrid",'A.4 Drivmedel PB'!$A$8:$A$16,0))</f>
        <v>20.499946964607716</v>
      </c>
      <c r="G17" s="222">
        <f>INDEX('A.4 Drivmedel PB'!$E$8:$E$16,MATCH("Laddhybrid",'A.4 Drivmedel PB'!$A$8:$A$16,0))</f>
        <v>23.524225697638762</v>
      </c>
      <c r="H17" s="215">
        <f t="shared" si="0"/>
        <v>-0.12856018182713694</v>
      </c>
      <c r="I17" s="220">
        <f>INDEX('A.4 Drivmedel PB'!$D$8:$D$16,MATCH("Laddhybrid",'A.4 Drivmedel PB'!$A$8:$A$16,0))</f>
        <v>20.499946964607716</v>
      </c>
    </row>
    <row r="18" spans="1:15" ht="14" customHeight="1">
      <c r="A18" s="25"/>
      <c r="B18" s="213" t="s">
        <v>1002</v>
      </c>
      <c r="C18" s="214"/>
      <c r="D18" s="214"/>
      <c r="E18" s="214"/>
      <c r="F18" s="222">
        <f>F16+F17</f>
        <v>59.236997489658094</v>
      </c>
      <c r="G18" s="222">
        <f>(G16+G17)</f>
        <v>55.098129408157007</v>
      </c>
      <c r="H18" s="215">
        <f t="shared" si="0"/>
        <v>7.5118123354807539E-2</v>
      </c>
      <c r="I18" s="216">
        <f>AndelLaddbaraYTD/100</f>
        <v>8.997261006079231E-2</v>
      </c>
    </row>
    <row r="19" spans="1:15" ht="14" customHeight="1">
      <c r="A19" s="25"/>
      <c r="B19" s="43" t="s">
        <v>580</v>
      </c>
      <c r="C19" s="44"/>
      <c r="D19" s="44"/>
      <c r="E19" s="44"/>
      <c r="F19" s="218">
        <f>getAggModelsPB[[#Totals],[antalPerioden]]</f>
        <v>28283</v>
      </c>
      <c r="G19" s="45">
        <f>getAggModelsPB[[#Totals],[antalFGPeriod]]</f>
        <v>26088</v>
      </c>
      <c r="H19" s="46">
        <f t="shared" si="0"/>
        <v>8.4138301134621285E-2</v>
      </c>
      <c r="I19" s="42">
        <f>IF(AntalTotaltYTDFGAR=0,"",((AntalTotaltYTD-AntalTotaltYTDFGAR)/AntalTotaltYTDFGAR))</f>
        <v>-2.4406652702833917E-2</v>
      </c>
    </row>
    <row r="20" spans="1:15" ht="14" customHeight="1">
      <c r="A20" s="25"/>
      <c r="B20" s="25"/>
      <c r="C20" s="25"/>
      <c r="D20" s="25"/>
      <c r="E20" s="25"/>
      <c r="F20" s="25"/>
      <c r="G20" s="25"/>
      <c r="H20" s="25"/>
      <c r="I20" s="25"/>
    </row>
    <row r="21" spans="1:15" ht="14" customHeight="1">
      <c r="A21" s="25"/>
      <c r="B21" s="38" t="s">
        <v>583</v>
      </c>
      <c r="C21" s="25"/>
      <c r="D21" s="25"/>
      <c r="E21" s="25"/>
      <c r="F21" s="25"/>
      <c r="G21" s="25"/>
      <c r="H21" s="25"/>
      <c r="I21" s="25"/>
    </row>
    <row r="22" spans="1:15" ht="14" customHeight="1">
      <c r="A22" s="25"/>
      <c r="B22" s="41" t="s">
        <v>1233</v>
      </c>
      <c r="C22" s="25"/>
      <c r="D22" s="25"/>
      <c r="E22" s="25"/>
      <c r="F22" s="25">
        <f>INDEX('B. Lastbilar'!$B$6:$B$16,MATCH("Över (&gt;=)  16,0 ton",'B. Lastbilar'!$A$6:$A$16,0))</f>
        <v>587</v>
      </c>
      <c r="G22" s="25">
        <f>INDEX('B. Lastbilar'!$C$6:$C$16,MATCH("Över (&gt;=)  16,0 ton",'B. Lastbilar'!$A$6:$A$16,0))</f>
        <v>498</v>
      </c>
      <c r="H22" s="42">
        <f>IF(G22=0,"",SUM(((F22-G22)/G22)))</f>
        <v>0.17871485943775101</v>
      </c>
      <c r="I22" s="42">
        <f>IF(AntalTLBYTDFGAR=0,"",((AntalTLBYTD-AntalTLBYTDFGAR)/AntalTLBYTDFGAR))</f>
        <v>0.27421815408085431</v>
      </c>
    </row>
    <row r="23" spans="1:15" ht="14" customHeight="1">
      <c r="A23" s="25"/>
      <c r="B23" s="41" t="s">
        <v>1234</v>
      </c>
      <c r="C23" s="25"/>
      <c r="D23" s="25"/>
      <c r="E23" s="25"/>
      <c r="F23" s="25">
        <f>INDEX('B. Lastbilar'!$B$6:$B$16,MATCH("Högst (&lt;=)  3,5 ton",'B. Lastbilar'!$A$6:$A$16,0))</f>
        <v>4111</v>
      </c>
      <c r="G23" s="25">
        <f>INDEX('B. Lastbilar'!$C$6:$C$16,MATCH("Högst (&lt;=)  3,5 ton",'B. Lastbilar'!$A$6:$A$16,0))</f>
        <v>2605</v>
      </c>
      <c r="H23" s="42">
        <f>IF(G23=0,"",SUM(((F23-G23)/G23)))</f>
        <v>0.57811900191938581</v>
      </c>
      <c r="I23" s="42">
        <f>IF(AntalLLBYTDFGAR=0,"",((AntalLLBYTD-AntalLLBYTDFGAR)/AntalLLBYTDFGAR))</f>
        <v>0.2147018197105279</v>
      </c>
    </row>
    <row r="24" spans="1:15" ht="14" customHeight="1">
      <c r="A24" s="25"/>
      <c r="B24" s="41" t="s">
        <v>999</v>
      </c>
      <c r="C24" s="25"/>
      <c r="D24" s="25"/>
      <c r="E24" s="25"/>
      <c r="F24" s="25">
        <f>AntalLLBEL</f>
        <v>704</v>
      </c>
      <c r="G24" s="25">
        <f>AntalLLBELFGAR</f>
        <v>587</v>
      </c>
      <c r="H24" s="42">
        <f t="shared" ref="H24" si="1">IF(G24=0,"",SUM(((F24-G24)/G24)))</f>
        <v>0.19931856899488926</v>
      </c>
      <c r="I24" s="42">
        <f>ChangeLLBELYTD/100</f>
        <v>0.58941418293936276</v>
      </c>
    </row>
    <row r="25" spans="1:15" ht="14" customHeight="1">
      <c r="A25" s="25"/>
      <c r="B25" s="213" t="s">
        <v>1003</v>
      </c>
      <c r="C25" s="214"/>
      <c r="D25" s="214"/>
      <c r="E25" s="214"/>
      <c r="F25" s="215">
        <f>(F24/F23)</f>
        <v>0.17124787156409632</v>
      </c>
      <c r="G25" s="215">
        <f>(G24/G23)</f>
        <v>0.2253358925143954</v>
      </c>
      <c r="H25" s="215">
        <f>IF(G25=0,"",SUM(((F25-G25)/G25)))</f>
        <v>-0.24003286980498995</v>
      </c>
      <c r="I25" s="216"/>
      <c r="O25" s="217"/>
    </row>
    <row r="26" spans="1:15" ht="14" customHeight="1">
      <c r="A26" s="25"/>
      <c r="B26" s="43" t="s">
        <v>1005</v>
      </c>
      <c r="C26" s="44"/>
      <c r="D26" s="44"/>
      <c r="E26" s="44"/>
      <c r="F26" s="218">
        <f>GETPIVOTDATA("Sum of antalPerioden",'B. Lastbilar'!$A$7)</f>
        <v>4743</v>
      </c>
      <c r="G26" s="45">
        <f>GETPIVOTDATA("Sum of antalPeriodenFG",'B. Lastbilar'!$A$7)</f>
        <v>3167</v>
      </c>
      <c r="H26" s="46">
        <f>IF(G26=0,"",SUM(((F26-G26)/G26)))</f>
        <v>0.49763182822860752</v>
      </c>
      <c r="I26" s="42">
        <f>IF(antalLBTotaltYTDFGAR=0,"",((AntalLBTotaltYTD-antalLBTotaltYTDFGAR)/antalLBTotaltYTDFGAR))</f>
        <v>0.2184284617353468</v>
      </c>
    </row>
    <row r="27" spans="1:15" ht="14" customHeight="1">
      <c r="A27" s="25"/>
      <c r="B27" s="25"/>
      <c r="C27" s="25"/>
      <c r="D27" s="25"/>
      <c r="E27" s="25"/>
      <c r="F27" s="25"/>
      <c r="G27" s="25"/>
      <c r="H27" s="25"/>
      <c r="I27" s="25"/>
    </row>
    <row r="28" spans="1:15" ht="14" customHeight="1">
      <c r="A28" s="25"/>
      <c r="B28" s="38" t="s">
        <v>584</v>
      </c>
      <c r="C28" s="25"/>
      <c r="D28" s="25"/>
      <c r="E28" s="25"/>
      <c r="F28" s="25"/>
      <c r="G28" s="25"/>
      <c r="H28" s="25"/>
      <c r="I28" s="25"/>
    </row>
    <row r="29" spans="1:15" ht="14" customHeight="1">
      <c r="A29" s="25"/>
      <c r="B29" s="41" t="s">
        <v>996</v>
      </c>
      <c r="C29" s="25"/>
      <c r="D29" s="25"/>
      <c r="E29" s="25"/>
      <c r="F29" s="25">
        <f>AntalELBUSS</f>
        <v>46</v>
      </c>
      <c r="G29" s="25">
        <f>AntalELBUSSFGAR</f>
        <v>53</v>
      </c>
      <c r="H29" s="42">
        <f>IF(G29=0,"",SUM(((F29-G29)/G29)))</f>
        <v>-0.13207547169811321</v>
      </c>
      <c r="I29" s="42">
        <f>ChangeBUSSELYTD/100</f>
        <v>0.24060150375939848</v>
      </c>
      <c r="K29" s="41"/>
    </row>
    <row r="30" spans="1:15" ht="14" customHeight="1">
      <c r="A30" s="25"/>
      <c r="B30" s="213" t="s">
        <v>1004</v>
      </c>
      <c r="C30" s="214"/>
      <c r="D30" s="214"/>
      <c r="E30" s="214"/>
      <c r="F30" s="215">
        <f>(F29/F31)</f>
        <v>0.40707964601769914</v>
      </c>
      <c r="G30" s="215">
        <f>(G29/G31)</f>
        <v>0.44537815126050423</v>
      </c>
      <c r="H30" s="215">
        <f>IF(G30=0,"",SUM(((F30-G30)/G30)))</f>
        <v>-8.5990983469694443E-2</v>
      </c>
      <c r="I30" s="216"/>
    </row>
    <row r="31" spans="1:15" ht="14" customHeight="1">
      <c r="A31" s="25"/>
      <c r="B31" s="43" t="s">
        <v>581</v>
      </c>
      <c r="C31" s="43"/>
      <c r="D31" s="43"/>
      <c r="E31" s="43"/>
      <c r="F31" s="84">
        <f>getAggBussAll[[#Totals],[antalPerioden]]</f>
        <v>113</v>
      </c>
      <c r="G31" s="44">
        <f>getAggBussAll[[#Totals],[antalPeriodenFG]]</f>
        <v>119</v>
      </c>
      <c r="H31" s="46">
        <f>IF(G31=0,"",SUM(((F31-G31)/G31)))</f>
        <v>-5.0420168067226892E-2</v>
      </c>
      <c r="I31" s="42">
        <f>IF(AntalBUSSYTDFGAR=0,"",((AntalBUSSYTD-AntalBUSSYTDFGAR)/AntalBUSSYTDFGAR))</f>
        <v>-0.27857142857142858</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445</v>
      </c>
      <c r="C36" s="47"/>
      <c r="D36" s="48"/>
      <c r="E36" s="48"/>
      <c r="F36" s="48"/>
      <c r="G36" s="25"/>
      <c r="H36" s="25"/>
      <c r="I36" s="25"/>
      <c r="J36" s="25"/>
    </row>
    <row r="37" spans="1:11" ht="18">
      <c r="A37" s="25"/>
      <c r="B37" s="49"/>
      <c r="C37" s="47" t="s">
        <v>446</v>
      </c>
      <c r="D37" s="48"/>
      <c r="E37" s="48"/>
      <c r="F37" s="48"/>
      <c r="G37" s="25"/>
      <c r="H37" s="25"/>
      <c r="I37" s="25"/>
      <c r="J37" s="25"/>
    </row>
    <row r="38" spans="1:11" ht="18">
      <c r="A38" s="25"/>
      <c r="B38" s="49"/>
      <c r="C38" s="47" t="s">
        <v>529</v>
      </c>
      <c r="D38" s="48"/>
      <c r="E38" s="48"/>
      <c r="F38" s="48"/>
      <c r="G38" s="25"/>
      <c r="H38" s="25"/>
      <c r="I38" s="25"/>
      <c r="J38" s="25"/>
    </row>
    <row r="39" spans="1:11" ht="18">
      <c r="A39" s="25"/>
      <c r="B39" s="49"/>
      <c r="C39" s="47" t="s">
        <v>465</v>
      </c>
      <c r="D39" s="48"/>
      <c r="E39" s="48"/>
      <c r="F39" s="48"/>
      <c r="G39" s="25"/>
      <c r="H39" s="25"/>
      <c r="I39" s="25"/>
      <c r="J39" s="25"/>
    </row>
    <row r="40" spans="1:11" ht="18">
      <c r="A40" s="25"/>
      <c r="B40" s="49"/>
      <c r="C40" s="47" t="s">
        <v>450</v>
      </c>
      <c r="D40" s="48"/>
      <c r="E40" s="48"/>
      <c r="F40" s="48"/>
      <c r="G40" s="25"/>
      <c r="H40" s="25"/>
      <c r="I40" s="25"/>
      <c r="J40" s="25"/>
    </row>
    <row r="41" spans="1:11" ht="18">
      <c r="A41" s="25"/>
      <c r="B41" s="49"/>
      <c r="C41" s="47" t="s">
        <v>451</v>
      </c>
      <c r="D41" s="48"/>
      <c r="E41" s="48"/>
      <c r="F41" s="48"/>
      <c r="G41" s="25"/>
      <c r="H41" s="25"/>
      <c r="I41" s="25"/>
      <c r="J41" s="25"/>
    </row>
    <row r="42" spans="1:11" ht="18">
      <c r="A42" s="25"/>
      <c r="B42" s="49"/>
      <c r="C42" s="47" t="s">
        <v>620</v>
      </c>
      <c r="D42" s="48"/>
      <c r="E42" s="48"/>
      <c r="F42" s="48"/>
      <c r="G42" s="25"/>
      <c r="H42" s="25"/>
      <c r="I42" s="25"/>
      <c r="J42" s="25"/>
    </row>
    <row r="43" spans="1:11" ht="18">
      <c r="A43" s="25"/>
      <c r="B43" s="49"/>
      <c r="C43" s="47" t="s">
        <v>621</v>
      </c>
      <c r="D43" s="48"/>
      <c r="E43" s="48"/>
      <c r="F43" s="48"/>
      <c r="G43" s="25"/>
      <c r="H43" s="25"/>
      <c r="I43" s="25"/>
      <c r="J43" s="25"/>
    </row>
    <row r="44" spans="1:11" ht="18">
      <c r="A44" s="25"/>
      <c r="B44" s="50"/>
      <c r="C44" s="47" t="s">
        <v>452</v>
      </c>
      <c r="D44" s="48"/>
      <c r="E44" s="48"/>
      <c r="F44" s="48" t="s">
        <v>1288</v>
      </c>
      <c r="G44" s="25"/>
      <c r="H44" s="25"/>
      <c r="I44" s="25"/>
      <c r="J44" s="25"/>
    </row>
    <row r="45" spans="1:11" ht="18">
      <c r="A45" s="25"/>
      <c r="B45" s="50"/>
      <c r="C45" s="47" t="s">
        <v>534</v>
      </c>
      <c r="D45" s="48"/>
      <c r="E45" s="48"/>
      <c r="F45" s="48"/>
      <c r="G45" s="48"/>
      <c r="H45" s="48"/>
      <c r="I45" s="48"/>
      <c r="J45" s="25"/>
    </row>
    <row r="46" spans="1:11" ht="18">
      <c r="A46" s="25"/>
      <c r="B46" s="50"/>
      <c r="C46" s="47" t="s">
        <v>535</v>
      </c>
      <c r="D46" s="48"/>
      <c r="E46" s="48"/>
      <c r="F46" s="48"/>
      <c r="G46" s="25"/>
      <c r="H46" s="25"/>
      <c r="I46" s="25"/>
      <c r="J46" s="25"/>
    </row>
    <row r="47" spans="1:11" ht="18">
      <c r="A47" s="25"/>
      <c r="B47" s="50"/>
      <c r="C47" s="50"/>
      <c r="D47" s="48"/>
      <c r="E47" s="48"/>
      <c r="F47" s="25"/>
      <c r="G47" s="25"/>
      <c r="H47" s="25"/>
      <c r="I47" s="25"/>
      <c r="J47" s="25"/>
    </row>
    <row r="48" spans="1:11" ht="18">
      <c r="A48" s="25"/>
      <c r="B48" s="47" t="s">
        <v>447</v>
      </c>
      <c r="C48" s="47"/>
      <c r="D48" s="47"/>
      <c r="E48" s="47"/>
      <c r="F48" s="47"/>
      <c r="G48" s="51"/>
      <c r="H48" s="51"/>
      <c r="I48" s="51"/>
      <c r="J48" s="51"/>
      <c r="K48" s="17"/>
    </row>
    <row r="49" spans="1:11" ht="18">
      <c r="A49" s="25"/>
      <c r="B49" s="50"/>
      <c r="C49" s="47" t="s">
        <v>530</v>
      </c>
      <c r="D49" s="47"/>
      <c r="E49" s="47"/>
      <c r="F49" s="47"/>
      <c r="G49" s="51"/>
      <c r="H49" s="51"/>
      <c r="I49" s="51"/>
      <c r="J49" s="51"/>
      <c r="K49" s="17"/>
    </row>
    <row r="50" spans="1:11" ht="18">
      <c r="A50" s="25"/>
      <c r="B50" s="50"/>
      <c r="C50" s="47" t="s">
        <v>369</v>
      </c>
      <c r="D50" s="47"/>
      <c r="E50" s="47"/>
      <c r="F50" s="47"/>
      <c r="G50" s="51"/>
      <c r="H50" s="51"/>
      <c r="I50" s="51"/>
      <c r="J50" s="51"/>
      <c r="K50" s="17"/>
    </row>
    <row r="51" spans="1:11" ht="18">
      <c r="A51" s="25"/>
      <c r="B51" s="50"/>
      <c r="C51" s="47" t="s">
        <v>306</v>
      </c>
      <c r="D51" s="47"/>
      <c r="E51" s="47"/>
      <c r="F51" s="47"/>
      <c r="G51" s="51"/>
      <c r="H51" s="51"/>
      <c r="I51" s="51"/>
      <c r="J51" s="51"/>
      <c r="K51" s="17"/>
    </row>
    <row r="52" spans="1:11" ht="18">
      <c r="A52" s="25"/>
      <c r="B52" s="50"/>
      <c r="C52" s="47" t="s">
        <v>531</v>
      </c>
      <c r="D52" s="47"/>
      <c r="E52" s="47"/>
      <c r="F52" s="47"/>
      <c r="G52" s="51"/>
      <c r="H52" s="51"/>
      <c r="I52" s="51"/>
      <c r="J52" s="51"/>
      <c r="K52" s="17"/>
    </row>
    <row r="53" spans="1:11" ht="18">
      <c r="A53" s="25"/>
      <c r="B53" s="50"/>
      <c r="C53" s="47" t="s">
        <v>351</v>
      </c>
      <c r="D53" s="47"/>
      <c r="E53" s="47"/>
      <c r="F53" s="47"/>
      <c r="G53" s="25"/>
      <c r="H53" s="25"/>
      <c r="I53" s="25"/>
      <c r="J53" s="25"/>
    </row>
    <row r="54" spans="1:11" ht="18">
      <c r="A54" s="25"/>
      <c r="B54" s="52"/>
      <c r="C54" s="50"/>
      <c r="D54" s="47"/>
      <c r="E54" s="47"/>
      <c r="F54" s="49"/>
      <c r="G54" s="25"/>
      <c r="H54" s="25"/>
      <c r="I54" s="25"/>
      <c r="J54" s="25"/>
    </row>
    <row r="55" spans="1:11" ht="18">
      <c r="A55" s="25"/>
      <c r="B55" s="47" t="s">
        <v>448</v>
      </c>
      <c r="C55" s="47"/>
      <c r="D55" s="47"/>
      <c r="E55" s="47"/>
      <c r="F55" s="47"/>
      <c r="G55" s="25"/>
      <c r="H55" s="25"/>
      <c r="I55" s="25"/>
      <c r="J55" s="25"/>
    </row>
    <row r="56" spans="1:11" ht="18">
      <c r="A56" s="25"/>
      <c r="B56" s="50"/>
      <c r="C56" s="47" t="s">
        <v>307</v>
      </c>
      <c r="D56" s="47"/>
      <c r="E56" s="47"/>
      <c r="F56" s="47"/>
      <c r="G56" s="25"/>
      <c r="H56" s="25"/>
      <c r="I56" s="25"/>
      <c r="J56" s="25"/>
    </row>
    <row r="57" spans="1:11" ht="18">
      <c r="A57" s="25"/>
      <c r="B57" s="25"/>
      <c r="C57" s="47" t="s">
        <v>528</v>
      </c>
      <c r="D57" s="48"/>
      <c r="E57" s="48"/>
      <c r="F57" s="48"/>
      <c r="G57" s="25"/>
      <c r="H57" s="25"/>
      <c r="I57" s="25"/>
      <c r="J57" s="25"/>
    </row>
    <row r="58" spans="1:11" ht="18">
      <c r="A58" s="25"/>
      <c r="B58" s="25"/>
      <c r="C58" s="47"/>
      <c r="D58" s="25"/>
      <c r="E58" s="25"/>
      <c r="F58" s="25"/>
      <c r="G58" s="25"/>
      <c r="H58" s="25"/>
      <c r="I58" s="25"/>
      <c r="J58" s="25"/>
    </row>
    <row r="59" spans="1:11">
      <c r="A59" s="25"/>
      <c r="B59" s="53" t="s">
        <v>678</v>
      </c>
      <c r="C59" s="25"/>
      <c r="D59" s="25"/>
      <c r="E59" s="25"/>
      <c r="F59" s="25"/>
      <c r="G59" s="25"/>
      <c r="H59" s="25"/>
      <c r="I59" s="25"/>
      <c r="J59" s="25"/>
    </row>
    <row r="60" spans="1:11">
      <c r="A60" s="25"/>
      <c r="B60" s="54"/>
      <c r="C60" s="25"/>
      <c r="D60" s="25"/>
      <c r="E60" s="25"/>
      <c r="F60" s="25"/>
      <c r="G60" s="25"/>
      <c r="H60" s="25"/>
      <c r="I60" s="25"/>
      <c r="J60" s="25"/>
    </row>
    <row r="61" spans="1:11">
      <c r="A61" s="25"/>
      <c r="B61" s="55" t="s">
        <v>682</v>
      </c>
      <c r="C61" s="48"/>
      <c r="D61" s="48"/>
      <c r="E61" s="48"/>
      <c r="F61" s="48"/>
      <c r="G61" s="25"/>
      <c r="H61" s="25"/>
      <c r="I61" s="25"/>
      <c r="J61" s="25"/>
    </row>
    <row r="62" spans="1:11">
      <c r="A62" s="25"/>
      <c r="B62" s="55" t="s">
        <v>532</v>
      </c>
      <c r="C62" s="25"/>
      <c r="D62" s="25"/>
      <c r="E62" s="25"/>
      <c r="F62" s="25"/>
      <c r="G62" s="25"/>
      <c r="H62" s="25"/>
      <c r="I62" s="25"/>
      <c r="J62" s="25"/>
    </row>
    <row r="63" spans="1:11">
      <c r="A63" s="25"/>
      <c r="B63" s="51"/>
      <c r="C63" s="25"/>
      <c r="D63" s="25"/>
      <c r="E63" s="25"/>
      <c r="F63" s="25"/>
      <c r="G63" s="25"/>
      <c r="H63" s="25"/>
      <c r="I63" s="25"/>
      <c r="J63" s="25"/>
    </row>
    <row r="64" spans="1:11">
      <c r="A64" s="25"/>
      <c r="B64" s="20" t="s">
        <v>533</v>
      </c>
      <c r="C64" s="51"/>
      <c r="D64" s="51"/>
      <c r="E64" s="51"/>
      <c r="F64" s="51"/>
      <c r="G64" s="25"/>
      <c r="H64" s="25"/>
      <c r="I64" s="25"/>
      <c r="J64" s="25"/>
    </row>
    <row r="65" spans="1:10">
      <c r="A65" s="25"/>
      <c r="B65" s="7" t="s">
        <v>679</v>
      </c>
      <c r="C65" s="51"/>
      <c r="D65" s="51"/>
      <c r="E65" s="51"/>
      <c r="F65" s="51"/>
      <c r="G65" s="25"/>
      <c r="H65" s="25"/>
      <c r="I65" s="25"/>
      <c r="J65" s="25"/>
    </row>
    <row r="66" spans="1:10">
      <c r="A66" s="25"/>
      <c r="B66" s="7" t="s">
        <v>475</v>
      </c>
      <c r="C66" s="51"/>
      <c r="D66" s="51"/>
      <c r="E66" s="51"/>
      <c r="F66" s="51"/>
      <c r="G66" s="25"/>
      <c r="H66" s="25"/>
      <c r="I66" s="25"/>
      <c r="J66" s="25"/>
    </row>
    <row r="67" spans="1:10">
      <c r="A67" s="25"/>
      <c r="B67" s="7" t="s">
        <v>476</v>
      </c>
      <c r="C67" s="51"/>
      <c r="D67" s="51"/>
      <c r="E67" s="51"/>
      <c r="F67" s="51"/>
      <c r="G67" s="25"/>
      <c r="H67" s="25"/>
      <c r="I67" s="25"/>
      <c r="J67" s="25"/>
    </row>
    <row r="68" spans="1:10">
      <c r="A68" s="25"/>
      <c r="B68" s="7" t="s">
        <v>680</v>
      </c>
      <c r="C68" s="51"/>
      <c r="D68" s="51"/>
      <c r="E68" s="51"/>
      <c r="F68" s="51"/>
      <c r="G68" s="25"/>
      <c r="H68" s="25"/>
      <c r="I68" s="25"/>
      <c r="J68" s="25"/>
    </row>
    <row r="69" spans="1:10">
      <c r="A69" s="25"/>
      <c r="B69" s="7" t="s">
        <v>449</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357</v>
      </c>
      <c r="D74" s="169" t="s">
        <v>522</v>
      </c>
    </row>
    <row r="75" spans="1:10" hidden="1">
      <c r="A75" t="s">
        <v>348</v>
      </c>
      <c r="D75" s="169" t="s">
        <v>7</v>
      </c>
    </row>
    <row r="76" spans="1:10" hidden="1">
      <c r="A76" t="s">
        <v>349</v>
      </c>
      <c r="D76" s="169" t="s">
        <v>1243</v>
      </c>
    </row>
    <row r="77" spans="1:10" hidden="1">
      <c r="A77" t="s">
        <v>346</v>
      </c>
      <c r="D77" s="169" t="s">
        <v>1072</v>
      </c>
    </row>
    <row r="78" spans="1:10" hidden="1">
      <c r="A78" t="s">
        <v>347</v>
      </c>
      <c r="D78" s="169" t="s">
        <v>659</v>
      </c>
    </row>
    <row r="79" spans="1:10" hidden="1">
      <c r="A79" t="s">
        <v>342</v>
      </c>
      <c r="D79" s="169" t="s">
        <v>1244</v>
      </c>
    </row>
    <row r="80" spans="1:10" hidden="1">
      <c r="A80" t="s">
        <v>343</v>
      </c>
      <c r="D80" s="169" t="s">
        <v>1245</v>
      </c>
    </row>
    <row r="81" spans="1:4" hidden="1">
      <c r="A81" t="s">
        <v>344</v>
      </c>
      <c r="D81" s="169" t="s">
        <v>1073</v>
      </c>
    </row>
    <row r="82" spans="1:4" hidden="1">
      <c r="A82" t="s">
        <v>345</v>
      </c>
      <c r="D82" s="169" t="s">
        <v>660</v>
      </c>
    </row>
    <row r="83" spans="1:4" hidden="1">
      <c r="D83" s="25"/>
    </row>
    <row r="84" spans="1:4" hidden="1">
      <c r="A84" t="s">
        <v>345</v>
      </c>
      <c r="D84" s="169" t="s">
        <v>1247</v>
      </c>
    </row>
    <row r="85" spans="1:4" hidden="1">
      <c r="A85" t="s">
        <v>344</v>
      </c>
      <c r="D85" s="169" t="s">
        <v>1246</v>
      </c>
    </row>
    <row r="86" spans="1:4" hidden="1">
      <c r="D86" s="25"/>
    </row>
    <row r="87" spans="1:4" hidden="1">
      <c r="A87" t="s">
        <v>358</v>
      </c>
      <c r="D87" s="169" t="s">
        <v>1248</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4:M90"/>
  <sheetViews>
    <sheetView workbookViewId="0">
      <selection activeCell="D30" sqref="D30"/>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5" max="15" width="11.1640625" customWidth="1"/>
    <col min="16" max="16" width="12.33203125" customWidth="1"/>
  </cols>
  <sheetData>
    <row r="4" spans="1:13" ht="19.25" customHeight="1" thickBot="1">
      <c r="A4" s="56" t="s">
        <v>355</v>
      </c>
      <c r="B4" s="56"/>
      <c r="C4" s="56"/>
      <c r="D4" s="56"/>
      <c r="E4" s="56"/>
      <c r="F4" s="56"/>
      <c r="G4"/>
    </row>
    <row r="6" spans="1:13">
      <c r="A6" s="61"/>
      <c r="B6" s="25"/>
      <c r="C6" s="61"/>
      <c r="D6" s="61"/>
      <c r="E6" s="79"/>
      <c r="F6" s="80"/>
      <c r="G6" s="257" t="s">
        <v>455</v>
      </c>
      <c r="H6" s="257"/>
      <c r="I6" s="257"/>
      <c r="J6" s="257"/>
      <c r="K6" s="257"/>
      <c r="L6" s="25"/>
    </row>
    <row r="7" spans="1:13">
      <c r="A7" s="96"/>
      <c r="B7" s="263" t="s">
        <v>538</v>
      </c>
      <c r="C7" s="264"/>
      <c r="D7" s="265" t="s">
        <v>540</v>
      </c>
      <c r="E7" s="266"/>
      <c r="F7" s="121" t="s">
        <v>538</v>
      </c>
      <c r="G7" s="122"/>
      <c r="H7" s="267" t="s">
        <v>540</v>
      </c>
      <c r="I7" s="268"/>
      <c r="J7" s="267" t="s">
        <v>539</v>
      </c>
      <c r="K7" s="268"/>
      <c r="L7" s="25"/>
    </row>
    <row r="8" spans="1:13">
      <c r="A8" s="96"/>
      <c r="B8" s="123" t="str">
        <f>Innehåll!D79</f>
        <v xml:space="preserve"> 2023-06</v>
      </c>
      <c r="C8" s="123" t="str">
        <f>Innehåll!D80</f>
        <v xml:space="preserve"> 2022-06</v>
      </c>
      <c r="D8" s="124" t="str">
        <f>B8</f>
        <v xml:space="preserve"> 2023-06</v>
      </c>
      <c r="E8" s="125" t="str">
        <f>C8</f>
        <v xml:space="preserve"> 2022-06</v>
      </c>
      <c r="F8" s="123" t="str">
        <f>Innehåll!D81</f>
        <v>YTD  2023</v>
      </c>
      <c r="G8" s="123" t="str">
        <f>Innehåll!D82</f>
        <v>YTD  2022</v>
      </c>
      <c r="H8" s="126" t="str">
        <f>F8</f>
        <v>YTD  2023</v>
      </c>
      <c r="I8" s="127" t="str">
        <f>G8</f>
        <v>YTD  2022</v>
      </c>
      <c r="J8" s="128" t="str">
        <f>B8</f>
        <v xml:space="preserve"> 2023-06</v>
      </c>
      <c r="K8" s="126" t="str">
        <f>F8</f>
        <v>YTD  2023</v>
      </c>
      <c r="L8" s="25"/>
    </row>
    <row r="9" spans="1:13" ht="15" hidden="1" customHeight="1">
      <c r="A9" s="61" t="s">
        <v>333</v>
      </c>
      <c r="B9" s="61" t="s">
        <v>26</v>
      </c>
      <c r="C9" s="61" t="s">
        <v>299</v>
      </c>
      <c r="D9" s="61" t="s">
        <v>334</v>
      </c>
      <c r="E9" s="61" t="s">
        <v>335</v>
      </c>
      <c r="F9" s="61" t="s">
        <v>300</v>
      </c>
      <c r="G9" s="61" t="s">
        <v>301</v>
      </c>
      <c r="H9" s="61" t="s">
        <v>336</v>
      </c>
      <c r="I9" s="61" t="s">
        <v>337</v>
      </c>
      <c r="J9" s="61" t="s">
        <v>338</v>
      </c>
      <c r="K9" s="61" t="s">
        <v>341</v>
      </c>
      <c r="L9" s="61"/>
      <c r="M9" s="8"/>
    </row>
    <row r="10" spans="1:13">
      <c r="A10" s="61" t="s">
        <v>982</v>
      </c>
      <c r="B10" s="61">
        <v>16904</v>
      </c>
      <c r="C10" s="61">
        <v>14442</v>
      </c>
      <c r="D10" s="79">
        <f t="shared" ref="D10:D17" si="0">(B10/$B$18)*100</f>
        <v>59.767351412509285</v>
      </c>
      <c r="E10" s="79">
        <f t="shared" ref="E10:E17" si="1">(C10/$C$18)*100</f>
        <v>55.358785648574063</v>
      </c>
      <c r="F10" s="61">
        <v>81918</v>
      </c>
      <c r="G10" s="61">
        <v>74644</v>
      </c>
      <c r="H10" s="79">
        <f t="shared" ref="H10:H17" si="2">(F10/$F$18)*100</f>
        <v>58.237063051406558</v>
      </c>
      <c r="I10" s="79">
        <f t="shared" ref="I10:I17" si="3">(G10/$G$18)*100</f>
        <v>51.770678725499721</v>
      </c>
      <c r="J10" s="58">
        <f t="shared" ref="J10:J17" si="4">((( B10  / C10) - 1) * 100)</f>
        <v>17.047500346212431</v>
      </c>
      <c r="K10" s="58">
        <f t="shared" ref="K10:K17" si="5">((( F10  / G10) - 1) * 100)</f>
        <v>9.7449225657789018</v>
      </c>
      <c r="L10" s="61"/>
      <c r="M10" s="8"/>
    </row>
    <row r="11" spans="1:13">
      <c r="A11" s="61" t="s">
        <v>983</v>
      </c>
      <c r="B11" s="61">
        <v>92</v>
      </c>
      <c r="C11" s="61">
        <v>154</v>
      </c>
      <c r="D11" s="79">
        <f t="shared" si="0"/>
        <v>0.3252837393487254</v>
      </c>
      <c r="E11" s="58">
        <f t="shared" si="1"/>
        <v>0.59030972094449552</v>
      </c>
      <c r="F11" s="61">
        <v>423</v>
      </c>
      <c r="G11" s="61">
        <v>1195</v>
      </c>
      <c r="H11" s="58">
        <f t="shared" si="2"/>
        <v>0.30071873911405272</v>
      </c>
      <c r="I11" s="58">
        <f t="shared" si="3"/>
        <v>0.82881358283280848</v>
      </c>
      <c r="J11" s="58">
        <f t="shared" si="4"/>
        <v>-40.259740259740262</v>
      </c>
      <c r="K11" s="58">
        <f t="shared" si="5"/>
        <v>-64.602510460251054</v>
      </c>
      <c r="L11" s="61"/>
      <c r="M11" s="8"/>
    </row>
    <row r="12" spans="1:13">
      <c r="A12" s="61" t="s">
        <v>589</v>
      </c>
      <c r="B12" s="61">
        <v>6</v>
      </c>
      <c r="C12" s="61">
        <v>15</v>
      </c>
      <c r="D12" s="79">
        <f t="shared" si="0"/>
        <v>2.1214156914047308E-2</v>
      </c>
      <c r="E12" s="58">
        <f t="shared" si="1"/>
        <v>5.7497700091996319E-2</v>
      </c>
      <c r="F12" s="61">
        <v>51</v>
      </c>
      <c r="G12" s="61">
        <v>130</v>
      </c>
      <c r="H12" s="58">
        <f t="shared" si="2"/>
        <v>3.625686925488579E-2</v>
      </c>
      <c r="I12" s="58">
        <f t="shared" si="3"/>
        <v>9.0163820726581675E-2</v>
      </c>
      <c r="J12" s="58">
        <f t="shared" si="4"/>
        <v>-60</v>
      </c>
      <c r="K12" s="58">
        <f t="shared" si="5"/>
        <v>-60.769230769230774</v>
      </c>
      <c r="L12" s="61"/>
      <c r="M12" s="8"/>
    </row>
    <row r="13" spans="1:13">
      <c r="A13" s="61" t="s">
        <v>590</v>
      </c>
      <c r="B13" s="61">
        <v>399</v>
      </c>
      <c r="C13" s="61">
        <v>336</v>
      </c>
      <c r="D13" s="79">
        <f t="shared" si="0"/>
        <v>1.4107414347841458</v>
      </c>
      <c r="E13" s="58">
        <f t="shared" si="1"/>
        <v>1.2879484820607177</v>
      </c>
      <c r="F13" s="61">
        <v>2118</v>
      </c>
      <c r="G13" s="61">
        <v>1485</v>
      </c>
      <c r="H13" s="58">
        <f t="shared" si="2"/>
        <v>1.5057264525852569</v>
      </c>
      <c r="I13" s="58">
        <f t="shared" si="3"/>
        <v>1.0299482598382599</v>
      </c>
      <c r="J13" s="58">
        <f t="shared" si="4"/>
        <v>18.75</v>
      </c>
      <c r="K13" s="58">
        <f t="shared" si="5"/>
        <v>42.626262626262637</v>
      </c>
      <c r="L13" s="61"/>
      <c r="M13" s="8"/>
    </row>
    <row r="14" spans="1:13">
      <c r="A14" s="61" t="s">
        <v>591</v>
      </c>
      <c r="B14" s="61">
        <v>2012</v>
      </c>
      <c r="C14" s="61">
        <v>1888</v>
      </c>
      <c r="D14" s="79">
        <f t="shared" si="0"/>
        <v>7.1138139518438646</v>
      </c>
      <c r="E14" s="58">
        <f t="shared" si="1"/>
        <v>7.2370438515792692</v>
      </c>
      <c r="F14" s="61">
        <v>10962</v>
      </c>
      <c r="G14" s="61">
        <v>12630</v>
      </c>
      <c r="H14" s="58">
        <f t="shared" si="2"/>
        <v>7.793094132785451</v>
      </c>
      <c r="I14" s="58">
        <f t="shared" si="3"/>
        <v>8.7597619675132812</v>
      </c>
      <c r="J14" s="58">
        <f t="shared" si="4"/>
        <v>6.5677966101694851</v>
      </c>
      <c r="K14" s="58">
        <f t="shared" si="5"/>
        <v>-13.206650831353917</v>
      </c>
      <c r="L14" s="61"/>
      <c r="M14" s="8"/>
    </row>
    <row r="15" spans="1:13">
      <c r="A15" s="61" t="s">
        <v>339</v>
      </c>
      <c r="B15" s="61">
        <v>1900</v>
      </c>
      <c r="C15" s="61">
        <v>1253</v>
      </c>
      <c r="D15" s="79">
        <f t="shared" si="0"/>
        <v>6.7178163561149802</v>
      </c>
      <c r="E15" s="58">
        <f t="shared" si="1"/>
        <v>4.8029745476847596</v>
      </c>
      <c r="F15" s="61">
        <v>9278</v>
      </c>
      <c r="G15" s="61">
        <v>8294</v>
      </c>
      <c r="H15" s="58">
        <f t="shared" si="2"/>
        <v>6.5959065283692233</v>
      </c>
      <c r="I15" s="58">
        <f t="shared" si="3"/>
        <v>5.7524517623559115</v>
      </c>
      <c r="J15" s="58">
        <f t="shared" si="4"/>
        <v>51.636073423782911</v>
      </c>
      <c r="K15" s="58">
        <f t="shared" si="5"/>
        <v>11.86399807089462</v>
      </c>
      <c r="L15" s="61"/>
      <c r="M15" s="8"/>
    </row>
    <row r="16" spans="1:13">
      <c r="A16" s="61" t="s">
        <v>340</v>
      </c>
      <c r="B16" s="61">
        <v>2531</v>
      </c>
      <c r="C16" s="61">
        <v>1634</v>
      </c>
      <c r="D16" s="79">
        <f t="shared" si="0"/>
        <v>8.9488385249089557</v>
      </c>
      <c r="E16" s="58">
        <f t="shared" si="1"/>
        <v>6.263416130021465</v>
      </c>
      <c r="F16" s="61">
        <v>11722</v>
      </c>
      <c r="G16" s="61">
        <v>10591</v>
      </c>
      <c r="H16" s="58">
        <f t="shared" si="2"/>
        <v>8.3333925765837495</v>
      </c>
      <c r="I16" s="58">
        <f t="shared" si="3"/>
        <v>7.3455771178094347</v>
      </c>
      <c r="J16" s="58">
        <f t="shared" si="4"/>
        <v>54.895960832313342</v>
      </c>
      <c r="K16" s="58">
        <f t="shared" si="5"/>
        <v>10.678878292890182</v>
      </c>
      <c r="L16" s="61"/>
      <c r="M16" s="8"/>
    </row>
    <row r="17" spans="1:13">
      <c r="A17" s="146" t="s">
        <v>23</v>
      </c>
      <c r="B17" s="146">
        <v>4439</v>
      </c>
      <c r="C17" s="146">
        <v>6366</v>
      </c>
      <c r="D17" s="155">
        <f t="shared" si="0"/>
        <v>15.694940423576002</v>
      </c>
      <c r="E17" s="147">
        <f t="shared" si="1"/>
        <v>24.402023919043238</v>
      </c>
      <c r="F17" s="146">
        <v>24191</v>
      </c>
      <c r="G17" s="146">
        <v>35213</v>
      </c>
      <c r="H17" s="147">
        <f t="shared" si="2"/>
        <v>17.197841649900827</v>
      </c>
      <c r="I17" s="147">
        <f t="shared" si="3"/>
        <v>24.422604763424005</v>
      </c>
      <c r="J17" s="147">
        <f t="shared" si="4"/>
        <v>-30.270185359723534</v>
      </c>
      <c r="K17" s="147">
        <f t="shared" si="5"/>
        <v>-31.300939993752309</v>
      </c>
      <c r="L17" s="61"/>
      <c r="M17" s="8"/>
    </row>
    <row r="18" spans="1:13">
      <c r="A18" s="81" t="s">
        <v>457</v>
      </c>
      <c r="B18" s="81">
        <f>SUM(B10:B17)</f>
        <v>28283</v>
      </c>
      <c r="C18" s="210">
        <f>SUM(C10:C17)</f>
        <v>26088</v>
      </c>
      <c r="D18" s="82">
        <f t="shared" ref="D18" si="6">(B18/$B$18)*100</f>
        <v>100</v>
      </c>
      <c r="E18" s="82">
        <f t="shared" ref="E18" si="7">(C18/$C$18)*100</f>
        <v>100</v>
      </c>
      <c r="F18" s="210">
        <f>SUM(F10:F17)</f>
        <v>140663</v>
      </c>
      <c r="G18" s="210">
        <f>SUM(G10:G17)</f>
        <v>144182</v>
      </c>
      <c r="H18" s="82">
        <f t="shared" ref="H18" si="8">(F18/$F$18)*100</f>
        <v>100</v>
      </c>
      <c r="I18" s="82">
        <f t="shared" ref="I18" si="9">(G18/$G$18)*100</f>
        <v>100</v>
      </c>
      <c r="J18" s="83">
        <f>((( B18  / C18) - 1) * 100)</f>
        <v>8.4138301134621294</v>
      </c>
      <c r="K18" s="83">
        <f>((( F18  / G18) - 1) * 100)</f>
        <v>-2.4406652702833931</v>
      </c>
      <c r="L18" s="79"/>
      <c r="M18" s="4"/>
    </row>
    <row r="35" spans="1:11" ht="19.25" customHeight="1"/>
    <row r="37" spans="1:11" ht="15" hidden="1" customHeight="1"/>
    <row r="44" spans="1:11" hidden="1">
      <c r="A44" s="5"/>
      <c r="B44" s="5"/>
      <c r="C44" s="5"/>
      <c r="D44" s="5"/>
      <c r="E44" s="5"/>
      <c r="F44" s="5"/>
      <c r="G44" s="5"/>
      <c r="H44" s="5"/>
      <c r="I44" s="5"/>
      <c r="J44" s="5"/>
      <c r="K44" s="5"/>
    </row>
    <row r="45" spans="1:11" s="5" customFormat="1">
      <c r="A45" s="4"/>
      <c r="B45"/>
      <c r="C45" s="4"/>
      <c r="D45" s="4"/>
      <c r="E45" s="12"/>
      <c r="F45" s="12"/>
      <c r="G45" s="4"/>
      <c r="H45" s="4"/>
      <c r="I45" s="8"/>
      <c r="J45" s="8"/>
      <c r="K45" s="8"/>
    </row>
    <row r="56" ht="15" hidden="1" customHeight="1"/>
    <row r="65" spans="1:1">
      <c r="A65" s="4" t="s">
        <v>681</v>
      </c>
    </row>
    <row r="81" spans="1:2" hidden="1"/>
    <row r="82" spans="1:2" ht="15" hidden="1" customHeight="1">
      <c r="A82" s="4" t="s">
        <v>380</v>
      </c>
      <c r="B82" t="s">
        <v>381</v>
      </c>
    </row>
    <row r="83" spans="1:2" ht="15" hidden="1" customHeight="1">
      <c r="A83" s="4">
        <v>28283</v>
      </c>
      <c r="B83" s="8">
        <v>6.6</v>
      </c>
    </row>
    <row r="84" spans="1:2" ht="15" hidden="1" customHeight="1">
      <c r="A84" s="4">
        <v>140663</v>
      </c>
      <c r="B84" s="8">
        <v>11.9</v>
      </c>
    </row>
    <row r="85" spans="1:2" hidden="1"/>
    <row r="86" spans="1:2" hidden="1"/>
    <row r="90" spans="1:2">
      <c r="A90" s="4" t="s">
        <v>681</v>
      </c>
    </row>
  </sheetData>
  <mergeCells count="5">
    <mergeCell ref="B7:C7"/>
    <mergeCell ref="D7:E7"/>
    <mergeCell ref="H7:I7"/>
    <mergeCell ref="J7:K7"/>
    <mergeCell ref="G6:K6"/>
  </mergeCells>
  <dataValidations count="4">
    <dataValidation allowBlank="1" showInputMessage="1" showErrorMessage="1" prompt="antalet registreringar ackumulerat från föregående års början t.o.m den aktuella månaden i föregående år." sqref="I8" xr:uid="{00000000-0002-0000-0A00-000000000000}"/>
    <dataValidation allowBlank="1" showInputMessage="1" showErrorMessage="1" prompt="visar antalet registreringar för den aktuella månaden föregående år." sqref="E8" xr:uid="{00000000-0002-0000-0A00-000001000000}"/>
    <dataValidation allowBlank="1" showInputMessage="1" showErrorMessage="1" prompt="visar antalet registreringar för den aktuella månaden i år." sqref="B8:D8 J8 F8:G8" xr:uid="{00000000-0002-0000-0A00-000002000000}"/>
    <dataValidation allowBlank="1" showInputMessage="1" showErrorMessage="1" prompt="förändring i marknads-andelen ackumulerat från årets början t.o.m den aktuella månaden." sqref="H8 K8" xr:uid="{00000000-0002-0000-0A00-000003000000}"/>
  </dataValidations>
  <pageMargins left="0.70866141732283472" right="0.70866141732283472" top="0.74803149606299213" bottom="0.74803149606299213" header="0.31496062992125984" footer="0.31496062992125984"/>
  <pageSetup paperSize="9" orientation="landscape" r:id="rId1"/>
  <rowBreaks count="1" manualBreakCount="1">
    <brk id="31" max="16383" man="1"/>
  </rowBreaks>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6"/>
  <sheetViews>
    <sheetView workbookViewId="0">
      <pane ySplit="8" topLeftCell="A9" activePane="bottomLeft" state="frozen"/>
      <selection pane="bottomLeft" activeCell="M24" sqref="M24"/>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241</v>
      </c>
      <c r="E2" s="56"/>
      <c r="F2" s="56"/>
      <c r="G2" s="56"/>
      <c r="H2" s="56"/>
      <c r="I2" s="56"/>
      <c r="J2" s="56"/>
      <c r="P2"/>
      <c r="Q2"/>
    </row>
    <row r="4" spans="1:17" ht="15.75" customHeight="1">
      <c r="A4" s="86" t="s">
        <v>460</v>
      </c>
      <c r="B4" s="25"/>
      <c r="C4" s="25"/>
      <c r="D4" s="25"/>
      <c r="E4" s="25"/>
      <c r="F4" s="25"/>
      <c r="G4" s="25"/>
      <c r="H4" s="38"/>
      <c r="I4" s="38"/>
      <c r="J4" s="25"/>
      <c r="K4" s="25"/>
      <c r="L4" s="25"/>
      <c r="M4" s="25"/>
      <c r="N4" s="25"/>
      <c r="O4" s="25"/>
      <c r="P4" s="38"/>
      <c r="Q4" s="38"/>
    </row>
    <row r="5" spans="1:17">
      <c r="A5" s="129"/>
      <c r="B5" s="269" t="str">
        <f>Innehåll!D75</f>
        <v>Juni</v>
      </c>
      <c r="C5" s="271"/>
      <c r="D5" s="271"/>
      <c r="E5" s="271"/>
      <c r="F5" s="271"/>
      <c r="G5" s="271"/>
      <c r="H5" s="271"/>
      <c r="I5" s="271"/>
      <c r="J5" s="269" t="str">
        <f>Innehåll!D76</f>
        <v>Januari - juni</v>
      </c>
      <c r="K5" s="271"/>
      <c r="L5" s="271"/>
      <c r="M5" s="271"/>
      <c r="N5" s="271"/>
      <c r="O5" s="271"/>
      <c r="P5" s="271"/>
      <c r="Q5" s="271"/>
    </row>
    <row r="6" spans="1:17">
      <c r="A6" s="129"/>
      <c r="B6" s="269" t="s">
        <v>543</v>
      </c>
      <c r="C6" s="270"/>
      <c r="D6" s="269" t="s">
        <v>544</v>
      </c>
      <c r="E6" s="270"/>
      <c r="F6" s="269" t="s">
        <v>545</v>
      </c>
      <c r="G6" s="270"/>
      <c r="H6" s="269" t="s">
        <v>457</v>
      </c>
      <c r="I6" s="270"/>
      <c r="J6" s="269" t="s">
        <v>543</v>
      </c>
      <c r="K6" s="270"/>
      <c r="L6" s="269" t="s">
        <v>544</v>
      </c>
      <c r="M6" s="270"/>
      <c r="N6" s="269" t="s">
        <v>545</v>
      </c>
      <c r="O6" s="270"/>
      <c r="P6" s="269" t="s">
        <v>457</v>
      </c>
      <c r="Q6" s="271"/>
    </row>
    <row r="7" spans="1:17">
      <c r="A7" s="129" t="s">
        <v>466</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242</v>
      </c>
      <c r="B8" s="25" t="s">
        <v>243</v>
      </c>
      <c r="C8" s="25" t="s">
        <v>244</v>
      </c>
      <c r="D8" s="25" t="s">
        <v>245</v>
      </c>
      <c r="E8" s="25" t="s">
        <v>246</v>
      </c>
      <c r="F8" s="25" t="s">
        <v>247</v>
      </c>
      <c r="G8" s="25" t="s">
        <v>248</v>
      </c>
      <c r="H8" s="38" t="s">
        <v>249</v>
      </c>
      <c r="I8" s="38" t="s">
        <v>250</v>
      </c>
      <c r="J8" s="25" t="s">
        <v>251</v>
      </c>
      <c r="K8" s="25" t="s">
        <v>252</v>
      </c>
      <c r="L8" s="25" t="s">
        <v>253</v>
      </c>
      <c r="M8" s="25" t="s">
        <v>254</v>
      </c>
      <c r="N8" s="25" t="s">
        <v>255</v>
      </c>
      <c r="O8" s="25" t="s">
        <v>256</v>
      </c>
      <c r="P8" s="38" t="s">
        <v>257</v>
      </c>
      <c r="Q8" s="38" t="s">
        <v>258</v>
      </c>
    </row>
    <row r="9" spans="1:17">
      <c r="A9" s="25" t="s">
        <v>259</v>
      </c>
      <c r="B9" s="61">
        <v>0</v>
      </c>
      <c r="C9" s="61">
        <v>0</v>
      </c>
      <c r="D9" s="61">
        <v>5</v>
      </c>
      <c r="E9" s="61">
        <v>1</v>
      </c>
      <c r="F9" s="25">
        <v>100</v>
      </c>
      <c r="G9" s="25">
        <v>100</v>
      </c>
      <c r="H9" s="85">
        <v>5</v>
      </c>
      <c r="I9" s="85">
        <v>1</v>
      </c>
      <c r="J9" s="61">
        <v>12</v>
      </c>
      <c r="K9" s="61">
        <v>10</v>
      </c>
      <c r="L9" s="61">
        <v>158</v>
      </c>
      <c r="M9" s="61">
        <v>22</v>
      </c>
      <c r="N9" s="25">
        <v>92.9</v>
      </c>
      <c r="O9" s="25">
        <v>68.8</v>
      </c>
      <c r="P9" s="85">
        <v>170</v>
      </c>
      <c r="Q9" s="85">
        <v>32</v>
      </c>
    </row>
    <row r="10" spans="1:17">
      <c r="A10" s="25" t="s">
        <v>555</v>
      </c>
      <c r="B10" s="61">
        <v>0</v>
      </c>
      <c r="C10" s="61">
        <v>2</v>
      </c>
      <c r="D10" s="61">
        <v>2</v>
      </c>
      <c r="E10" s="61">
        <v>0</v>
      </c>
      <c r="F10" s="25">
        <v>100</v>
      </c>
      <c r="G10" s="25">
        <v>0</v>
      </c>
      <c r="H10" s="85">
        <v>2</v>
      </c>
      <c r="I10" s="85">
        <v>2</v>
      </c>
      <c r="J10" s="61">
        <v>0</v>
      </c>
      <c r="K10" s="61">
        <v>4</v>
      </c>
      <c r="L10" s="61">
        <v>4</v>
      </c>
      <c r="M10" s="61">
        <v>4</v>
      </c>
      <c r="N10" s="25">
        <v>100</v>
      </c>
      <c r="O10" s="25">
        <v>50</v>
      </c>
      <c r="P10" s="85">
        <v>4</v>
      </c>
      <c r="Q10" s="85">
        <v>8</v>
      </c>
    </row>
    <row r="11" spans="1:17">
      <c r="A11" s="25" t="s">
        <v>260</v>
      </c>
      <c r="B11" s="61">
        <v>627</v>
      </c>
      <c r="C11" s="61">
        <v>479</v>
      </c>
      <c r="D11" s="61">
        <v>1232</v>
      </c>
      <c r="E11" s="61">
        <v>830</v>
      </c>
      <c r="F11" s="25">
        <v>66.3</v>
      </c>
      <c r="G11" s="25">
        <v>63.4</v>
      </c>
      <c r="H11" s="85">
        <v>1859</v>
      </c>
      <c r="I11" s="85">
        <v>1309</v>
      </c>
      <c r="J11" s="61">
        <v>3219</v>
      </c>
      <c r="K11" s="61">
        <v>2728</v>
      </c>
      <c r="L11" s="61">
        <v>5431</v>
      </c>
      <c r="M11" s="61">
        <v>4072</v>
      </c>
      <c r="N11" s="25">
        <v>62.8</v>
      </c>
      <c r="O11" s="25">
        <v>59.9</v>
      </c>
      <c r="P11" s="85">
        <v>8650</v>
      </c>
      <c r="Q11" s="85">
        <v>6800</v>
      </c>
    </row>
    <row r="12" spans="1:17">
      <c r="A12" s="25" t="s">
        <v>261</v>
      </c>
      <c r="B12" s="61">
        <v>3</v>
      </c>
      <c r="C12" s="61">
        <v>1</v>
      </c>
      <c r="D12" s="61">
        <v>2</v>
      </c>
      <c r="E12" s="61">
        <v>0</v>
      </c>
      <c r="F12" s="25">
        <v>40</v>
      </c>
      <c r="G12" s="25">
        <v>0</v>
      </c>
      <c r="H12" s="85">
        <v>5</v>
      </c>
      <c r="I12" s="85">
        <v>1</v>
      </c>
      <c r="J12" s="61">
        <v>7</v>
      </c>
      <c r="K12" s="61">
        <v>9</v>
      </c>
      <c r="L12" s="61">
        <v>11</v>
      </c>
      <c r="M12" s="61">
        <v>2</v>
      </c>
      <c r="N12" s="25">
        <v>61.1</v>
      </c>
      <c r="O12" s="25">
        <v>18.2</v>
      </c>
      <c r="P12" s="85">
        <v>18</v>
      </c>
      <c r="Q12" s="85">
        <v>11</v>
      </c>
    </row>
    <row r="13" spans="1:17">
      <c r="A13" s="25" t="s">
        <v>262</v>
      </c>
      <c r="B13" s="61">
        <v>203</v>
      </c>
      <c r="C13" s="61">
        <v>387</v>
      </c>
      <c r="D13" s="61">
        <v>1075</v>
      </c>
      <c r="E13" s="61">
        <v>989</v>
      </c>
      <c r="F13" s="25">
        <v>84.1</v>
      </c>
      <c r="G13" s="25">
        <v>71.900000000000006</v>
      </c>
      <c r="H13" s="85">
        <v>1278</v>
      </c>
      <c r="I13" s="85">
        <v>1376</v>
      </c>
      <c r="J13" s="61">
        <v>1417</v>
      </c>
      <c r="K13" s="61">
        <v>3568</v>
      </c>
      <c r="L13" s="61">
        <v>6367</v>
      </c>
      <c r="M13" s="61">
        <v>5327</v>
      </c>
      <c r="N13" s="25">
        <v>81.8</v>
      </c>
      <c r="O13" s="25">
        <v>59.9</v>
      </c>
      <c r="P13" s="85">
        <v>7784</v>
      </c>
      <c r="Q13" s="85">
        <v>8895</v>
      </c>
    </row>
    <row r="14" spans="1:17">
      <c r="A14" s="25" t="s">
        <v>677</v>
      </c>
      <c r="B14" s="61">
        <v>298</v>
      </c>
      <c r="C14" s="61">
        <v>0</v>
      </c>
      <c r="D14" s="61">
        <v>9</v>
      </c>
      <c r="E14" s="61">
        <v>0</v>
      </c>
      <c r="F14" s="25">
        <v>2.9</v>
      </c>
      <c r="G14" s="25">
        <v>0</v>
      </c>
      <c r="H14" s="85">
        <v>307</v>
      </c>
      <c r="I14" s="85">
        <v>0</v>
      </c>
      <c r="J14" s="61">
        <v>383</v>
      </c>
      <c r="K14" s="61">
        <v>0</v>
      </c>
      <c r="L14" s="61">
        <v>339</v>
      </c>
      <c r="M14" s="61">
        <v>0</v>
      </c>
      <c r="N14" s="25">
        <v>47</v>
      </c>
      <c r="O14" s="25">
        <v>0</v>
      </c>
      <c r="P14" s="85">
        <v>722</v>
      </c>
      <c r="Q14" s="85">
        <v>0</v>
      </c>
    </row>
    <row r="15" spans="1:17">
      <c r="A15" s="25" t="s">
        <v>674</v>
      </c>
      <c r="B15" s="61">
        <v>0</v>
      </c>
      <c r="C15" s="61">
        <v>0</v>
      </c>
      <c r="D15" s="61">
        <v>0</v>
      </c>
      <c r="E15" s="61">
        <v>2</v>
      </c>
      <c r="F15" s="25">
        <v>0</v>
      </c>
      <c r="G15" s="25">
        <v>100</v>
      </c>
      <c r="H15" s="85">
        <v>0</v>
      </c>
      <c r="I15" s="85">
        <v>2</v>
      </c>
      <c r="J15" s="61">
        <v>3</v>
      </c>
      <c r="K15" s="61">
        <v>0</v>
      </c>
      <c r="L15" s="61">
        <v>4</v>
      </c>
      <c r="M15" s="61">
        <v>4</v>
      </c>
      <c r="N15" s="25">
        <v>57.1</v>
      </c>
      <c r="O15" s="25">
        <v>100</v>
      </c>
      <c r="P15" s="85">
        <v>7</v>
      </c>
      <c r="Q15" s="85">
        <v>4</v>
      </c>
    </row>
    <row r="16" spans="1:17">
      <c r="A16" s="25" t="s">
        <v>263</v>
      </c>
      <c r="B16" s="61">
        <v>3</v>
      </c>
      <c r="C16" s="61">
        <v>5</v>
      </c>
      <c r="D16" s="61">
        <v>3</v>
      </c>
      <c r="E16" s="61">
        <v>6</v>
      </c>
      <c r="F16" s="25">
        <v>50</v>
      </c>
      <c r="G16" s="25">
        <v>54.5</v>
      </c>
      <c r="H16" s="85">
        <v>6</v>
      </c>
      <c r="I16" s="85">
        <v>11</v>
      </c>
      <c r="J16" s="61">
        <v>17</v>
      </c>
      <c r="K16" s="61">
        <v>13</v>
      </c>
      <c r="L16" s="61">
        <v>18</v>
      </c>
      <c r="M16" s="61">
        <v>19</v>
      </c>
      <c r="N16" s="25">
        <v>51.4</v>
      </c>
      <c r="O16" s="25">
        <v>59.4</v>
      </c>
      <c r="P16" s="85">
        <v>35</v>
      </c>
      <c r="Q16" s="85">
        <v>32</v>
      </c>
    </row>
    <row r="17" spans="1:17">
      <c r="A17" s="25" t="s">
        <v>264</v>
      </c>
      <c r="B17" s="61">
        <v>108</v>
      </c>
      <c r="C17" s="61">
        <v>153</v>
      </c>
      <c r="D17" s="61">
        <v>419</v>
      </c>
      <c r="E17" s="61">
        <v>331</v>
      </c>
      <c r="F17" s="25">
        <v>79.5</v>
      </c>
      <c r="G17" s="25">
        <v>68.400000000000006</v>
      </c>
      <c r="H17" s="85">
        <v>527</v>
      </c>
      <c r="I17" s="85">
        <v>484</v>
      </c>
      <c r="J17" s="61">
        <v>434</v>
      </c>
      <c r="K17" s="61">
        <v>662</v>
      </c>
      <c r="L17" s="61">
        <v>1454</v>
      </c>
      <c r="M17" s="61">
        <v>1215</v>
      </c>
      <c r="N17" s="25">
        <v>77</v>
      </c>
      <c r="O17" s="25">
        <v>64.7</v>
      </c>
      <c r="P17" s="85">
        <v>1888</v>
      </c>
      <c r="Q17" s="85">
        <v>1877</v>
      </c>
    </row>
    <row r="18" spans="1:17">
      <c r="A18" s="25" t="s">
        <v>1067</v>
      </c>
      <c r="B18" s="61">
        <v>142</v>
      </c>
      <c r="C18" s="61">
        <v>0</v>
      </c>
      <c r="D18" s="61">
        <v>159</v>
      </c>
      <c r="E18" s="61">
        <v>0</v>
      </c>
      <c r="F18" s="25">
        <v>52.8</v>
      </c>
      <c r="G18" s="25">
        <v>0</v>
      </c>
      <c r="H18" s="85">
        <v>301</v>
      </c>
      <c r="I18" s="85">
        <v>0</v>
      </c>
      <c r="J18" s="61">
        <v>634</v>
      </c>
      <c r="K18" s="61">
        <v>0</v>
      </c>
      <c r="L18" s="61">
        <v>651</v>
      </c>
      <c r="M18" s="61">
        <v>0</v>
      </c>
      <c r="N18" s="25">
        <v>50.7</v>
      </c>
      <c r="O18" s="25">
        <v>0</v>
      </c>
      <c r="P18" s="85">
        <v>1285</v>
      </c>
      <c r="Q18" s="85">
        <v>0</v>
      </c>
    </row>
    <row r="19" spans="1:17">
      <c r="A19" s="25" t="s">
        <v>265</v>
      </c>
      <c r="B19" s="61">
        <v>112</v>
      </c>
      <c r="C19" s="61">
        <v>103</v>
      </c>
      <c r="D19" s="61">
        <v>236</v>
      </c>
      <c r="E19" s="61">
        <v>118</v>
      </c>
      <c r="F19" s="25">
        <v>67.8</v>
      </c>
      <c r="G19" s="25">
        <v>53.4</v>
      </c>
      <c r="H19" s="85">
        <v>348</v>
      </c>
      <c r="I19" s="85">
        <v>221</v>
      </c>
      <c r="J19" s="61">
        <v>721</v>
      </c>
      <c r="K19" s="61">
        <v>963</v>
      </c>
      <c r="L19" s="61">
        <v>916</v>
      </c>
      <c r="M19" s="61">
        <v>568</v>
      </c>
      <c r="N19" s="25">
        <v>56</v>
      </c>
      <c r="O19" s="25">
        <v>37.1</v>
      </c>
      <c r="P19" s="85">
        <v>1637</v>
      </c>
      <c r="Q19" s="85">
        <v>1531</v>
      </c>
    </row>
    <row r="20" spans="1:17">
      <c r="A20" s="25" t="s">
        <v>297</v>
      </c>
      <c r="B20" s="61">
        <v>6</v>
      </c>
      <c r="C20" s="61">
        <v>32</v>
      </c>
      <c r="D20" s="61">
        <v>34</v>
      </c>
      <c r="E20" s="61">
        <v>14</v>
      </c>
      <c r="F20" s="25">
        <v>85</v>
      </c>
      <c r="G20" s="25">
        <v>30.4</v>
      </c>
      <c r="H20" s="85">
        <v>40</v>
      </c>
      <c r="I20" s="85">
        <v>46</v>
      </c>
      <c r="J20" s="61">
        <v>44</v>
      </c>
      <c r="K20" s="61">
        <v>155</v>
      </c>
      <c r="L20" s="61">
        <v>196</v>
      </c>
      <c r="M20" s="61">
        <v>121</v>
      </c>
      <c r="N20" s="25">
        <v>81.7</v>
      </c>
      <c r="O20" s="25">
        <v>43.8</v>
      </c>
      <c r="P20" s="85">
        <v>240</v>
      </c>
      <c r="Q20" s="85">
        <v>276</v>
      </c>
    </row>
    <row r="21" spans="1:17">
      <c r="A21" s="25" t="s">
        <v>675</v>
      </c>
      <c r="B21" s="61">
        <v>3</v>
      </c>
      <c r="C21" s="61">
        <v>12</v>
      </c>
      <c r="D21" s="61">
        <v>2</v>
      </c>
      <c r="E21" s="61">
        <v>5</v>
      </c>
      <c r="F21" s="25">
        <v>40</v>
      </c>
      <c r="G21" s="25">
        <v>29.4</v>
      </c>
      <c r="H21" s="85">
        <v>5</v>
      </c>
      <c r="I21" s="85">
        <v>17</v>
      </c>
      <c r="J21" s="61">
        <v>23</v>
      </c>
      <c r="K21" s="61">
        <v>25</v>
      </c>
      <c r="L21" s="61">
        <v>16</v>
      </c>
      <c r="M21" s="61">
        <v>13</v>
      </c>
      <c r="N21" s="25">
        <v>41</v>
      </c>
      <c r="O21" s="25">
        <v>34.200000000000003</v>
      </c>
      <c r="P21" s="85">
        <v>39</v>
      </c>
      <c r="Q21" s="85">
        <v>38</v>
      </c>
    </row>
    <row r="22" spans="1:17">
      <c r="A22" s="25" t="s">
        <v>266</v>
      </c>
      <c r="B22" s="61">
        <v>130</v>
      </c>
      <c r="C22" s="61">
        <v>275</v>
      </c>
      <c r="D22" s="61">
        <v>99</v>
      </c>
      <c r="E22" s="61">
        <v>50</v>
      </c>
      <c r="F22" s="25">
        <v>43.2</v>
      </c>
      <c r="G22" s="25">
        <v>15.4</v>
      </c>
      <c r="H22" s="85">
        <v>229</v>
      </c>
      <c r="I22" s="85">
        <v>325</v>
      </c>
      <c r="J22" s="61">
        <v>694</v>
      </c>
      <c r="K22" s="61">
        <v>1389</v>
      </c>
      <c r="L22" s="61">
        <v>437</v>
      </c>
      <c r="M22" s="61">
        <v>279</v>
      </c>
      <c r="N22" s="25">
        <v>38.6</v>
      </c>
      <c r="O22" s="25">
        <v>16.7</v>
      </c>
      <c r="P22" s="85">
        <v>1131</v>
      </c>
      <c r="Q22" s="85">
        <v>1668</v>
      </c>
    </row>
    <row r="23" spans="1:17">
      <c r="A23" s="25" t="s">
        <v>267</v>
      </c>
      <c r="B23" s="61">
        <v>107</v>
      </c>
      <c r="C23" s="61">
        <v>585</v>
      </c>
      <c r="D23" s="61">
        <v>359</v>
      </c>
      <c r="E23" s="61">
        <v>388</v>
      </c>
      <c r="F23" s="25">
        <v>77</v>
      </c>
      <c r="G23" s="25">
        <v>39.9</v>
      </c>
      <c r="H23" s="85">
        <v>466</v>
      </c>
      <c r="I23" s="85">
        <v>973</v>
      </c>
      <c r="J23" s="61">
        <v>658</v>
      </c>
      <c r="K23" s="61">
        <v>2879</v>
      </c>
      <c r="L23" s="61">
        <v>2789</v>
      </c>
      <c r="M23" s="61">
        <v>2573</v>
      </c>
      <c r="N23" s="25">
        <v>80.900000000000006</v>
      </c>
      <c r="O23" s="25">
        <v>47.2</v>
      </c>
      <c r="P23" s="85">
        <v>3447</v>
      </c>
      <c r="Q23" s="85">
        <v>5452</v>
      </c>
    </row>
    <row r="24" spans="1:17">
      <c r="A24" s="25" t="s">
        <v>268</v>
      </c>
      <c r="B24" s="61">
        <v>31</v>
      </c>
      <c r="C24" s="61">
        <v>32</v>
      </c>
      <c r="D24" s="61">
        <v>31</v>
      </c>
      <c r="E24" s="61">
        <v>37</v>
      </c>
      <c r="F24" s="25">
        <v>50</v>
      </c>
      <c r="G24" s="25">
        <v>53.6</v>
      </c>
      <c r="H24" s="85">
        <v>62</v>
      </c>
      <c r="I24" s="85">
        <v>69</v>
      </c>
      <c r="J24" s="61">
        <v>159</v>
      </c>
      <c r="K24" s="61">
        <v>416</v>
      </c>
      <c r="L24" s="61">
        <v>169</v>
      </c>
      <c r="M24" s="61">
        <v>283</v>
      </c>
      <c r="N24" s="25">
        <v>51.5</v>
      </c>
      <c r="O24" s="25">
        <v>40.5</v>
      </c>
      <c r="P24" s="85">
        <v>328</v>
      </c>
      <c r="Q24" s="85">
        <v>699</v>
      </c>
    </row>
    <row r="25" spans="1:17">
      <c r="A25" s="25" t="s">
        <v>1055</v>
      </c>
      <c r="B25" s="61">
        <v>0</v>
      </c>
      <c r="C25" s="61">
        <v>0</v>
      </c>
      <c r="D25" s="61">
        <v>11</v>
      </c>
      <c r="E25" s="61">
        <v>0</v>
      </c>
      <c r="F25" s="25">
        <v>100</v>
      </c>
      <c r="G25" s="25">
        <v>0</v>
      </c>
      <c r="H25" s="85">
        <v>11</v>
      </c>
      <c r="I25" s="85">
        <v>0</v>
      </c>
      <c r="J25" s="61">
        <v>2</v>
      </c>
      <c r="K25" s="61">
        <v>0</v>
      </c>
      <c r="L25" s="61">
        <v>38</v>
      </c>
      <c r="M25" s="61">
        <v>0</v>
      </c>
      <c r="N25" s="25">
        <v>95</v>
      </c>
      <c r="O25" s="25">
        <v>0</v>
      </c>
      <c r="P25" s="85">
        <v>40</v>
      </c>
      <c r="Q25" s="85">
        <v>0</v>
      </c>
    </row>
    <row r="26" spans="1:17">
      <c r="A26" s="25" t="s">
        <v>269</v>
      </c>
      <c r="B26" s="61">
        <v>199</v>
      </c>
      <c r="C26" s="61">
        <v>199</v>
      </c>
      <c r="D26" s="61">
        <v>298</v>
      </c>
      <c r="E26" s="61">
        <v>131</v>
      </c>
      <c r="F26" s="25">
        <v>60</v>
      </c>
      <c r="G26" s="25">
        <v>39.700000000000003</v>
      </c>
      <c r="H26" s="85">
        <v>497</v>
      </c>
      <c r="I26" s="85">
        <v>330</v>
      </c>
      <c r="J26" s="61">
        <v>1259</v>
      </c>
      <c r="K26" s="61">
        <v>1508</v>
      </c>
      <c r="L26" s="61">
        <v>1352</v>
      </c>
      <c r="M26" s="61">
        <v>1310</v>
      </c>
      <c r="N26" s="25">
        <v>51.8</v>
      </c>
      <c r="O26" s="25">
        <v>46.5</v>
      </c>
      <c r="P26" s="85">
        <v>2611</v>
      </c>
      <c r="Q26" s="85">
        <v>2818</v>
      </c>
    </row>
    <row r="27" spans="1:17">
      <c r="A27" s="25" t="s">
        <v>1235</v>
      </c>
      <c r="B27" s="61">
        <v>4</v>
      </c>
      <c r="C27" s="61">
        <v>0</v>
      </c>
      <c r="D27" s="61">
        <v>3</v>
      </c>
      <c r="E27" s="61">
        <v>0</v>
      </c>
      <c r="F27" s="25">
        <v>42.9</v>
      </c>
      <c r="G27" s="25">
        <v>0</v>
      </c>
      <c r="H27" s="85">
        <v>7</v>
      </c>
      <c r="I27" s="85">
        <v>0</v>
      </c>
      <c r="J27" s="61">
        <v>8</v>
      </c>
      <c r="K27" s="61">
        <v>0</v>
      </c>
      <c r="L27" s="61">
        <v>11</v>
      </c>
      <c r="M27" s="61">
        <v>0</v>
      </c>
      <c r="N27" s="25">
        <v>57.9</v>
      </c>
      <c r="O27" s="25">
        <v>0</v>
      </c>
      <c r="P27" s="85">
        <v>19</v>
      </c>
      <c r="Q27" s="85">
        <v>0</v>
      </c>
    </row>
    <row r="28" spans="1:17">
      <c r="A28" s="25" t="s">
        <v>270</v>
      </c>
      <c r="B28" s="61">
        <v>4</v>
      </c>
      <c r="C28" s="61">
        <v>5</v>
      </c>
      <c r="D28" s="61">
        <v>2</v>
      </c>
      <c r="E28" s="61">
        <v>1</v>
      </c>
      <c r="F28" s="25">
        <v>33.299999999999997</v>
      </c>
      <c r="G28" s="25">
        <v>16.7</v>
      </c>
      <c r="H28" s="85">
        <v>6</v>
      </c>
      <c r="I28" s="85">
        <v>6</v>
      </c>
      <c r="J28" s="61">
        <v>20</v>
      </c>
      <c r="K28" s="61">
        <v>20</v>
      </c>
      <c r="L28" s="61">
        <v>3</v>
      </c>
      <c r="M28" s="61">
        <v>3</v>
      </c>
      <c r="N28" s="25">
        <v>13</v>
      </c>
      <c r="O28" s="25">
        <v>13</v>
      </c>
      <c r="P28" s="85">
        <v>23</v>
      </c>
      <c r="Q28" s="85">
        <v>23</v>
      </c>
    </row>
    <row r="29" spans="1:17">
      <c r="A29" s="25" t="s">
        <v>271</v>
      </c>
      <c r="B29" s="61">
        <v>2</v>
      </c>
      <c r="C29" s="61">
        <v>2</v>
      </c>
      <c r="D29" s="61">
        <v>3</v>
      </c>
      <c r="E29" s="61">
        <v>10</v>
      </c>
      <c r="F29" s="25">
        <v>60</v>
      </c>
      <c r="G29" s="25">
        <v>83.3</v>
      </c>
      <c r="H29" s="85">
        <v>5</v>
      </c>
      <c r="I29" s="85">
        <v>12</v>
      </c>
      <c r="J29" s="61">
        <v>5</v>
      </c>
      <c r="K29" s="61">
        <v>11</v>
      </c>
      <c r="L29" s="61">
        <v>27</v>
      </c>
      <c r="M29" s="61">
        <v>62</v>
      </c>
      <c r="N29" s="25">
        <v>84.4</v>
      </c>
      <c r="O29" s="25">
        <v>84.9</v>
      </c>
      <c r="P29" s="85">
        <v>32</v>
      </c>
      <c r="Q29" s="85">
        <v>73</v>
      </c>
    </row>
    <row r="30" spans="1:17">
      <c r="A30" s="25" t="s">
        <v>272</v>
      </c>
      <c r="B30" s="61">
        <v>2</v>
      </c>
      <c r="C30" s="61">
        <v>1</v>
      </c>
      <c r="D30" s="61">
        <v>16</v>
      </c>
      <c r="E30" s="61">
        <v>49</v>
      </c>
      <c r="F30" s="25">
        <v>88.9</v>
      </c>
      <c r="G30" s="25">
        <v>98</v>
      </c>
      <c r="H30" s="85">
        <v>18</v>
      </c>
      <c r="I30" s="85">
        <v>50</v>
      </c>
      <c r="J30" s="61">
        <v>11</v>
      </c>
      <c r="K30" s="61">
        <v>63</v>
      </c>
      <c r="L30" s="61">
        <v>91</v>
      </c>
      <c r="M30" s="61">
        <v>172</v>
      </c>
      <c r="N30" s="25">
        <v>89.2</v>
      </c>
      <c r="O30" s="25">
        <v>73.2</v>
      </c>
      <c r="P30" s="85">
        <v>102</v>
      </c>
      <c r="Q30" s="85">
        <v>235</v>
      </c>
    </row>
    <row r="31" spans="1:17">
      <c r="A31" s="25" t="s">
        <v>273</v>
      </c>
      <c r="B31" s="61">
        <v>986</v>
      </c>
      <c r="C31" s="61">
        <v>2170</v>
      </c>
      <c r="D31" s="61">
        <v>1181</v>
      </c>
      <c r="E31" s="61">
        <v>1087</v>
      </c>
      <c r="F31" s="25">
        <v>54.5</v>
      </c>
      <c r="G31" s="25">
        <v>33.4</v>
      </c>
      <c r="H31" s="85">
        <v>2167</v>
      </c>
      <c r="I31" s="85">
        <v>3257</v>
      </c>
      <c r="J31" s="61">
        <v>4969</v>
      </c>
      <c r="K31" s="61">
        <v>11435</v>
      </c>
      <c r="L31" s="61">
        <v>6504</v>
      </c>
      <c r="M31" s="61">
        <v>5267</v>
      </c>
      <c r="N31" s="25">
        <v>56.7</v>
      </c>
      <c r="O31" s="25">
        <v>31.5</v>
      </c>
      <c r="P31" s="85">
        <v>11473</v>
      </c>
      <c r="Q31" s="85">
        <v>16702</v>
      </c>
    </row>
    <row r="32" spans="1:17">
      <c r="A32" s="25" t="s">
        <v>274</v>
      </c>
      <c r="B32" s="61">
        <v>3</v>
      </c>
      <c r="C32" s="61">
        <v>3</v>
      </c>
      <c r="D32" s="61">
        <v>5</v>
      </c>
      <c r="E32" s="61">
        <v>2</v>
      </c>
      <c r="F32" s="25">
        <v>62.5</v>
      </c>
      <c r="G32" s="25">
        <v>40</v>
      </c>
      <c r="H32" s="85">
        <v>8</v>
      </c>
      <c r="I32" s="85">
        <v>5</v>
      </c>
      <c r="J32" s="61">
        <v>17</v>
      </c>
      <c r="K32" s="61">
        <v>16</v>
      </c>
      <c r="L32" s="61">
        <v>19</v>
      </c>
      <c r="M32" s="61">
        <v>14</v>
      </c>
      <c r="N32" s="25">
        <v>52.8</v>
      </c>
      <c r="O32" s="25">
        <v>46.7</v>
      </c>
      <c r="P32" s="85">
        <v>36</v>
      </c>
      <c r="Q32" s="85">
        <v>30</v>
      </c>
    </row>
    <row r="33" spans="1:17">
      <c r="A33" s="25" t="s">
        <v>275</v>
      </c>
      <c r="B33" s="61">
        <v>7</v>
      </c>
      <c r="C33" s="61">
        <v>15</v>
      </c>
      <c r="D33" s="61">
        <v>29</v>
      </c>
      <c r="E33" s="61">
        <v>33</v>
      </c>
      <c r="F33" s="25">
        <v>80.599999999999994</v>
      </c>
      <c r="G33" s="25">
        <v>68.8</v>
      </c>
      <c r="H33" s="85">
        <v>36</v>
      </c>
      <c r="I33" s="85">
        <v>48</v>
      </c>
      <c r="J33" s="61">
        <v>42</v>
      </c>
      <c r="K33" s="61">
        <v>79</v>
      </c>
      <c r="L33" s="61">
        <v>142</v>
      </c>
      <c r="M33" s="61">
        <v>198</v>
      </c>
      <c r="N33" s="25">
        <v>77.2</v>
      </c>
      <c r="O33" s="25">
        <v>71.5</v>
      </c>
      <c r="P33" s="85">
        <v>184</v>
      </c>
      <c r="Q33" s="85">
        <v>277</v>
      </c>
    </row>
    <row r="34" spans="1:17">
      <c r="A34" s="25" t="s">
        <v>1108</v>
      </c>
      <c r="B34" s="61">
        <v>0</v>
      </c>
      <c r="C34" s="61">
        <v>0</v>
      </c>
      <c r="D34" s="61">
        <v>0</v>
      </c>
      <c r="E34" s="61">
        <v>2</v>
      </c>
      <c r="F34" s="25">
        <v>0</v>
      </c>
      <c r="G34" s="25">
        <v>100</v>
      </c>
      <c r="H34" s="85">
        <v>0</v>
      </c>
      <c r="I34" s="85">
        <v>2</v>
      </c>
      <c r="J34" s="61">
        <v>0</v>
      </c>
      <c r="K34" s="61">
        <v>0</v>
      </c>
      <c r="L34" s="61">
        <v>1</v>
      </c>
      <c r="M34" s="61">
        <v>5</v>
      </c>
      <c r="N34" s="25">
        <v>100</v>
      </c>
      <c r="O34" s="25">
        <v>100</v>
      </c>
      <c r="P34" s="85">
        <v>1</v>
      </c>
      <c r="Q34" s="85">
        <v>5</v>
      </c>
    </row>
    <row r="35" spans="1:17">
      <c r="A35" s="25" t="s">
        <v>276</v>
      </c>
      <c r="B35" s="61">
        <v>97</v>
      </c>
      <c r="C35" s="61">
        <v>43</v>
      </c>
      <c r="D35" s="61">
        <v>145</v>
      </c>
      <c r="E35" s="61">
        <v>48</v>
      </c>
      <c r="F35" s="25">
        <v>59.9</v>
      </c>
      <c r="G35" s="25">
        <v>52.7</v>
      </c>
      <c r="H35" s="85">
        <v>242</v>
      </c>
      <c r="I35" s="85">
        <v>91</v>
      </c>
      <c r="J35" s="61">
        <v>402</v>
      </c>
      <c r="K35" s="61">
        <v>233</v>
      </c>
      <c r="L35" s="61">
        <v>724</v>
      </c>
      <c r="M35" s="61">
        <v>313</v>
      </c>
      <c r="N35" s="25">
        <v>64.3</v>
      </c>
      <c r="O35" s="25">
        <v>57.3</v>
      </c>
      <c r="P35" s="85">
        <v>1126</v>
      </c>
      <c r="Q35" s="85">
        <v>546</v>
      </c>
    </row>
    <row r="36" spans="1:17">
      <c r="A36" s="25" t="s">
        <v>577</v>
      </c>
      <c r="B36" s="61">
        <v>0</v>
      </c>
      <c r="C36" s="61">
        <v>0</v>
      </c>
      <c r="D36" s="61">
        <v>200</v>
      </c>
      <c r="E36" s="61">
        <v>139</v>
      </c>
      <c r="F36" s="25">
        <v>100</v>
      </c>
      <c r="G36" s="25">
        <v>100</v>
      </c>
      <c r="H36" s="85">
        <v>200</v>
      </c>
      <c r="I36" s="85">
        <v>139</v>
      </c>
      <c r="J36" s="61">
        <v>0</v>
      </c>
      <c r="K36" s="61">
        <v>7</v>
      </c>
      <c r="L36" s="61">
        <v>986</v>
      </c>
      <c r="M36" s="61">
        <v>1090</v>
      </c>
      <c r="N36" s="25">
        <v>100</v>
      </c>
      <c r="O36" s="25">
        <v>99.4</v>
      </c>
      <c r="P36" s="85">
        <v>986</v>
      </c>
      <c r="Q36" s="85">
        <v>1097</v>
      </c>
    </row>
    <row r="37" spans="1:17">
      <c r="A37" s="25" t="s">
        <v>556</v>
      </c>
      <c r="B37" s="61">
        <v>0</v>
      </c>
      <c r="C37" s="61">
        <v>0</v>
      </c>
      <c r="D37" s="61">
        <v>0</v>
      </c>
      <c r="E37" s="61">
        <v>0</v>
      </c>
      <c r="F37" s="25">
        <v>0</v>
      </c>
      <c r="G37" s="25">
        <v>0</v>
      </c>
      <c r="H37" s="85">
        <v>0</v>
      </c>
      <c r="I37" s="85">
        <v>0</v>
      </c>
      <c r="J37" s="61">
        <v>1</v>
      </c>
      <c r="K37" s="61">
        <v>2</v>
      </c>
      <c r="L37" s="61">
        <v>0</v>
      </c>
      <c r="M37" s="61">
        <v>1</v>
      </c>
      <c r="N37" s="25">
        <v>0</v>
      </c>
      <c r="O37" s="25">
        <v>33.299999999999997</v>
      </c>
      <c r="P37" s="85">
        <v>1</v>
      </c>
      <c r="Q37" s="85">
        <v>3</v>
      </c>
    </row>
    <row r="38" spans="1:17">
      <c r="A38" s="25" t="s">
        <v>417</v>
      </c>
      <c r="B38" s="61">
        <v>1</v>
      </c>
      <c r="C38" s="61">
        <v>14</v>
      </c>
      <c r="D38" s="61">
        <v>3</v>
      </c>
      <c r="E38" s="61">
        <v>15</v>
      </c>
      <c r="F38" s="25">
        <v>75</v>
      </c>
      <c r="G38" s="25">
        <v>51.7</v>
      </c>
      <c r="H38" s="85">
        <v>4</v>
      </c>
      <c r="I38" s="85">
        <v>29</v>
      </c>
      <c r="J38" s="61">
        <v>24</v>
      </c>
      <c r="K38" s="61">
        <v>25</v>
      </c>
      <c r="L38" s="61">
        <v>51</v>
      </c>
      <c r="M38" s="61">
        <v>44</v>
      </c>
      <c r="N38" s="25">
        <v>68</v>
      </c>
      <c r="O38" s="25">
        <v>63.8</v>
      </c>
      <c r="P38" s="85">
        <v>75</v>
      </c>
      <c r="Q38" s="85">
        <v>69</v>
      </c>
    </row>
    <row r="39" spans="1:17">
      <c r="A39" s="25" t="s">
        <v>278</v>
      </c>
      <c r="B39" s="61">
        <v>112</v>
      </c>
      <c r="C39" s="61">
        <v>104</v>
      </c>
      <c r="D39" s="61">
        <v>64</v>
      </c>
      <c r="E39" s="61">
        <v>14</v>
      </c>
      <c r="F39" s="25">
        <v>36.4</v>
      </c>
      <c r="G39" s="25">
        <v>11.9</v>
      </c>
      <c r="H39" s="85">
        <v>176</v>
      </c>
      <c r="I39" s="85">
        <v>118</v>
      </c>
      <c r="J39" s="61">
        <v>939</v>
      </c>
      <c r="K39" s="61">
        <v>625</v>
      </c>
      <c r="L39" s="61">
        <v>1015</v>
      </c>
      <c r="M39" s="61">
        <v>141</v>
      </c>
      <c r="N39" s="25">
        <v>51.9</v>
      </c>
      <c r="O39" s="25">
        <v>18.399999999999999</v>
      </c>
      <c r="P39" s="85">
        <v>1954</v>
      </c>
      <c r="Q39" s="85">
        <v>766</v>
      </c>
    </row>
    <row r="40" spans="1:17">
      <c r="A40" s="25" t="s">
        <v>502</v>
      </c>
      <c r="B40" s="61">
        <v>1</v>
      </c>
      <c r="C40" s="61">
        <v>0</v>
      </c>
      <c r="D40" s="61">
        <v>1</v>
      </c>
      <c r="E40" s="61">
        <v>1</v>
      </c>
      <c r="F40" s="25">
        <v>50</v>
      </c>
      <c r="G40" s="25">
        <v>100</v>
      </c>
      <c r="H40" s="85">
        <v>2</v>
      </c>
      <c r="I40" s="85">
        <v>1</v>
      </c>
      <c r="J40" s="61">
        <v>4</v>
      </c>
      <c r="K40" s="61">
        <v>5</v>
      </c>
      <c r="L40" s="61">
        <v>9</v>
      </c>
      <c r="M40" s="61">
        <v>6</v>
      </c>
      <c r="N40" s="25">
        <v>69.2</v>
      </c>
      <c r="O40" s="25">
        <v>54.5</v>
      </c>
      <c r="P40" s="85">
        <v>13</v>
      </c>
      <c r="Q40" s="85">
        <v>11</v>
      </c>
    </row>
    <row r="41" spans="1:17">
      <c r="A41" s="25" t="s">
        <v>379</v>
      </c>
      <c r="B41" s="61">
        <v>405</v>
      </c>
      <c r="C41" s="61">
        <v>642</v>
      </c>
      <c r="D41" s="61">
        <v>1113</v>
      </c>
      <c r="E41" s="61">
        <v>1213</v>
      </c>
      <c r="F41" s="25">
        <v>73.3</v>
      </c>
      <c r="G41" s="25">
        <v>65.400000000000006</v>
      </c>
      <c r="H41" s="85">
        <v>1518</v>
      </c>
      <c r="I41" s="85">
        <v>1855</v>
      </c>
      <c r="J41" s="61">
        <v>1991</v>
      </c>
      <c r="K41" s="61">
        <v>2496</v>
      </c>
      <c r="L41" s="61">
        <v>5184</v>
      </c>
      <c r="M41" s="61">
        <v>5369</v>
      </c>
      <c r="N41" s="25">
        <v>72.3</v>
      </c>
      <c r="O41" s="25">
        <v>68.3</v>
      </c>
      <c r="P41" s="85">
        <v>7175</v>
      </c>
      <c r="Q41" s="85">
        <v>7865</v>
      </c>
    </row>
    <row r="42" spans="1:17">
      <c r="A42" s="25" t="s">
        <v>279</v>
      </c>
      <c r="B42" s="61">
        <v>5</v>
      </c>
      <c r="C42" s="61">
        <v>5</v>
      </c>
      <c r="D42" s="61">
        <v>8</v>
      </c>
      <c r="E42" s="61">
        <v>22</v>
      </c>
      <c r="F42" s="25">
        <v>61.5</v>
      </c>
      <c r="G42" s="25">
        <v>81.5</v>
      </c>
      <c r="H42" s="85">
        <v>13</v>
      </c>
      <c r="I42" s="85">
        <v>27</v>
      </c>
      <c r="J42" s="61">
        <v>35</v>
      </c>
      <c r="K42" s="61">
        <v>14</v>
      </c>
      <c r="L42" s="61">
        <v>41</v>
      </c>
      <c r="M42" s="61">
        <v>47</v>
      </c>
      <c r="N42" s="25">
        <v>53.9</v>
      </c>
      <c r="O42" s="25">
        <v>77</v>
      </c>
      <c r="P42" s="85">
        <v>76</v>
      </c>
      <c r="Q42" s="85">
        <v>61</v>
      </c>
    </row>
    <row r="43" spans="1:17">
      <c r="A43" s="25" t="s">
        <v>592</v>
      </c>
      <c r="B43" s="61">
        <v>186</v>
      </c>
      <c r="C43" s="61">
        <v>748</v>
      </c>
      <c r="D43" s="61">
        <v>228</v>
      </c>
      <c r="E43" s="61">
        <v>194</v>
      </c>
      <c r="F43" s="25">
        <v>55.1</v>
      </c>
      <c r="G43" s="25">
        <v>20.6</v>
      </c>
      <c r="H43" s="85">
        <v>414</v>
      </c>
      <c r="I43" s="85">
        <v>942</v>
      </c>
      <c r="J43" s="61">
        <v>1609</v>
      </c>
      <c r="K43" s="61">
        <v>2729</v>
      </c>
      <c r="L43" s="61">
        <v>1927</v>
      </c>
      <c r="M43" s="61">
        <v>582</v>
      </c>
      <c r="N43" s="25">
        <v>54.5</v>
      </c>
      <c r="O43" s="25">
        <v>17.600000000000001</v>
      </c>
      <c r="P43" s="85">
        <v>3536</v>
      </c>
      <c r="Q43" s="85">
        <v>3311</v>
      </c>
    </row>
    <row r="44" spans="1:17">
      <c r="A44" s="25" t="s">
        <v>280</v>
      </c>
      <c r="B44" s="61">
        <v>54</v>
      </c>
      <c r="C44" s="61">
        <v>111</v>
      </c>
      <c r="D44" s="61">
        <v>105</v>
      </c>
      <c r="E44" s="61">
        <v>63</v>
      </c>
      <c r="F44" s="25">
        <v>66</v>
      </c>
      <c r="G44" s="25">
        <v>36.200000000000003</v>
      </c>
      <c r="H44" s="85">
        <v>159</v>
      </c>
      <c r="I44" s="85">
        <v>174</v>
      </c>
      <c r="J44" s="61">
        <v>358</v>
      </c>
      <c r="K44" s="61">
        <v>848</v>
      </c>
      <c r="L44" s="61">
        <v>694</v>
      </c>
      <c r="M44" s="61">
        <v>496</v>
      </c>
      <c r="N44" s="25">
        <v>66</v>
      </c>
      <c r="O44" s="25">
        <v>36.9</v>
      </c>
      <c r="P44" s="85">
        <v>1052</v>
      </c>
      <c r="Q44" s="85">
        <v>1344</v>
      </c>
    </row>
    <row r="45" spans="1:17">
      <c r="A45" s="25" t="s">
        <v>281</v>
      </c>
      <c r="B45" s="61">
        <v>9</v>
      </c>
      <c r="C45" s="61">
        <v>7</v>
      </c>
      <c r="D45" s="61">
        <v>161</v>
      </c>
      <c r="E45" s="61">
        <v>84</v>
      </c>
      <c r="F45" s="25">
        <v>94.7</v>
      </c>
      <c r="G45" s="25">
        <v>92.3</v>
      </c>
      <c r="H45" s="85">
        <v>170</v>
      </c>
      <c r="I45" s="85">
        <v>91</v>
      </c>
      <c r="J45" s="61">
        <v>50</v>
      </c>
      <c r="K45" s="61">
        <v>78</v>
      </c>
      <c r="L45" s="61">
        <v>397</v>
      </c>
      <c r="M45" s="61">
        <v>285</v>
      </c>
      <c r="N45" s="25">
        <v>88.8</v>
      </c>
      <c r="O45" s="25">
        <v>78.5</v>
      </c>
      <c r="P45" s="85">
        <v>447</v>
      </c>
      <c r="Q45" s="85">
        <v>363</v>
      </c>
    </row>
    <row r="46" spans="1:17">
      <c r="A46" s="25" t="s">
        <v>282</v>
      </c>
      <c r="B46" s="61">
        <v>2</v>
      </c>
      <c r="C46" s="61">
        <v>0</v>
      </c>
      <c r="D46" s="61">
        <v>1</v>
      </c>
      <c r="E46" s="61">
        <v>0</v>
      </c>
      <c r="F46" s="25">
        <v>33.299999999999997</v>
      </c>
      <c r="G46" s="25">
        <v>0</v>
      </c>
      <c r="H46" s="85">
        <v>3</v>
      </c>
      <c r="I46" s="85">
        <v>0</v>
      </c>
      <c r="J46" s="61">
        <v>3</v>
      </c>
      <c r="K46" s="61">
        <v>10</v>
      </c>
      <c r="L46" s="61">
        <v>4</v>
      </c>
      <c r="M46" s="61">
        <v>0</v>
      </c>
      <c r="N46" s="25">
        <v>57.1</v>
      </c>
      <c r="O46" s="25">
        <v>0</v>
      </c>
      <c r="P46" s="85">
        <v>7</v>
      </c>
      <c r="Q46" s="85">
        <v>10</v>
      </c>
    </row>
    <row r="47" spans="1:17">
      <c r="A47" s="25" t="s">
        <v>1068</v>
      </c>
      <c r="B47" s="61">
        <v>0</v>
      </c>
      <c r="C47" s="61">
        <v>0</v>
      </c>
      <c r="D47" s="61">
        <v>24</v>
      </c>
      <c r="E47" s="61">
        <v>0</v>
      </c>
      <c r="F47" s="25">
        <v>100</v>
      </c>
      <c r="G47" s="25">
        <v>0</v>
      </c>
      <c r="H47" s="85">
        <v>24</v>
      </c>
      <c r="I47" s="85">
        <v>0</v>
      </c>
      <c r="J47" s="61">
        <v>1</v>
      </c>
      <c r="K47" s="61">
        <v>0</v>
      </c>
      <c r="L47" s="61">
        <v>98</v>
      </c>
      <c r="M47" s="61">
        <v>0</v>
      </c>
      <c r="N47" s="25">
        <v>99</v>
      </c>
      <c r="O47" s="25">
        <v>0</v>
      </c>
      <c r="P47" s="85">
        <v>99</v>
      </c>
      <c r="Q47" s="85">
        <v>0</v>
      </c>
    </row>
    <row r="48" spans="1:17">
      <c r="A48" s="25" t="s">
        <v>283</v>
      </c>
      <c r="B48" s="61">
        <v>150</v>
      </c>
      <c r="C48" s="61">
        <v>182</v>
      </c>
      <c r="D48" s="61">
        <v>270</v>
      </c>
      <c r="E48" s="61">
        <v>105</v>
      </c>
      <c r="F48" s="25">
        <v>64.3</v>
      </c>
      <c r="G48" s="25">
        <v>36.6</v>
      </c>
      <c r="H48" s="85">
        <v>420</v>
      </c>
      <c r="I48" s="85">
        <v>287</v>
      </c>
      <c r="J48" s="61">
        <v>1039</v>
      </c>
      <c r="K48" s="61">
        <v>2062</v>
      </c>
      <c r="L48" s="61">
        <v>1285</v>
      </c>
      <c r="M48" s="61">
        <v>702</v>
      </c>
      <c r="N48" s="25">
        <v>55.3</v>
      </c>
      <c r="O48" s="25">
        <v>25.4</v>
      </c>
      <c r="P48" s="85">
        <v>2324</v>
      </c>
      <c r="Q48" s="85">
        <v>2764</v>
      </c>
    </row>
    <row r="49" spans="1:17">
      <c r="A49" s="25" t="s">
        <v>284</v>
      </c>
      <c r="B49" s="61">
        <v>58</v>
      </c>
      <c r="C49" s="61">
        <v>111</v>
      </c>
      <c r="D49" s="61">
        <v>291</v>
      </c>
      <c r="E49" s="61">
        <v>82</v>
      </c>
      <c r="F49" s="25">
        <v>83.4</v>
      </c>
      <c r="G49" s="25">
        <v>42.5</v>
      </c>
      <c r="H49" s="85">
        <v>349</v>
      </c>
      <c r="I49" s="85">
        <v>193</v>
      </c>
      <c r="J49" s="61">
        <v>284</v>
      </c>
      <c r="K49" s="61">
        <v>880</v>
      </c>
      <c r="L49" s="61">
        <v>1188</v>
      </c>
      <c r="M49" s="61">
        <v>798</v>
      </c>
      <c r="N49" s="25">
        <v>80.7</v>
      </c>
      <c r="O49" s="25">
        <v>47.6</v>
      </c>
      <c r="P49" s="85">
        <v>1472</v>
      </c>
      <c r="Q49" s="85">
        <v>1678</v>
      </c>
    </row>
    <row r="50" spans="1:17">
      <c r="A50" s="25" t="s">
        <v>1043</v>
      </c>
      <c r="B50" s="61">
        <v>7</v>
      </c>
      <c r="C50" s="61">
        <v>0</v>
      </c>
      <c r="D50" s="61">
        <v>22</v>
      </c>
      <c r="E50" s="61">
        <v>0</v>
      </c>
      <c r="F50" s="25">
        <v>75.900000000000006</v>
      </c>
      <c r="G50" s="25">
        <v>0</v>
      </c>
      <c r="H50" s="85">
        <v>29</v>
      </c>
      <c r="I50" s="85">
        <v>0</v>
      </c>
      <c r="J50" s="61">
        <v>22</v>
      </c>
      <c r="K50" s="61">
        <v>0</v>
      </c>
      <c r="L50" s="61">
        <v>59</v>
      </c>
      <c r="M50" s="61">
        <v>0</v>
      </c>
      <c r="N50" s="25">
        <v>72.8</v>
      </c>
      <c r="O50" s="25">
        <v>0</v>
      </c>
      <c r="P50" s="85">
        <v>81</v>
      </c>
      <c r="Q50" s="85">
        <v>0</v>
      </c>
    </row>
    <row r="51" spans="1:17">
      <c r="A51" s="25" t="s">
        <v>285</v>
      </c>
      <c r="B51" s="61">
        <v>228</v>
      </c>
      <c r="C51" s="61">
        <v>237</v>
      </c>
      <c r="D51" s="61">
        <v>430</v>
      </c>
      <c r="E51" s="61">
        <v>238</v>
      </c>
      <c r="F51" s="25">
        <v>65.3</v>
      </c>
      <c r="G51" s="25">
        <v>50.1</v>
      </c>
      <c r="H51" s="85">
        <v>658</v>
      </c>
      <c r="I51" s="85">
        <v>475</v>
      </c>
      <c r="J51" s="61">
        <v>1048</v>
      </c>
      <c r="K51" s="61">
        <v>1718</v>
      </c>
      <c r="L51" s="61">
        <v>2889</v>
      </c>
      <c r="M51" s="61">
        <v>2231</v>
      </c>
      <c r="N51" s="25">
        <v>73.400000000000006</v>
      </c>
      <c r="O51" s="25">
        <v>56.5</v>
      </c>
      <c r="P51" s="85">
        <v>3937</v>
      </c>
      <c r="Q51" s="85">
        <v>3949</v>
      </c>
    </row>
    <row r="52" spans="1:17">
      <c r="A52" s="25" t="s">
        <v>323</v>
      </c>
      <c r="B52" s="61">
        <v>26</v>
      </c>
      <c r="C52" s="61">
        <v>113</v>
      </c>
      <c r="D52" s="61">
        <v>424</v>
      </c>
      <c r="E52" s="61">
        <v>178</v>
      </c>
      <c r="F52" s="25">
        <v>94.2</v>
      </c>
      <c r="G52" s="25">
        <v>61.2</v>
      </c>
      <c r="H52" s="85">
        <v>450</v>
      </c>
      <c r="I52" s="85">
        <v>291</v>
      </c>
      <c r="J52" s="61">
        <v>168</v>
      </c>
      <c r="K52" s="61">
        <v>609</v>
      </c>
      <c r="L52" s="61">
        <v>1621</v>
      </c>
      <c r="M52" s="61">
        <v>1686</v>
      </c>
      <c r="N52" s="25">
        <v>90.6</v>
      </c>
      <c r="O52" s="25">
        <v>73.5</v>
      </c>
      <c r="P52" s="85">
        <v>1789</v>
      </c>
      <c r="Q52" s="85">
        <v>2295</v>
      </c>
    </row>
    <row r="53" spans="1:17">
      <c r="A53" s="25" t="s">
        <v>286</v>
      </c>
      <c r="B53" s="61">
        <v>141</v>
      </c>
      <c r="C53" s="61">
        <v>146</v>
      </c>
      <c r="D53" s="61">
        <v>166</v>
      </c>
      <c r="E53" s="61">
        <v>176</v>
      </c>
      <c r="F53" s="58">
        <v>54.1</v>
      </c>
      <c r="G53" s="58">
        <v>54.7</v>
      </c>
      <c r="H53" s="85">
        <v>307</v>
      </c>
      <c r="I53" s="85">
        <v>322</v>
      </c>
      <c r="J53" s="61">
        <v>789</v>
      </c>
      <c r="K53" s="61">
        <v>757</v>
      </c>
      <c r="L53" s="61">
        <v>947</v>
      </c>
      <c r="M53" s="61">
        <v>725</v>
      </c>
      <c r="N53" s="58">
        <v>54.6</v>
      </c>
      <c r="O53" s="58">
        <v>48.9</v>
      </c>
      <c r="P53" s="85">
        <v>1736</v>
      </c>
      <c r="Q53" s="85">
        <v>1482</v>
      </c>
    </row>
    <row r="54" spans="1:17">
      <c r="A54" s="25" t="s">
        <v>287</v>
      </c>
      <c r="B54" s="61">
        <v>148</v>
      </c>
      <c r="C54" s="61">
        <v>177</v>
      </c>
      <c r="D54" s="61">
        <v>557</v>
      </c>
      <c r="E54" s="61">
        <v>271</v>
      </c>
      <c r="F54" s="25">
        <v>79</v>
      </c>
      <c r="G54" s="25">
        <v>60.5</v>
      </c>
      <c r="H54" s="85">
        <v>705</v>
      </c>
      <c r="I54" s="85">
        <v>448</v>
      </c>
      <c r="J54" s="61">
        <v>994</v>
      </c>
      <c r="K54" s="61">
        <v>1723</v>
      </c>
      <c r="L54" s="61">
        <v>1861</v>
      </c>
      <c r="M54" s="61">
        <v>1193</v>
      </c>
      <c r="N54" s="25">
        <v>65.2</v>
      </c>
      <c r="O54" s="25">
        <v>40.9</v>
      </c>
      <c r="P54" s="85">
        <v>2855</v>
      </c>
      <c r="Q54" s="85">
        <v>2916</v>
      </c>
    </row>
    <row r="55" spans="1:17">
      <c r="A55" s="25" t="s">
        <v>288</v>
      </c>
      <c r="B55" s="61">
        <v>68</v>
      </c>
      <c r="C55" s="61">
        <v>274</v>
      </c>
      <c r="D55" s="61">
        <v>141</v>
      </c>
      <c r="E55" s="61">
        <v>202</v>
      </c>
      <c r="F55" s="25">
        <v>67.5</v>
      </c>
      <c r="G55" s="25">
        <v>42.4</v>
      </c>
      <c r="H55" s="85">
        <v>209</v>
      </c>
      <c r="I55" s="85">
        <v>476</v>
      </c>
      <c r="J55" s="61">
        <v>698</v>
      </c>
      <c r="K55" s="61">
        <v>1526</v>
      </c>
      <c r="L55" s="61">
        <v>593</v>
      </c>
      <c r="M55" s="61">
        <v>1068</v>
      </c>
      <c r="N55" s="25">
        <v>45.9</v>
      </c>
      <c r="O55" s="25">
        <v>41.2</v>
      </c>
      <c r="P55" s="85">
        <v>1291</v>
      </c>
      <c r="Q55" s="85">
        <v>2594</v>
      </c>
    </row>
    <row r="56" spans="1:17">
      <c r="A56" s="25" t="s">
        <v>289</v>
      </c>
      <c r="B56" s="61">
        <v>297</v>
      </c>
      <c r="C56" s="61">
        <v>453</v>
      </c>
      <c r="D56" s="61">
        <v>1147</v>
      </c>
      <c r="E56" s="61">
        <v>798</v>
      </c>
      <c r="F56" s="58">
        <v>79.400000000000006</v>
      </c>
      <c r="G56" s="58">
        <v>63.8</v>
      </c>
      <c r="H56" s="85">
        <v>1444</v>
      </c>
      <c r="I56" s="85">
        <v>1251</v>
      </c>
      <c r="J56" s="61">
        <v>1541</v>
      </c>
      <c r="K56" s="61">
        <v>2412</v>
      </c>
      <c r="L56" s="61">
        <v>4990</v>
      </c>
      <c r="M56" s="61">
        <v>3317</v>
      </c>
      <c r="N56" s="58">
        <v>76.400000000000006</v>
      </c>
      <c r="O56" s="58">
        <v>57.9</v>
      </c>
      <c r="P56" s="85">
        <v>6531</v>
      </c>
      <c r="Q56" s="85">
        <v>5729</v>
      </c>
    </row>
    <row r="57" spans="1:17">
      <c r="A57" s="25" t="s">
        <v>1168</v>
      </c>
      <c r="B57" s="61">
        <v>0</v>
      </c>
      <c r="C57" s="61">
        <v>0</v>
      </c>
      <c r="D57" s="61">
        <v>0</v>
      </c>
      <c r="E57" s="61">
        <v>0</v>
      </c>
      <c r="F57" s="25">
        <v>0</v>
      </c>
      <c r="G57" s="25">
        <v>0</v>
      </c>
      <c r="H57" s="85">
        <v>0</v>
      </c>
      <c r="I57" s="85">
        <v>0</v>
      </c>
      <c r="J57" s="61">
        <v>2</v>
      </c>
      <c r="K57" s="61">
        <v>1</v>
      </c>
      <c r="L57" s="61">
        <v>0</v>
      </c>
      <c r="M57" s="61">
        <v>0</v>
      </c>
      <c r="N57" s="25">
        <v>0</v>
      </c>
      <c r="O57" s="25">
        <v>0</v>
      </c>
      <c r="P57" s="85">
        <v>2</v>
      </c>
      <c r="Q57" s="85">
        <v>1</v>
      </c>
    </row>
    <row r="58" spans="1:17">
      <c r="A58" s="25" t="s">
        <v>290</v>
      </c>
      <c r="B58" s="61">
        <v>132</v>
      </c>
      <c r="C58" s="61">
        <v>68</v>
      </c>
      <c r="D58" s="61">
        <v>118</v>
      </c>
      <c r="E58" s="61">
        <v>30</v>
      </c>
      <c r="F58" s="25">
        <v>47.2</v>
      </c>
      <c r="G58" s="25">
        <v>30.6</v>
      </c>
      <c r="H58" s="85">
        <v>250</v>
      </c>
      <c r="I58" s="85">
        <v>98</v>
      </c>
      <c r="J58" s="61">
        <v>714</v>
      </c>
      <c r="K58" s="61">
        <v>689</v>
      </c>
      <c r="L58" s="61">
        <v>686</v>
      </c>
      <c r="M58" s="61">
        <v>403</v>
      </c>
      <c r="N58" s="25">
        <v>49</v>
      </c>
      <c r="O58" s="25">
        <v>36.9</v>
      </c>
      <c r="P58" s="85">
        <v>1400</v>
      </c>
      <c r="Q58" s="85">
        <v>1092</v>
      </c>
    </row>
    <row r="59" spans="1:17">
      <c r="A59" s="25" t="s">
        <v>291</v>
      </c>
      <c r="B59" s="61">
        <v>22</v>
      </c>
      <c r="C59" s="61">
        <v>55</v>
      </c>
      <c r="D59" s="61">
        <v>138</v>
      </c>
      <c r="E59" s="61">
        <v>75</v>
      </c>
      <c r="F59" s="25">
        <v>86.3</v>
      </c>
      <c r="G59" s="25">
        <v>57.7</v>
      </c>
      <c r="H59" s="85">
        <v>160</v>
      </c>
      <c r="I59" s="85">
        <v>130</v>
      </c>
      <c r="J59" s="61">
        <v>168</v>
      </c>
      <c r="K59" s="61">
        <v>411</v>
      </c>
      <c r="L59" s="61">
        <v>418</v>
      </c>
      <c r="M59" s="61">
        <v>573</v>
      </c>
      <c r="N59" s="25">
        <v>71.3</v>
      </c>
      <c r="O59" s="25">
        <v>58.2</v>
      </c>
      <c r="P59" s="85">
        <v>586</v>
      </c>
      <c r="Q59" s="85">
        <v>984</v>
      </c>
    </row>
    <row r="60" spans="1:17">
      <c r="A60" s="145" t="s">
        <v>292</v>
      </c>
      <c r="B60" s="146">
        <v>1112</v>
      </c>
      <c r="C60" s="146">
        <v>997</v>
      </c>
      <c r="D60" s="146">
        <v>1922</v>
      </c>
      <c r="E60" s="146">
        <v>1054</v>
      </c>
      <c r="F60" s="145">
        <v>63.3</v>
      </c>
      <c r="G60" s="145">
        <v>51.4</v>
      </c>
      <c r="H60" s="148">
        <v>3034</v>
      </c>
      <c r="I60" s="148">
        <v>2051</v>
      </c>
      <c r="J60" s="146">
        <v>3701</v>
      </c>
      <c r="K60" s="146">
        <v>2577</v>
      </c>
      <c r="L60" s="146">
        <v>7235</v>
      </c>
      <c r="M60" s="146">
        <v>2928</v>
      </c>
      <c r="N60" s="145">
        <v>66.2</v>
      </c>
      <c r="O60" s="145">
        <v>53.2</v>
      </c>
      <c r="P60" s="148">
        <v>10936</v>
      </c>
      <c r="Q60" s="148">
        <v>5505</v>
      </c>
    </row>
    <row r="61" spans="1:17">
      <c r="A61" s="145" t="s">
        <v>293</v>
      </c>
      <c r="B61" s="146">
        <v>924</v>
      </c>
      <c r="C61" s="146">
        <v>904</v>
      </c>
      <c r="D61" s="146">
        <v>1418</v>
      </c>
      <c r="E61" s="146">
        <v>1025</v>
      </c>
      <c r="F61" s="147">
        <v>60.5</v>
      </c>
      <c r="G61" s="147">
        <v>53.1</v>
      </c>
      <c r="H61" s="148">
        <v>2342</v>
      </c>
      <c r="I61" s="148">
        <v>1929</v>
      </c>
      <c r="J61" s="146">
        <v>5212</v>
      </c>
      <c r="K61" s="146">
        <v>6106</v>
      </c>
      <c r="L61" s="146">
        <v>6672</v>
      </c>
      <c r="M61" s="146">
        <v>5836</v>
      </c>
      <c r="N61" s="147">
        <v>56.1</v>
      </c>
      <c r="O61" s="147">
        <v>48.9</v>
      </c>
      <c r="P61" s="148">
        <v>11884</v>
      </c>
      <c r="Q61" s="148">
        <v>11942</v>
      </c>
    </row>
    <row r="62" spans="1:17">
      <c r="A62" s="145" t="s">
        <v>294</v>
      </c>
      <c r="B62" s="146">
        <v>859</v>
      </c>
      <c r="C62" s="146">
        <v>1074</v>
      </c>
      <c r="D62" s="146">
        <v>2630</v>
      </c>
      <c r="E62" s="146">
        <v>1905</v>
      </c>
      <c r="F62" s="145">
        <v>75.400000000000006</v>
      </c>
      <c r="G62" s="145">
        <v>63.9</v>
      </c>
      <c r="H62" s="148">
        <v>3489</v>
      </c>
      <c r="I62" s="148">
        <v>2979</v>
      </c>
      <c r="J62" s="146">
        <v>3843</v>
      </c>
      <c r="K62" s="146">
        <v>6245</v>
      </c>
      <c r="L62" s="146">
        <v>11203</v>
      </c>
      <c r="M62" s="146">
        <v>9404</v>
      </c>
      <c r="N62" s="145">
        <v>74.5</v>
      </c>
      <c r="O62" s="145">
        <v>60.1</v>
      </c>
      <c r="P62" s="148">
        <v>15046</v>
      </c>
      <c r="Q62" s="148">
        <v>15649</v>
      </c>
    </row>
    <row r="63" spans="1:17">
      <c r="A63" s="145" t="s">
        <v>295</v>
      </c>
      <c r="B63" s="146">
        <v>596</v>
      </c>
      <c r="C63" s="146">
        <v>542</v>
      </c>
      <c r="D63" s="146">
        <v>2675</v>
      </c>
      <c r="E63" s="146">
        <v>2563</v>
      </c>
      <c r="F63" s="145">
        <v>81.8</v>
      </c>
      <c r="G63" s="145">
        <v>82.5</v>
      </c>
      <c r="H63" s="148">
        <v>3271</v>
      </c>
      <c r="I63" s="148">
        <v>3105</v>
      </c>
      <c r="J63" s="146">
        <v>5407</v>
      </c>
      <c r="K63" s="146">
        <v>7531</v>
      </c>
      <c r="L63" s="146">
        <v>14789</v>
      </c>
      <c r="M63" s="146">
        <v>15007</v>
      </c>
      <c r="N63" s="145">
        <v>73.2</v>
      </c>
      <c r="O63" s="145">
        <v>66.599999999999994</v>
      </c>
      <c r="P63" s="148">
        <v>20196</v>
      </c>
      <c r="Q63" s="148">
        <v>22538</v>
      </c>
    </row>
    <row r="64" spans="1:17">
      <c r="A64" s="145" t="s">
        <v>1169</v>
      </c>
      <c r="B64" s="146">
        <v>0</v>
      </c>
      <c r="C64" s="146">
        <v>0</v>
      </c>
      <c r="D64" s="146">
        <v>0</v>
      </c>
      <c r="E64" s="146">
        <v>3</v>
      </c>
      <c r="F64" s="145">
        <v>0</v>
      </c>
      <c r="G64" s="145">
        <v>100</v>
      </c>
      <c r="H64" s="148">
        <v>0</v>
      </c>
      <c r="I64" s="148">
        <v>3</v>
      </c>
      <c r="J64" s="146">
        <v>0</v>
      </c>
      <c r="K64" s="146">
        <v>0</v>
      </c>
      <c r="L64" s="146">
        <v>0</v>
      </c>
      <c r="M64" s="146">
        <v>10</v>
      </c>
      <c r="N64" s="145">
        <v>0</v>
      </c>
      <c r="O64" s="145">
        <v>100</v>
      </c>
      <c r="P64" s="148">
        <v>0</v>
      </c>
      <c r="Q64" s="148">
        <v>10</v>
      </c>
    </row>
    <row r="65" spans="1:17">
      <c r="A65" s="145" t="s">
        <v>296</v>
      </c>
      <c r="B65" s="146">
        <v>13</v>
      </c>
      <c r="C65" s="146">
        <v>31</v>
      </c>
      <c r="D65" s="146">
        <v>33</v>
      </c>
      <c r="E65" s="146">
        <v>5</v>
      </c>
      <c r="F65" s="145">
        <v>71.7</v>
      </c>
      <c r="G65" s="145">
        <v>13.9</v>
      </c>
      <c r="H65" s="148">
        <v>46</v>
      </c>
      <c r="I65" s="148">
        <v>36</v>
      </c>
      <c r="J65" s="146">
        <v>41</v>
      </c>
      <c r="K65" s="146">
        <v>79</v>
      </c>
      <c r="L65" s="146">
        <v>103</v>
      </c>
      <c r="M65" s="146">
        <v>43</v>
      </c>
      <c r="N65" s="145">
        <v>71.5</v>
      </c>
      <c r="O65" s="145">
        <v>35.200000000000003</v>
      </c>
      <c r="P65" s="148">
        <v>144</v>
      </c>
      <c r="Q65" s="148">
        <v>122</v>
      </c>
    </row>
    <row r="66" spans="1:17">
      <c r="A66" s="145" t="s">
        <v>457</v>
      </c>
      <c r="B66" s="146">
        <f>SUBTOTAL(109,getAggFysJur[antalFysiska])</f>
        <v>8633</v>
      </c>
      <c r="C66" s="146">
        <f>SUBTOTAL(109,getAggFysJur[antalFysiskaFG])</f>
        <v>11499</v>
      </c>
      <c r="D66" s="146">
        <f>SUBTOTAL(109,getAggFysJur[antalJuridiska])</f>
        <v>19650</v>
      </c>
      <c r="E66" s="146">
        <f>SUBTOTAL(109,getAggFysJur[antalJuridiskaFG])</f>
        <v>14589</v>
      </c>
      <c r="F66" s="147">
        <f>IF(getAggFysJur[[#Totals],[totalPerioden]] &gt; 0,( getAggFysJur[[#Totals],[antalJuridiska]]  ) / getAggFysJur[[#Totals],[totalPerioden]] * 100,0)</f>
        <v>69.476363893504939</v>
      </c>
      <c r="G66" s="147">
        <f>IF(getAggFysJur[[#Totals],[totalPeriodenFG]] &gt; 0,( getAggFysJur[[#Totals],[antalJuridiskaFG]] ) / getAggFysJur[[#Totals],[totalPeriodenFG]] * 100,0)</f>
        <v>55.922263109475622</v>
      </c>
      <c r="H66" s="148">
        <f>SUBTOTAL(109,getAggFysJur[totalPerioden])</f>
        <v>28283</v>
      </c>
      <c r="I66" s="148">
        <f>SUBTOTAL(109,getAggFysJur[totalPeriodenFG])</f>
        <v>26088</v>
      </c>
      <c r="J66" s="146">
        <f>SUBTOTAL(109,getAggFysJur[antalFysiskaAret])</f>
        <v>45846</v>
      </c>
      <c r="K66" s="146">
        <f>SUBTOTAL(109,getAggFysJur[antalFysiskaAretFG])</f>
        <v>68351</v>
      </c>
      <c r="L66" s="146">
        <f>SUBTOTAL(109,getAggFysJur[antalJuridiskaAret])</f>
        <v>94817</v>
      </c>
      <c r="M66" s="146">
        <f>SUBTOTAL(109,getAggFysJur[antalJuridiskaAretFG])</f>
        <v>75831</v>
      </c>
      <c r="N66" s="147">
        <f>IF(getAggFysJur[[#Totals],[totalAret]] &gt; 0,( getAggFysJur[[#Totals],[antalJuridiskaAret]] ) / getAggFysJur[[#Totals],[totalAret]] * 100,0)</f>
        <v>67.407207296872656</v>
      </c>
      <c r="O66" s="147">
        <f>IF(getAggFysJur[[#Totals],[totalAretFG]] &gt; 0,( getAggFysJur[[#Totals],[antalJuridiskaAretFG]] ) / getAggFysJur[[#Totals],[totalAretFG]] * 100,0)</f>
        <v>52.593943765518581</v>
      </c>
      <c r="P66" s="148">
        <f>SUBTOTAL(109,getAggFysJur[totalAret])</f>
        <v>140663</v>
      </c>
      <c r="Q66" s="148">
        <f>SUBTOTAL(109,getAggFysJur[totalAretFG])</f>
        <v>144182</v>
      </c>
    </row>
    <row r="67" spans="1:17">
      <c r="A67" s="25"/>
      <c r="B67" s="25"/>
      <c r="C67" s="25"/>
      <c r="D67" s="25"/>
      <c r="E67" s="25"/>
      <c r="F67" s="25"/>
      <c r="G67" s="25"/>
      <c r="H67" s="38"/>
      <c r="I67" s="38"/>
      <c r="J67" s="25"/>
      <c r="K67" s="25"/>
      <c r="L67" s="25"/>
      <c r="M67" s="25"/>
      <c r="N67" s="25"/>
      <c r="O67" s="25"/>
      <c r="P67" s="38"/>
      <c r="Q67" s="38"/>
    </row>
    <row r="68" spans="1:17">
      <c r="A68" s="25"/>
      <c r="B68" s="25"/>
      <c r="C68" s="25"/>
      <c r="D68" s="25"/>
      <c r="E68" s="25"/>
      <c r="F68" s="25"/>
      <c r="G68" s="25"/>
      <c r="H68" s="38"/>
      <c r="I68" s="38"/>
      <c r="J68" s="25"/>
      <c r="K68" s="25"/>
      <c r="L68" s="25"/>
      <c r="M68" s="25"/>
      <c r="N68" s="25"/>
      <c r="O68" s="25"/>
      <c r="P68" s="38"/>
      <c r="Q68" s="38"/>
    </row>
    <row r="69" spans="1:17">
      <c r="A69" s="25"/>
      <c r="B69" s="25"/>
      <c r="C69" s="25"/>
      <c r="D69" s="25"/>
      <c r="E69" s="25"/>
      <c r="F69" s="25"/>
      <c r="G69" s="25"/>
      <c r="H69" s="38"/>
      <c r="I69" s="38"/>
      <c r="J69" s="25"/>
      <c r="K69" s="25"/>
      <c r="L69" s="25"/>
      <c r="M69" s="25"/>
      <c r="N69" s="25"/>
      <c r="O69" s="25"/>
      <c r="P69" s="38"/>
      <c r="Q69" s="38"/>
    </row>
    <row r="70" spans="1:17">
      <c r="A70" s="25"/>
      <c r="B70" s="25"/>
      <c r="C70" s="25"/>
      <c r="D70" s="25"/>
      <c r="E70" s="25"/>
      <c r="F70" s="25"/>
      <c r="G70" s="25"/>
      <c r="H70" s="38"/>
      <c r="I70" s="38"/>
      <c r="J70" s="25"/>
      <c r="K70" s="25"/>
      <c r="L70" s="25"/>
      <c r="M70" s="25"/>
      <c r="N70" s="25"/>
      <c r="O70" s="25"/>
      <c r="P70" s="38"/>
      <c r="Q70" s="38"/>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t="s">
        <v>681</v>
      </c>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7"/>
  <sheetViews>
    <sheetView workbookViewId="0">
      <selection activeCell="A17" sqref="A17"/>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467</v>
      </c>
      <c r="D2" s="56"/>
      <c r="E2" s="56"/>
      <c r="F2" s="56"/>
      <c r="H2"/>
      <c r="I2"/>
    </row>
    <row r="4" spans="1:9">
      <c r="A4" s="25"/>
      <c r="B4" s="61"/>
      <c r="C4" s="61"/>
      <c r="D4" s="61"/>
      <c r="E4" s="228" t="s">
        <v>455</v>
      </c>
      <c r="F4" s="228"/>
      <c r="G4" s="228"/>
      <c r="H4" s="25"/>
    </row>
    <row r="5" spans="1:9">
      <c r="A5" s="103"/>
      <c r="B5" s="248" t="s">
        <v>538</v>
      </c>
      <c r="C5" s="249"/>
      <c r="D5" s="248" t="s">
        <v>538</v>
      </c>
      <c r="E5" s="249"/>
      <c r="F5" s="272" t="s">
        <v>539</v>
      </c>
      <c r="G5" s="273"/>
      <c r="H5" s="58"/>
    </row>
    <row r="6" spans="1:9">
      <c r="A6" s="103" t="s">
        <v>468</v>
      </c>
      <c r="B6" s="104" t="str">
        <f>Innehåll!D79</f>
        <v xml:space="preserve"> 2023-06</v>
      </c>
      <c r="C6" s="104" t="str">
        <f>Innehåll!D80</f>
        <v xml:space="preserve"> 2022-06</v>
      </c>
      <c r="D6" s="104" t="str">
        <f>Innehåll!D81</f>
        <v>YTD  2023</v>
      </c>
      <c r="E6" s="104" t="str">
        <f>Innehåll!D82</f>
        <v>YTD  2022</v>
      </c>
      <c r="F6" s="130" t="str">
        <f>B6</f>
        <v xml:space="preserve"> 2023-06</v>
      </c>
      <c r="G6" s="118" t="str">
        <f>D6</f>
        <v>YTD  2023</v>
      </c>
      <c r="H6" s="58"/>
    </row>
    <row r="7" spans="1:9" hidden="1">
      <c r="A7" s="153" t="s">
        <v>329</v>
      </c>
      <c r="B7" s="146" t="s">
        <v>308</v>
      </c>
      <c r="C7" s="146" t="s">
        <v>328</v>
      </c>
      <c r="D7" s="146" t="s">
        <v>326</v>
      </c>
      <c r="E7" s="146" t="s">
        <v>327</v>
      </c>
      <c r="F7" s="145" t="s">
        <v>386</v>
      </c>
      <c r="G7" s="145" t="s">
        <v>387</v>
      </c>
      <c r="H7" s="25"/>
      <c r="I7"/>
    </row>
    <row r="8" spans="1:9">
      <c r="A8" s="154" t="s">
        <v>1226</v>
      </c>
      <c r="B8" s="146">
        <v>4111</v>
      </c>
      <c r="C8" s="146">
        <v>2605</v>
      </c>
      <c r="D8" s="146">
        <v>20226</v>
      </c>
      <c r="E8" s="146">
        <v>16651</v>
      </c>
      <c r="F8" s="155">
        <v>57.811900191938584</v>
      </c>
      <c r="G8" s="155">
        <v>21.470181971052789</v>
      </c>
      <c r="H8" s="25"/>
      <c r="I8"/>
    </row>
    <row r="9" spans="1:9">
      <c r="A9" s="156" t="s">
        <v>330</v>
      </c>
      <c r="B9" s="157">
        <v>20</v>
      </c>
      <c r="C9" s="157">
        <v>30</v>
      </c>
      <c r="D9" s="157">
        <v>99</v>
      </c>
      <c r="E9" s="157">
        <v>118</v>
      </c>
      <c r="F9" s="158">
        <v>-33.333333333333329</v>
      </c>
      <c r="G9" s="158">
        <v>-16.101694915254235</v>
      </c>
      <c r="H9" s="25"/>
      <c r="I9"/>
    </row>
    <row r="10" spans="1:9">
      <c r="A10" s="154" t="s">
        <v>331</v>
      </c>
      <c r="B10" s="146">
        <v>25</v>
      </c>
      <c r="C10" s="152">
        <v>34</v>
      </c>
      <c r="D10" s="152">
        <v>136</v>
      </c>
      <c r="E10" s="152">
        <v>144</v>
      </c>
      <c r="F10" s="155">
        <v>-26.47058823529412</v>
      </c>
      <c r="G10" s="155">
        <v>-5.5555555555555554</v>
      </c>
      <c r="H10" s="25"/>
      <c r="I10"/>
    </row>
    <row r="11" spans="1:9">
      <c r="A11" s="154" t="s">
        <v>1227</v>
      </c>
      <c r="B11" s="146">
        <v>587</v>
      </c>
      <c r="C11" s="146">
        <v>498</v>
      </c>
      <c r="D11" s="146">
        <v>3341</v>
      </c>
      <c r="E11" s="146">
        <v>2622</v>
      </c>
      <c r="F11" s="155">
        <v>17.871485943775099</v>
      </c>
      <c r="G11" s="155">
        <v>27.421815408085433</v>
      </c>
      <c r="H11" s="25"/>
      <c r="I11"/>
    </row>
    <row r="12" spans="1:9">
      <c r="A12" s="159" t="s">
        <v>457</v>
      </c>
      <c r="B12" s="160">
        <v>4743</v>
      </c>
      <c r="C12" s="161">
        <v>3167</v>
      </c>
      <c r="D12" s="161">
        <v>23802</v>
      </c>
      <c r="E12" s="161">
        <v>19535</v>
      </c>
      <c r="F12" s="162">
        <v>49.763182822860749</v>
      </c>
      <c r="G12" s="163">
        <v>21.842846173534681</v>
      </c>
      <c r="H12" s="25"/>
      <c r="I12"/>
    </row>
    <row r="13" spans="1:9">
      <c r="A13" s="25"/>
      <c r="B13" s="61"/>
      <c r="C13" s="61"/>
      <c r="D13" s="61"/>
      <c r="E13" s="61"/>
      <c r="F13" s="25"/>
      <c r="G13" s="25"/>
      <c r="H13" s="58"/>
    </row>
    <row r="14" spans="1:9">
      <c r="A14" s="25"/>
      <c r="B14" s="61"/>
      <c r="C14" s="61"/>
      <c r="D14" s="61"/>
      <c r="E14" s="61"/>
      <c r="F14" s="25"/>
      <c r="G14" s="25"/>
      <c r="H14" s="58"/>
    </row>
    <row r="15" spans="1:9">
      <c r="A15" s="25" t="s">
        <v>681</v>
      </c>
      <c r="B15" s="61"/>
      <c r="C15" s="61"/>
      <c r="D15" s="61"/>
      <c r="E15" s="61"/>
      <c r="F15" s="25"/>
      <c r="G15" s="25"/>
      <c r="H15" s="58"/>
    </row>
    <row r="17" spans="1:1">
      <c r="A17" t="s">
        <v>1290</v>
      </c>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458</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c r="U12" s="25"/>
    </row>
    <row r="13" spans="2:21">
      <c r="P13" s="25"/>
      <c r="Q13" s="16" t="s">
        <v>9</v>
      </c>
      <c r="R13" s="25">
        <v>2631</v>
      </c>
      <c r="S13" s="25">
        <v>3065</v>
      </c>
      <c r="T13" s="25"/>
      <c r="U13" s="25"/>
    </row>
    <row r="14" spans="2:21">
      <c r="P14" s="25"/>
      <c r="Q14" s="16" t="s">
        <v>10</v>
      </c>
      <c r="R14" s="25">
        <v>2973</v>
      </c>
      <c r="S14" s="25">
        <v>3276</v>
      </c>
      <c r="T14" s="25"/>
      <c r="U14" s="25"/>
    </row>
    <row r="15" spans="2:21">
      <c r="P15" s="25"/>
      <c r="Q15" s="16" t="s">
        <v>11</v>
      </c>
      <c r="R15" s="25">
        <v>2401</v>
      </c>
      <c r="S15" s="25">
        <v>2572</v>
      </c>
      <c r="T15" s="25"/>
      <c r="U15" s="25"/>
    </row>
    <row r="16" spans="2:21">
      <c r="P16" s="25"/>
      <c r="Q16" s="16" t="s">
        <v>12</v>
      </c>
      <c r="R16" s="25">
        <v>2420</v>
      </c>
      <c r="S16" s="25">
        <v>3367</v>
      </c>
      <c r="T16" s="25"/>
      <c r="U16" s="25"/>
    </row>
    <row r="17" spans="16:21">
      <c r="P17" s="25"/>
      <c r="Q17" s="26" t="s">
        <v>13</v>
      </c>
      <c r="R17" s="27">
        <v>2787</v>
      </c>
      <c r="S17" s="27">
        <v>4052</v>
      </c>
      <c r="T17" s="27"/>
      <c r="U17" s="25"/>
    </row>
    <row r="18" spans="16:21">
      <c r="P18" s="25"/>
      <c r="Q18" s="38" t="s">
        <v>537</v>
      </c>
      <c r="R18" s="25">
        <f>SUMIF(T6:T17,"&gt;0",R6:R17)</f>
        <v>21476</v>
      </c>
      <c r="S18" s="25">
        <f>SUMIF(T6:T17,"&gt;0",S6:S17)</f>
        <v>16651</v>
      </c>
      <c r="T18" s="61">
        <f>SUM(T6:T17)</f>
        <v>20226</v>
      </c>
      <c r="U18" s="25"/>
    </row>
    <row r="19" spans="16:21">
      <c r="P19" s="25"/>
      <c r="Q19" s="87" t="s">
        <v>536</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455</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298</v>
      </c>
      <c r="R35" s="66"/>
      <c r="S35" s="66"/>
      <c r="T35" s="66"/>
      <c r="U35" s="66"/>
      <c r="V35" s="66"/>
      <c r="W35" s="113"/>
    </row>
    <row r="36" spans="17:23">
      <c r="Q36" s="25"/>
      <c r="R36" s="25"/>
      <c r="S36" s="25"/>
      <c r="T36" s="25"/>
      <c r="U36" s="25"/>
      <c r="V36" s="25"/>
      <c r="W36" s="25"/>
    </row>
    <row r="37" spans="17:23">
      <c r="Q37" s="88" t="s">
        <v>441</v>
      </c>
      <c r="R37" s="58">
        <v>-3.4899953466728708</v>
      </c>
      <c r="S37" s="25"/>
      <c r="T37" s="25"/>
      <c r="U37" s="25"/>
      <c r="V37" s="25"/>
      <c r="W37" s="25"/>
    </row>
    <row r="38" spans="17:23">
      <c r="Q38" s="88" t="s">
        <v>504</v>
      </c>
      <c r="R38" s="58">
        <v>46.333853354134163</v>
      </c>
      <c r="S38" s="25"/>
      <c r="T38" s="25"/>
      <c r="U38" s="25"/>
      <c r="V38" s="25"/>
      <c r="W38" s="25"/>
    </row>
    <row r="39" spans="17:23">
      <c r="Q39" s="88" t="s">
        <v>564</v>
      </c>
      <c r="R39" s="58">
        <v>239.72602739726025</v>
      </c>
      <c r="S39" s="25"/>
      <c r="T39" s="25"/>
      <c r="U39" s="25"/>
      <c r="V39" s="25"/>
      <c r="W39" s="25"/>
    </row>
    <row r="40" spans="17:23">
      <c r="Q40" s="88" t="s">
        <v>579</v>
      </c>
      <c r="R40" s="58">
        <v>-23.29979879275654</v>
      </c>
      <c r="S40" s="25"/>
      <c r="T40" s="25"/>
      <c r="U40" s="25"/>
      <c r="V40" s="25"/>
      <c r="W40" s="25"/>
    </row>
    <row r="41" spans="17:23">
      <c r="Q41" s="88" t="s">
        <v>593</v>
      </c>
      <c r="R41" s="58">
        <v>32.572515454113173</v>
      </c>
      <c r="S41" s="25"/>
      <c r="T41" s="25"/>
      <c r="U41" s="25"/>
      <c r="V41" s="25"/>
      <c r="W41" s="25"/>
    </row>
    <row r="42" spans="17:23">
      <c r="Q42" s="88" t="s">
        <v>600</v>
      </c>
      <c r="R42" s="58">
        <v>40.133928571428577</v>
      </c>
      <c r="S42" s="25"/>
      <c r="T42" s="25"/>
      <c r="U42" s="25"/>
      <c r="V42" s="25"/>
      <c r="W42" s="25"/>
    </row>
    <row r="43" spans="17:23">
      <c r="Q43" s="88" t="s">
        <v>605</v>
      </c>
      <c r="R43" s="58">
        <v>-5.3789731051344738</v>
      </c>
      <c r="S43" s="25"/>
      <c r="T43" s="25"/>
      <c r="U43" s="25"/>
      <c r="V43" s="25"/>
      <c r="W43" s="25"/>
    </row>
    <row r="44" spans="17:23">
      <c r="Q44" s="88" t="s">
        <v>607</v>
      </c>
      <c r="R44" s="58">
        <v>-8.6775425199583474</v>
      </c>
      <c r="S44" s="25"/>
      <c r="T44" s="25"/>
      <c r="U44" s="25"/>
      <c r="V44" s="25"/>
      <c r="W44" s="25"/>
    </row>
    <row r="45" spans="17:23">
      <c r="Q45" s="88" t="s">
        <v>615</v>
      </c>
      <c r="R45" s="58">
        <v>-17.324805339265851</v>
      </c>
      <c r="S45" s="25"/>
      <c r="T45" s="25"/>
      <c r="U45" s="25"/>
      <c r="V45" s="25"/>
      <c r="W45" s="25"/>
    </row>
    <row r="46" spans="17:23">
      <c r="Q46" s="88" t="s">
        <v>634</v>
      </c>
      <c r="R46" s="58">
        <v>-27.242424242424239</v>
      </c>
      <c r="S46" s="25"/>
      <c r="T46" s="25"/>
      <c r="U46" s="25"/>
      <c r="V46" s="25"/>
      <c r="W46" s="25"/>
    </row>
    <row r="47" spans="17:23">
      <c r="Q47" s="88" t="s">
        <v>643</v>
      </c>
      <c r="R47" s="58">
        <v>-22.708399872245288</v>
      </c>
      <c r="S47" s="25"/>
      <c r="T47" s="25"/>
      <c r="U47" s="25"/>
      <c r="V47" s="25"/>
      <c r="W47" s="25"/>
    </row>
    <row r="48" spans="17:23">
      <c r="Q48" s="88" t="s">
        <v>652</v>
      </c>
      <c r="R48" s="58">
        <v>-30.185370741482963</v>
      </c>
      <c r="S48" s="25"/>
      <c r="T48" s="25"/>
      <c r="U48" s="25"/>
      <c r="V48" s="25"/>
      <c r="W48" s="25"/>
    </row>
    <row r="49" spans="17:23">
      <c r="Q49" s="88" t="s">
        <v>661</v>
      </c>
      <c r="R49" s="58">
        <f>((S6-R6)/R6)*100</f>
        <v>-3.4899953466728708</v>
      </c>
      <c r="S49" s="25"/>
      <c r="T49" s="25"/>
      <c r="U49" s="25"/>
      <c r="V49" s="25"/>
      <c r="W49" s="25"/>
    </row>
    <row r="50" spans="17:23">
      <c r="Q50" s="88" t="s">
        <v>676</v>
      </c>
      <c r="R50" s="58">
        <f t="shared" ref="R50:R60" si="0">((S7-R7)/R7)*100</f>
        <v>-7.8891257995735611</v>
      </c>
      <c r="S50" s="25"/>
      <c r="T50" s="25"/>
      <c r="U50" s="25"/>
      <c r="V50" s="25"/>
      <c r="W50" s="25"/>
    </row>
    <row r="51" spans="17:23">
      <c r="Q51" s="88" t="s">
        <v>694</v>
      </c>
      <c r="R51" s="58">
        <f t="shared" si="0"/>
        <v>-60.334101382488484</v>
      </c>
      <c r="S51" s="25"/>
      <c r="T51" s="25"/>
      <c r="U51" s="25"/>
      <c r="V51" s="25"/>
      <c r="W51" s="25"/>
    </row>
    <row r="52" spans="17:23">
      <c r="Q52" s="88" t="s">
        <v>703</v>
      </c>
      <c r="R52" s="58">
        <f t="shared" si="0"/>
        <v>54.984260230849948</v>
      </c>
      <c r="S52" s="25"/>
      <c r="T52" s="25"/>
      <c r="U52" s="25"/>
      <c r="V52" s="25"/>
      <c r="W52" s="25"/>
    </row>
    <row r="53" spans="17:23">
      <c r="Q53" s="88" t="s">
        <v>709</v>
      </c>
      <c r="R53" s="58">
        <f t="shared" si="0"/>
        <v>6.9942611190817789</v>
      </c>
      <c r="S53" s="25"/>
      <c r="T53" s="25"/>
      <c r="U53" s="25"/>
      <c r="V53" s="25"/>
      <c r="W53" s="25"/>
    </row>
    <row r="54" spans="17:23">
      <c r="Q54" s="88" t="s">
        <v>712</v>
      </c>
      <c r="R54" s="58">
        <f t="shared" si="0"/>
        <v>-17.011787193373689</v>
      </c>
      <c r="S54" s="25"/>
      <c r="T54" s="25"/>
      <c r="U54" s="25"/>
      <c r="V54" s="25"/>
      <c r="W54" s="25"/>
    </row>
    <row r="55" spans="17:23">
      <c r="Q55" s="88" t="s">
        <v>988</v>
      </c>
      <c r="R55" s="58">
        <f t="shared" si="0"/>
        <v>-0.96899224806201545</v>
      </c>
      <c r="S55" s="25"/>
      <c r="T55" s="25"/>
      <c r="U55" s="25"/>
      <c r="V55" s="25"/>
      <c r="W55" s="25"/>
    </row>
    <row r="56" spans="17:23">
      <c r="Q56" s="88" t="s">
        <v>995</v>
      </c>
      <c r="R56" s="58">
        <f t="shared" si="0"/>
        <v>16.495629038388447</v>
      </c>
      <c r="S56" s="25"/>
      <c r="T56" s="25"/>
      <c r="U56" s="25"/>
      <c r="V56" s="25"/>
      <c r="W56" s="25"/>
    </row>
    <row r="57" spans="17:23">
      <c r="Q57" s="88" t="s">
        <v>1009</v>
      </c>
      <c r="R57" s="58">
        <f t="shared" si="0"/>
        <v>10.191725529767911</v>
      </c>
      <c r="S57" s="25"/>
      <c r="T57" s="25"/>
      <c r="U57" s="25"/>
      <c r="V57" s="25"/>
      <c r="W57" s="25"/>
    </row>
    <row r="58" spans="17:23">
      <c r="Q58" s="88" t="s">
        <v>1019</v>
      </c>
      <c r="R58" s="58">
        <f t="shared" si="0"/>
        <v>7.1220324864639739</v>
      </c>
      <c r="S58" s="25"/>
      <c r="T58" s="25"/>
      <c r="U58" s="25"/>
      <c r="V58" s="25"/>
      <c r="W58" s="25"/>
    </row>
    <row r="59" spans="17:23">
      <c r="Q59" s="88" t="s">
        <v>1031</v>
      </c>
      <c r="R59" s="58">
        <f t="shared" si="0"/>
        <v>39.132231404958681</v>
      </c>
      <c r="S59" s="25"/>
      <c r="T59" s="25"/>
      <c r="U59" s="25"/>
      <c r="V59" s="25"/>
      <c r="W59" s="25"/>
    </row>
    <row r="60" spans="17:23">
      <c r="Q60" s="88" t="s">
        <v>1046</v>
      </c>
      <c r="R60" s="58">
        <f t="shared" si="0"/>
        <v>45.389307499102976</v>
      </c>
      <c r="S60" s="25"/>
      <c r="T60" s="25"/>
      <c r="U60" s="25"/>
      <c r="V60" s="25"/>
      <c r="W60" s="25"/>
    </row>
    <row r="61" spans="17:23">
      <c r="Q61" s="88" t="s">
        <v>1074</v>
      </c>
      <c r="R61" s="58">
        <f t="shared" ref="R61:R66" si="1">((T6-S6)/S6)*100</f>
        <v>13.596914175506269</v>
      </c>
      <c r="S61" s="25"/>
      <c r="T61" s="25"/>
      <c r="U61" s="25"/>
      <c r="V61" s="25"/>
      <c r="W61" s="25"/>
    </row>
    <row r="62" spans="17:23">
      <c r="Q62" s="88" t="s">
        <v>1111</v>
      </c>
      <c r="R62" s="58">
        <f t="shared" si="1"/>
        <v>15.084876543209877</v>
      </c>
      <c r="S62" s="25"/>
      <c r="T62" s="25"/>
      <c r="U62" s="25"/>
      <c r="V62" s="25"/>
      <c r="W62" s="25"/>
    </row>
    <row r="63" spans="17:23">
      <c r="Q63" s="88" t="s">
        <v>1145</v>
      </c>
      <c r="R63" s="58">
        <f t="shared" si="1"/>
        <v>6.1283764159163523</v>
      </c>
      <c r="S63" s="25"/>
      <c r="T63" s="25"/>
      <c r="U63" s="25"/>
      <c r="V63" s="25"/>
      <c r="W63" s="25"/>
    </row>
    <row r="64" spans="17:23">
      <c r="Q64" s="88" t="s">
        <v>1171</v>
      </c>
      <c r="R64" s="58">
        <f t="shared" si="1"/>
        <v>8.4292484766418418</v>
      </c>
      <c r="S64" s="25"/>
      <c r="T64" s="25"/>
      <c r="U64" s="25"/>
      <c r="V64" s="25"/>
      <c r="W64" s="25"/>
    </row>
    <row r="65" spans="1:23">
      <c r="A65" s="25" t="s">
        <v>681</v>
      </c>
      <c r="Q65" s="88" t="s">
        <v>1201</v>
      </c>
      <c r="R65" s="58">
        <f t="shared" si="1"/>
        <v>31.377807576265504</v>
      </c>
      <c r="S65" s="25"/>
      <c r="T65" s="25"/>
      <c r="U65" s="25"/>
      <c r="V65" s="25"/>
      <c r="W65" s="25"/>
    </row>
    <row r="66" spans="1:23">
      <c r="Q66" s="88" t="s">
        <v>1248</v>
      </c>
      <c r="R66" s="58">
        <f t="shared" si="1"/>
        <v>57.811900191938584</v>
      </c>
      <c r="S66" s="25"/>
      <c r="T66" s="25"/>
      <c r="U66" s="25"/>
      <c r="V66" s="25"/>
      <c r="W66" s="25"/>
    </row>
    <row r="67" spans="1:23">
      <c r="Q67" s="88"/>
      <c r="R67" s="58"/>
      <c r="S67" s="25"/>
      <c r="T67" s="25"/>
      <c r="U67" s="25"/>
      <c r="V67" s="25"/>
      <c r="W67" s="25"/>
    </row>
    <row r="68" spans="1:23">
      <c r="Q68" s="88"/>
      <c r="R68" s="58"/>
      <c r="S68" s="25"/>
      <c r="T68" s="25"/>
      <c r="U68" s="25"/>
      <c r="V68" s="25"/>
      <c r="W68" s="25"/>
    </row>
    <row r="69" spans="1:23">
      <c r="Q69" s="88"/>
      <c r="R69" s="58"/>
      <c r="S69" s="25"/>
      <c r="T69" s="25"/>
      <c r="U69" s="25"/>
      <c r="V69" s="25"/>
      <c r="W69" s="25"/>
    </row>
    <row r="70" spans="1:23">
      <c r="R70" s="58"/>
      <c r="S70" s="25"/>
      <c r="T70" s="25"/>
      <c r="U70" s="25"/>
      <c r="V70" s="25"/>
      <c r="W70" s="25"/>
    </row>
    <row r="71" spans="1:23">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C3" sqref="C3"/>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1228</v>
      </c>
      <c r="D2" s="56"/>
      <c r="E2" s="56"/>
      <c r="F2" s="56"/>
      <c r="G2" s="56"/>
      <c r="H2" s="56"/>
    </row>
    <row r="4" spans="1:10" ht="15" customHeight="1">
      <c r="A4" s="89" t="s">
        <v>460</v>
      </c>
      <c r="B4" s="25"/>
      <c r="C4" s="25"/>
      <c r="D4" s="25"/>
      <c r="E4" s="257" t="s">
        <v>455</v>
      </c>
      <c r="F4" s="257"/>
      <c r="G4" s="257"/>
      <c r="H4" s="257"/>
      <c r="I4" s="257"/>
      <c r="J4" s="25"/>
    </row>
    <row r="5" spans="1:10">
      <c r="A5" s="103"/>
      <c r="B5" s="259" t="s">
        <v>538</v>
      </c>
      <c r="C5" s="260"/>
      <c r="D5" s="259" t="s">
        <v>538</v>
      </c>
      <c r="E5" s="260"/>
      <c r="F5" s="272" t="s">
        <v>539</v>
      </c>
      <c r="G5" s="273"/>
      <c r="H5" s="259" t="s">
        <v>540</v>
      </c>
      <c r="I5" s="260"/>
      <c r="J5" s="25"/>
    </row>
    <row r="6" spans="1:10">
      <c r="A6" s="103" t="s">
        <v>466</v>
      </c>
      <c r="B6" s="117" t="str">
        <f>Innehåll!D79</f>
        <v xml:space="preserve"> 2023-06</v>
      </c>
      <c r="C6" s="117" t="str">
        <f>Innehåll!D80</f>
        <v xml:space="preserve"> 2022-06</v>
      </c>
      <c r="D6" s="117" t="str">
        <f>Innehåll!D81</f>
        <v>YTD  2023</v>
      </c>
      <c r="E6" s="117" t="str">
        <f>Innehåll!D82</f>
        <v>YTD  2022</v>
      </c>
      <c r="F6" s="131" t="str">
        <f>B6</f>
        <v xml:space="preserve"> 2023-06</v>
      </c>
      <c r="G6" s="118" t="str">
        <f>D6</f>
        <v>YTD  2023</v>
      </c>
      <c r="H6" s="117" t="str">
        <f>D6</f>
        <v>YTD  2023</v>
      </c>
      <c r="I6" s="132"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677</v>
      </c>
      <c r="B8" s="25">
        <v>5</v>
      </c>
      <c r="C8" s="25">
        <v>0</v>
      </c>
      <c r="D8" s="25">
        <v>8</v>
      </c>
      <c r="E8" s="25">
        <v>0</v>
      </c>
      <c r="F8" s="25">
        <v>0</v>
      </c>
      <c r="G8" s="25">
        <v>0</v>
      </c>
      <c r="H8" s="25">
        <v>0</v>
      </c>
      <c r="I8" s="25">
        <v>0</v>
      </c>
      <c r="J8" s="25"/>
    </row>
    <row r="9" spans="1:10">
      <c r="A9" s="25" t="s">
        <v>263</v>
      </c>
      <c r="B9" s="25">
        <v>4</v>
      </c>
      <c r="C9" s="25">
        <v>4</v>
      </c>
      <c r="D9" s="25">
        <v>15</v>
      </c>
      <c r="E9" s="25">
        <v>11</v>
      </c>
      <c r="F9" s="25">
        <v>0</v>
      </c>
      <c r="G9" s="25">
        <v>36.4</v>
      </c>
      <c r="H9" s="25">
        <v>0.1</v>
      </c>
      <c r="I9" s="25">
        <v>0.1</v>
      </c>
      <c r="J9" s="25"/>
    </row>
    <row r="10" spans="1:10">
      <c r="A10" s="25" t="s">
        <v>264</v>
      </c>
      <c r="B10" s="25">
        <v>100</v>
      </c>
      <c r="C10" s="25">
        <v>84</v>
      </c>
      <c r="D10" s="25">
        <v>489</v>
      </c>
      <c r="E10" s="25">
        <v>615</v>
      </c>
      <c r="F10" s="25">
        <v>19</v>
      </c>
      <c r="G10" s="25">
        <v>-20.5</v>
      </c>
      <c r="H10" s="25">
        <v>2.4</v>
      </c>
      <c r="I10" s="25">
        <v>3.7</v>
      </c>
      <c r="J10" s="25"/>
    </row>
    <row r="11" spans="1:10">
      <c r="A11" s="25" t="s">
        <v>1107</v>
      </c>
      <c r="B11" s="25">
        <v>0</v>
      </c>
      <c r="C11" s="25">
        <v>0</v>
      </c>
      <c r="D11" s="25">
        <v>1</v>
      </c>
      <c r="E11" s="25">
        <v>3</v>
      </c>
      <c r="F11" s="25">
        <v>0</v>
      </c>
      <c r="G11" s="25">
        <v>-66.7</v>
      </c>
      <c r="H11" s="25">
        <v>0</v>
      </c>
      <c r="I11" s="25">
        <v>0</v>
      </c>
      <c r="J11" s="25"/>
    </row>
    <row r="12" spans="1:10">
      <c r="A12" s="25" t="s">
        <v>266</v>
      </c>
      <c r="B12" s="25">
        <v>28</v>
      </c>
      <c r="C12" s="25">
        <v>1</v>
      </c>
      <c r="D12" s="25">
        <v>262</v>
      </c>
      <c r="E12" s="25">
        <v>60</v>
      </c>
      <c r="F12" s="25">
        <v>2700</v>
      </c>
      <c r="G12" s="25">
        <v>336.7</v>
      </c>
      <c r="H12" s="25">
        <v>1.3</v>
      </c>
      <c r="I12" s="25">
        <v>0.4</v>
      </c>
      <c r="J12" s="25"/>
    </row>
    <row r="13" spans="1:10">
      <c r="A13" s="25" t="s">
        <v>267</v>
      </c>
      <c r="B13" s="25">
        <v>558</v>
      </c>
      <c r="C13" s="25">
        <v>385</v>
      </c>
      <c r="D13" s="25">
        <v>3112</v>
      </c>
      <c r="E13" s="25">
        <v>2526</v>
      </c>
      <c r="F13" s="25">
        <v>44.9</v>
      </c>
      <c r="G13" s="25">
        <v>23.2</v>
      </c>
      <c r="H13" s="25">
        <v>15.4</v>
      </c>
      <c r="I13" s="25">
        <v>15.2</v>
      </c>
      <c r="J13" s="25"/>
    </row>
    <row r="14" spans="1:10">
      <c r="A14" s="25" t="s">
        <v>362</v>
      </c>
      <c r="B14" s="61">
        <v>69</v>
      </c>
      <c r="C14" s="61">
        <v>48</v>
      </c>
      <c r="D14" s="61">
        <v>411</v>
      </c>
      <c r="E14" s="61">
        <v>324</v>
      </c>
      <c r="F14" s="25">
        <v>43.8</v>
      </c>
      <c r="G14" s="25">
        <v>26.9</v>
      </c>
      <c r="H14" s="25">
        <v>2</v>
      </c>
      <c r="I14" s="25">
        <v>1.9</v>
      </c>
      <c r="J14" s="25"/>
    </row>
    <row r="15" spans="1:10">
      <c r="A15" s="25" t="s">
        <v>270</v>
      </c>
      <c r="B15" s="61">
        <v>86</v>
      </c>
      <c r="C15" s="61">
        <v>89</v>
      </c>
      <c r="D15" s="61">
        <v>471</v>
      </c>
      <c r="E15" s="61">
        <v>325</v>
      </c>
      <c r="F15" s="25">
        <v>-3.4</v>
      </c>
      <c r="G15" s="25">
        <v>44.9</v>
      </c>
      <c r="H15" s="25">
        <v>2.2999999999999998</v>
      </c>
      <c r="I15" s="25">
        <v>2</v>
      </c>
      <c r="J15" s="25"/>
    </row>
    <row r="16" spans="1:10">
      <c r="A16" s="25" t="s">
        <v>272</v>
      </c>
      <c r="B16" s="61">
        <v>3</v>
      </c>
      <c r="C16" s="61">
        <v>0</v>
      </c>
      <c r="D16" s="61">
        <v>14</v>
      </c>
      <c r="E16" s="61">
        <v>0</v>
      </c>
      <c r="F16" s="25">
        <v>0</v>
      </c>
      <c r="G16" s="25">
        <v>0</v>
      </c>
      <c r="H16" s="25">
        <v>0.1</v>
      </c>
      <c r="I16" s="25">
        <v>0</v>
      </c>
      <c r="J16" s="25"/>
    </row>
    <row r="17" spans="1:10">
      <c r="A17" s="25" t="s">
        <v>275</v>
      </c>
      <c r="B17" s="61">
        <v>1</v>
      </c>
      <c r="C17" s="61">
        <v>0</v>
      </c>
      <c r="D17" s="61">
        <v>1</v>
      </c>
      <c r="E17" s="61">
        <v>0</v>
      </c>
      <c r="F17" s="25">
        <v>0</v>
      </c>
      <c r="G17" s="25">
        <v>0</v>
      </c>
      <c r="H17" s="25">
        <v>0</v>
      </c>
      <c r="I17" s="25">
        <v>0</v>
      </c>
      <c r="J17" s="25"/>
    </row>
    <row r="18" spans="1:10">
      <c r="A18" s="25" t="s">
        <v>1108</v>
      </c>
      <c r="B18" s="61">
        <v>0</v>
      </c>
      <c r="C18" s="61">
        <v>1</v>
      </c>
      <c r="D18" s="61">
        <v>2</v>
      </c>
      <c r="E18" s="61">
        <v>12</v>
      </c>
      <c r="F18" s="25">
        <v>-100</v>
      </c>
      <c r="G18" s="25">
        <v>-83.3</v>
      </c>
      <c r="H18" s="25">
        <v>0</v>
      </c>
      <c r="I18" s="25">
        <v>0.1</v>
      </c>
      <c r="J18" s="25"/>
    </row>
    <row r="19" spans="1:10">
      <c r="A19" s="25" t="s">
        <v>277</v>
      </c>
      <c r="B19" s="61">
        <v>4</v>
      </c>
      <c r="C19" s="61">
        <v>7</v>
      </c>
      <c r="D19" s="61">
        <v>27</v>
      </c>
      <c r="E19" s="61">
        <v>51</v>
      </c>
      <c r="F19" s="25">
        <v>-42.9</v>
      </c>
      <c r="G19" s="25">
        <v>-47.1</v>
      </c>
      <c r="H19" s="25">
        <v>0.1</v>
      </c>
      <c r="I19" s="25">
        <v>0.3</v>
      </c>
      <c r="J19" s="25"/>
    </row>
    <row r="20" spans="1:10">
      <c r="A20" s="25" t="s">
        <v>417</v>
      </c>
      <c r="B20" s="61">
        <v>79</v>
      </c>
      <c r="C20" s="61">
        <v>70</v>
      </c>
      <c r="D20" s="61">
        <v>403</v>
      </c>
      <c r="E20" s="61">
        <v>231</v>
      </c>
      <c r="F20" s="25">
        <v>12.9</v>
      </c>
      <c r="G20" s="25">
        <v>74.5</v>
      </c>
      <c r="H20" s="25">
        <v>2</v>
      </c>
      <c r="I20" s="25">
        <v>1.4</v>
      </c>
      <c r="J20" s="25"/>
    </row>
    <row r="21" spans="1:10">
      <c r="A21" s="25" t="s">
        <v>379</v>
      </c>
      <c r="B21" s="61">
        <v>588</v>
      </c>
      <c r="C21" s="61">
        <v>381</v>
      </c>
      <c r="D21" s="61">
        <v>2518</v>
      </c>
      <c r="E21" s="61">
        <v>2499</v>
      </c>
      <c r="F21" s="25">
        <v>54.3</v>
      </c>
      <c r="G21" s="25">
        <v>0.8</v>
      </c>
      <c r="H21" s="25">
        <v>12.4</v>
      </c>
      <c r="I21" s="25">
        <v>15</v>
      </c>
      <c r="J21" s="25"/>
    </row>
    <row r="22" spans="1:10">
      <c r="A22" s="25" t="s">
        <v>283</v>
      </c>
      <c r="B22" s="61">
        <v>91</v>
      </c>
      <c r="C22" s="61">
        <v>41</v>
      </c>
      <c r="D22" s="61">
        <v>529</v>
      </c>
      <c r="E22" s="61">
        <v>318</v>
      </c>
      <c r="F22" s="25">
        <v>122</v>
      </c>
      <c r="G22" s="25">
        <v>66.400000000000006</v>
      </c>
      <c r="H22" s="25">
        <v>2.6</v>
      </c>
      <c r="I22" s="25">
        <v>1.9</v>
      </c>
      <c r="J22" s="25"/>
    </row>
    <row r="23" spans="1:10">
      <c r="A23" s="25" t="s">
        <v>284</v>
      </c>
      <c r="B23" s="61">
        <v>113</v>
      </c>
      <c r="C23" s="61">
        <v>37</v>
      </c>
      <c r="D23" s="61">
        <v>659</v>
      </c>
      <c r="E23" s="61">
        <v>380</v>
      </c>
      <c r="F23" s="25">
        <v>205.4</v>
      </c>
      <c r="G23" s="25">
        <v>73.400000000000006</v>
      </c>
      <c r="H23" s="25">
        <v>3.3</v>
      </c>
      <c r="I23" s="25">
        <v>2.2999999999999998</v>
      </c>
      <c r="J23" s="25"/>
    </row>
    <row r="24" spans="1:10">
      <c r="A24" s="25" t="s">
        <v>285</v>
      </c>
      <c r="B24" s="61">
        <v>238</v>
      </c>
      <c r="C24" s="61">
        <v>202</v>
      </c>
      <c r="D24" s="61">
        <v>1383</v>
      </c>
      <c r="E24" s="61">
        <v>1715</v>
      </c>
      <c r="F24" s="25">
        <v>17.8</v>
      </c>
      <c r="G24" s="25">
        <v>-19.399999999999999</v>
      </c>
      <c r="H24" s="25">
        <v>6.8</v>
      </c>
      <c r="I24" s="25">
        <v>10.3</v>
      </c>
      <c r="J24" s="25"/>
    </row>
    <row r="25" spans="1:10">
      <c r="A25" s="145" t="s">
        <v>1142</v>
      </c>
      <c r="B25" s="146">
        <v>1</v>
      </c>
      <c r="C25" s="146">
        <v>0</v>
      </c>
      <c r="D25" s="146">
        <v>7</v>
      </c>
      <c r="E25" s="146">
        <v>0</v>
      </c>
      <c r="F25" s="147">
        <v>0</v>
      </c>
      <c r="G25" s="147">
        <v>0</v>
      </c>
      <c r="H25" s="145">
        <v>0</v>
      </c>
      <c r="I25" s="145">
        <v>0</v>
      </c>
      <c r="J25" s="25"/>
    </row>
    <row r="26" spans="1:10">
      <c r="A26" s="145" t="s">
        <v>287</v>
      </c>
      <c r="B26" s="146">
        <v>698</v>
      </c>
      <c r="C26" s="146">
        <v>498</v>
      </c>
      <c r="D26" s="146">
        <v>2319</v>
      </c>
      <c r="E26" s="146">
        <v>1990</v>
      </c>
      <c r="F26" s="145">
        <v>40.200000000000003</v>
      </c>
      <c r="G26" s="145">
        <v>16.5</v>
      </c>
      <c r="H26" s="145">
        <v>11.5</v>
      </c>
      <c r="I26" s="145">
        <v>12</v>
      </c>
      <c r="J26" s="25"/>
    </row>
    <row r="27" spans="1:10">
      <c r="A27" s="145" t="s">
        <v>291</v>
      </c>
      <c r="B27" s="146">
        <v>20</v>
      </c>
      <c r="C27" s="146">
        <v>4</v>
      </c>
      <c r="D27" s="146">
        <v>97</v>
      </c>
      <c r="E27" s="146">
        <v>100</v>
      </c>
      <c r="F27" s="145">
        <v>400</v>
      </c>
      <c r="G27" s="145">
        <v>-3</v>
      </c>
      <c r="H27" s="145">
        <v>0.5</v>
      </c>
      <c r="I27" s="145">
        <v>0.6</v>
      </c>
      <c r="J27" s="25"/>
    </row>
    <row r="28" spans="1:10">
      <c r="A28" s="145" t="s">
        <v>293</v>
      </c>
      <c r="B28" s="146">
        <v>299</v>
      </c>
      <c r="C28" s="146">
        <v>158</v>
      </c>
      <c r="D28" s="146">
        <v>1551</v>
      </c>
      <c r="E28" s="146">
        <v>1531</v>
      </c>
      <c r="F28" s="147">
        <v>89.2</v>
      </c>
      <c r="G28" s="147">
        <v>1.3</v>
      </c>
      <c r="H28" s="145">
        <v>7.7</v>
      </c>
      <c r="I28" s="145">
        <v>9.1999999999999993</v>
      </c>
      <c r="J28" s="25"/>
    </row>
    <row r="29" spans="1:10">
      <c r="A29" s="145" t="s">
        <v>294</v>
      </c>
      <c r="B29" s="146">
        <v>1116</v>
      </c>
      <c r="C29" s="146">
        <v>583</v>
      </c>
      <c r="D29" s="146">
        <v>5884</v>
      </c>
      <c r="E29" s="146">
        <v>3894</v>
      </c>
      <c r="F29" s="145">
        <v>91.4</v>
      </c>
      <c r="G29" s="145">
        <v>51.1</v>
      </c>
      <c r="H29" s="145">
        <v>29.1</v>
      </c>
      <c r="I29" s="145">
        <v>23.4</v>
      </c>
      <c r="J29" s="25"/>
    </row>
    <row r="30" spans="1:10">
      <c r="A30" s="145" t="s">
        <v>296</v>
      </c>
      <c r="B30" s="146">
        <v>10</v>
      </c>
      <c r="C30" s="146">
        <v>12</v>
      </c>
      <c r="D30" s="146">
        <v>63</v>
      </c>
      <c r="E30" s="146">
        <v>65</v>
      </c>
      <c r="F30" s="145">
        <v>-16.7</v>
      </c>
      <c r="G30" s="145">
        <v>-3.1</v>
      </c>
      <c r="H30" s="145">
        <v>0.3</v>
      </c>
      <c r="I30" s="145">
        <v>0.4</v>
      </c>
      <c r="J30" s="25"/>
    </row>
    <row r="31" spans="1:10">
      <c r="A31" s="145" t="s">
        <v>457</v>
      </c>
      <c r="B31" s="146">
        <f>SUBTOTAL(109,Table_bdsql12_BDnewRegistrations_getAggMakes[antalPerioden])</f>
        <v>4111</v>
      </c>
      <c r="C31" s="146">
        <f>SUBTOTAL(109,Table_bdsql12_BDnewRegistrations_getAggMakes[antalPeriodenFG])</f>
        <v>2605</v>
      </c>
      <c r="D31" s="146">
        <f>SUBTOTAL(109,Table_bdsql12_BDnewRegistrations_getAggMakes[antalAret])</f>
        <v>20226</v>
      </c>
      <c r="E31" s="146">
        <f>SUBTOTAL(109,Table_bdsql12_BDnewRegistrations_getAggMakes[antalAretFG])</f>
        <v>16650</v>
      </c>
      <c r="F31"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57.811900191938584</v>
      </c>
      <c r="G31" s="147">
        <f>IF(Table_bdsql12_BDnewRegistrations_getAggMakes[[#Totals],[antalAretFG]] &gt; 0,( Table_bdsql12_BDnewRegistrations_getAggMakes[[#Totals],[antalAret]] - Table_bdsql12_BDnewRegistrations_getAggMakes[[#Totals],[antalAretFG]] ) / Table_bdsql12_BDnewRegistrations_getAggMakes[[#Totals],[antalAretFG]] * 100,0)</f>
        <v>21.477477477477478</v>
      </c>
      <c r="H31" s="149" t="str">
        <f>TEXT(100,"0,0")</f>
        <v>100,0</v>
      </c>
      <c r="I31" s="149" t="str">
        <f>TEXT(100,"0,0")</f>
        <v>100,0</v>
      </c>
      <c r="J31" s="25"/>
    </row>
    <row r="32" spans="1:10">
      <c r="B32" s="25"/>
      <c r="C32" s="25"/>
      <c r="D32" s="25"/>
      <c r="E32" s="25"/>
      <c r="F32" s="25"/>
      <c r="G32" s="25"/>
      <c r="H32" s="25"/>
      <c r="I32" s="25"/>
      <c r="J32" s="25"/>
    </row>
    <row r="34" spans="1:1">
      <c r="A34" s="25" t="s">
        <v>681</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C3" sqref="C3"/>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1229</v>
      </c>
      <c r="D2" s="56"/>
      <c r="E2" s="56"/>
      <c r="F2" s="56"/>
      <c r="G2" s="56"/>
      <c r="H2" s="56"/>
    </row>
    <row r="4" spans="1:13">
      <c r="A4" s="59" t="s">
        <v>454</v>
      </c>
      <c r="B4" s="25"/>
      <c r="C4" s="25"/>
      <c r="D4" s="25"/>
      <c r="E4" s="25"/>
      <c r="F4" s="25"/>
      <c r="G4" s="25"/>
      <c r="H4" s="257" t="s">
        <v>455</v>
      </c>
      <c r="I4" s="257"/>
      <c r="J4" s="257"/>
      <c r="K4" s="257"/>
      <c r="L4" s="257"/>
      <c r="M4" s="25"/>
    </row>
    <row r="5" spans="1:13">
      <c r="A5" s="103"/>
      <c r="B5" s="103"/>
      <c r="C5" s="103" t="s">
        <v>538</v>
      </c>
      <c r="D5" s="103"/>
      <c r="E5" s="103" t="s">
        <v>538</v>
      </c>
      <c r="F5" s="103"/>
      <c r="G5" s="103" t="s">
        <v>539</v>
      </c>
      <c r="H5" s="103"/>
      <c r="I5" s="103" t="s">
        <v>540</v>
      </c>
      <c r="J5" s="103"/>
      <c r="K5" s="103" t="s">
        <v>540</v>
      </c>
      <c r="L5" s="103"/>
      <c r="M5" s="25"/>
    </row>
    <row r="6" spans="1:13">
      <c r="A6" s="103"/>
      <c r="B6" s="103" t="s">
        <v>469</v>
      </c>
      <c r="C6" s="103" t="str">
        <f>Innehåll!D79</f>
        <v xml:space="preserve"> 2023-06</v>
      </c>
      <c r="D6" s="103" t="str">
        <f>Innehåll!D80</f>
        <v xml:space="preserve"> 2022-06</v>
      </c>
      <c r="E6" s="103" t="str">
        <f>Innehåll!D81</f>
        <v>YTD  2023</v>
      </c>
      <c r="F6" s="103" t="str">
        <f>Innehåll!D82</f>
        <v>YTD  2022</v>
      </c>
      <c r="G6" s="103" t="str">
        <f>C6</f>
        <v xml:space="preserve"> 2023-06</v>
      </c>
      <c r="H6" s="103" t="str">
        <f>E6</f>
        <v>YTD  2023</v>
      </c>
      <c r="I6" s="103" t="str">
        <f>C6</f>
        <v xml:space="preserve"> 2023-06</v>
      </c>
      <c r="J6" s="103" t="str">
        <f>E6</f>
        <v>YTD  2023</v>
      </c>
      <c r="K6" s="103" t="str">
        <f>D6</f>
        <v xml:space="preserve"> 2022-06</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1017</v>
      </c>
      <c r="C8" s="61">
        <v>98</v>
      </c>
      <c r="D8" s="61">
        <v>0</v>
      </c>
      <c r="E8" s="61">
        <v>442</v>
      </c>
      <c r="F8" s="61">
        <v>0</v>
      </c>
      <c r="G8" s="25">
        <v>0</v>
      </c>
      <c r="H8" s="25">
        <v>0</v>
      </c>
      <c r="I8" s="25">
        <v>3.17</v>
      </c>
      <c r="J8" s="25">
        <v>14.29</v>
      </c>
      <c r="K8" s="25">
        <v>0</v>
      </c>
      <c r="L8" s="25">
        <v>0</v>
      </c>
      <c r="M8" s="25"/>
    </row>
    <row r="9" spans="1:13">
      <c r="A9" s="25">
        <v>2</v>
      </c>
      <c r="B9" s="25" t="s">
        <v>623</v>
      </c>
      <c r="C9" s="61">
        <v>86</v>
      </c>
      <c r="D9" s="61">
        <v>29</v>
      </c>
      <c r="E9" s="61">
        <v>430</v>
      </c>
      <c r="F9" s="61">
        <v>151</v>
      </c>
      <c r="G9" s="25">
        <v>196.55</v>
      </c>
      <c r="H9" s="25">
        <v>184.77</v>
      </c>
      <c r="I9" s="25">
        <v>2.78</v>
      </c>
      <c r="J9" s="25">
        <v>13.9</v>
      </c>
      <c r="K9" s="25">
        <v>4.9400000000000004</v>
      </c>
      <c r="L9" s="25">
        <v>7.76</v>
      </c>
      <c r="M9" s="25"/>
    </row>
    <row r="10" spans="1:13">
      <c r="A10" s="25">
        <v>3</v>
      </c>
      <c r="B10" s="25" t="s">
        <v>1016</v>
      </c>
      <c r="C10" s="61">
        <v>129</v>
      </c>
      <c r="D10" s="61">
        <v>282</v>
      </c>
      <c r="E10" s="61">
        <v>357</v>
      </c>
      <c r="F10" s="61">
        <v>583</v>
      </c>
      <c r="G10" s="25">
        <v>-54.26</v>
      </c>
      <c r="H10" s="25">
        <v>-38.770000000000003</v>
      </c>
      <c r="I10" s="25">
        <v>4.17</v>
      </c>
      <c r="J10" s="25">
        <v>11.54</v>
      </c>
      <c r="K10" s="25">
        <v>48.04</v>
      </c>
      <c r="L10" s="25">
        <v>29.96</v>
      </c>
      <c r="M10" s="25"/>
    </row>
    <row r="11" spans="1:13">
      <c r="A11" s="25">
        <v>4</v>
      </c>
      <c r="B11" s="25" t="s">
        <v>622</v>
      </c>
      <c r="C11" s="61">
        <v>47</v>
      </c>
      <c r="D11" s="61">
        <v>72</v>
      </c>
      <c r="E11" s="61">
        <v>346</v>
      </c>
      <c r="F11" s="61">
        <v>302</v>
      </c>
      <c r="G11" s="25">
        <v>-34.72</v>
      </c>
      <c r="H11" s="25">
        <v>14.57</v>
      </c>
      <c r="I11" s="25">
        <v>1.52</v>
      </c>
      <c r="J11" s="25">
        <v>11.19</v>
      </c>
      <c r="K11" s="25">
        <v>12.27</v>
      </c>
      <c r="L11" s="25">
        <v>15.52</v>
      </c>
      <c r="M11" s="25"/>
    </row>
    <row r="12" spans="1:13">
      <c r="A12" s="25">
        <v>5</v>
      </c>
      <c r="B12" s="25" t="s">
        <v>657</v>
      </c>
      <c r="C12" s="61">
        <v>62</v>
      </c>
      <c r="D12" s="61">
        <v>57</v>
      </c>
      <c r="E12" s="61">
        <v>267</v>
      </c>
      <c r="F12" s="61">
        <v>194</v>
      </c>
      <c r="G12" s="25">
        <v>8.77</v>
      </c>
      <c r="H12" s="25">
        <v>37.630000000000003</v>
      </c>
      <c r="I12" s="25">
        <v>2</v>
      </c>
      <c r="J12" s="25">
        <v>8.6300000000000008</v>
      </c>
      <c r="K12" s="25">
        <v>9.7100000000000009</v>
      </c>
      <c r="L12" s="25">
        <v>9.9700000000000006</v>
      </c>
      <c r="M12" s="25"/>
    </row>
    <row r="13" spans="1:13">
      <c r="A13" s="25">
        <v>6</v>
      </c>
      <c r="B13" s="25" t="s">
        <v>626</v>
      </c>
      <c r="C13" s="61">
        <v>44</v>
      </c>
      <c r="D13" s="61">
        <v>13</v>
      </c>
      <c r="E13" s="61">
        <v>225</v>
      </c>
      <c r="F13" s="61">
        <v>47</v>
      </c>
      <c r="G13" s="25">
        <v>238.46</v>
      </c>
      <c r="H13" s="25">
        <v>378.72</v>
      </c>
      <c r="I13" s="25">
        <v>1.42</v>
      </c>
      <c r="J13" s="25">
        <v>7.27</v>
      </c>
      <c r="K13" s="25">
        <v>2.21</v>
      </c>
      <c r="L13" s="25">
        <v>2.42</v>
      </c>
      <c r="M13" s="25"/>
    </row>
    <row r="14" spans="1:13">
      <c r="A14" s="25">
        <v>7</v>
      </c>
      <c r="B14" s="25" t="s">
        <v>651</v>
      </c>
      <c r="C14" s="61">
        <v>89</v>
      </c>
      <c r="D14" s="61">
        <v>52</v>
      </c>
      <c r="E14" s="61">
        <v>212</v>
      </c>
      <c r="F14" s="61">
        <v>169</v>
      </c>
      <c r="G14" s="25">
        <v>71.150000000000006</v>
      </c>
      <c r="H14" s="25">
        <v>25.44</v>
      </c>
      <c r="I14" s="25">
        <v>2.88</v>
      </c>
      <c r="J14" s="25">
        <v>6.85</v>
      </c>
      <c r="K14" s="25">
        <v>8.86</v>
      </c>
      <c r="L14" s="25">
        <v>8.68</v>
      </c>
      <c r="M14" s="25"/>
    </row>
    <row r="15" spans="1:13">
      <c r="A15" s="25">
        <v>8</v>
      </c>
      <c r="B15" s="25" t="s">
        <v>658</v>
      </c>
      <c r="C15" s="61">
        <v>25</v>
      </c>
      <c r="D15" s="61">
        <v>0</v>
      </c>
      <c r="E15" s="61">
        <v>148</v>
      </c>
      <c r="F15" s="61">
        <v>33</v>
      </c>
      <c r="G15" s="60">
        <v>0</v>
      </c>
      <c r="H15" s="60">
        <v>348.48</v>
      </c>
      <c r="I15" s="25">
        <v>0.81</v>
      </c>
      <c r="J15" s="25">
        <v>4.78</v>
      </c>
      <c r="K15" s="25">
        <v>0</v>
      </c>
      <c r="L15" s="25">
        <v>1.7</v>
      </c>
      <c r="M15" s="25"/>
    </row>
    <row r="16" spans="1:13">
      <c r="A16" s="25">
        <v>9</v>
      </c>
      <c r="B16" s="25" t="s">
        <v>625</v>
      </c>
      <c r="C16" s="61">
        <v>26</v>
      </c>
      <c r="D16" s="61">
        <v>6</v>
      </c>
      <c r="E16" s="61">
        <v>111</v>
      </c>
      <c r="F16" s="61">
        <v>52</v>
      </c>
      <c r="G16" s="25">
        <v>333.33</v>
      </c>
      <c r="H16" s="25">
        <v>113.46</v>
      </c>
      <c r="I16" s="25">
        <v>0.84</v>
      </c>
      <c r="J16" s="25">
        <v>3.59</v>
      </c>
      <c r="K16" s="25">
        <v>1.02</v>
      </c>
      <c r="L16" s="25">
        <v>2.67</v>
      </c>
      <c r="M16" s="25"/>
    </row>
    <row r="17" spans="1:13">
      <c r="A17" s="25">
        <v>10</v>
      </c>
      <c r="B17" s="25" t="s">
        <v>159</v>
      </c>
      <c r="C17" s="61">
        <v>10</v>
      </c>
      <c r="D17" s="61">
        <v>14</v>
      </c>
      <c r="E17" s="61">
        <v>101</v>
      </c>
      <c r="F17" s="61">
        <v>17</v>
      </c>
      <c r="G17" s="77">
        <v>-28.57</v>
      </c>
      <c r="H17" s="77">
        <v>494.12</v>
      </c>
      <c r="I17" s="25">
        <v>0.32</v>
      </c>
      <c r="J17" s="25">
        <v>3.27</v>
      </c>
      <c r="K17" s="25">
        <v>2.39</v>
      </c>
      <c r="L17" s="25">
        <v>0.87</v>
      </c>
      <c r="M17" s="25"/>
    </row>
    <row r="18" spans="1:13">
      <c r="A18" s="25">
        <v>11</v>
      </c>
      <c r="B18" s="25" t="s">
        <v>1069</v>
      </c>
      <c r="C18" s="61">
        <v>7</v>
      </c>
      <c r="D18" s="61">
        <v>0</v>
      </c>
      <c r="E18" s="61">
        <v>84</v>
      </c>
      <c r="F18" s="61">
        <v>0</v>
      </c>
      <c r="G18" s="60">
        <v>0</v>
      </c>
      <c r="H18" s="60">
        <v>0</v>
      </c>
      <c r="I18" s="25">
        <v>0.23</v>
      </c>
      <c r="J18" s="25">
        <v>2.72</v>
      </c>
      <c r="K18" s="25">
        <v>0</v>
      </c>
      <c r="L18" s="25">
        <v>0</v>
      </c>
      <c r="M18" s="25"/>
    </row>
    <row r="19" spans="1:13">
      <c r="A19" s="25">
        <v>12</v>
      </c>
      <c r="B19" s="25" t="s">
        <v>706</v>
      </c>
      <c r="C19" s="61">
        <v>9</v>
      </c>
      <c r="D19" s="61">
        <v>0</v>
      </c>
      <c r="E19" s="61">
        <v>74</v>
      </c>
      <c r="F19" s="61">
        <v>0</v>
      </c>
      <c r="G19" s="25">
        <v>0</v>
      </c>
      <c r="H19" s="25">
        <v>0</v>
      </c>
      <c r="I19" s="25">
        <v>0.28999999999999998</v>
      </c>
      <c r="J19" s="25">
        <v>2.39</v>
      </c>
      <c r="K19" s="25">
        <v>0</v>
      </c>
      <c r="L19" s="25">
        <v>0</v>
      </c>
      <c r="M19" s="25"/>
    </row>
    <row r="20" spans="1:13">
      <c r="A20" s="25">
        <v>13</v>
      </c>
      <c r="B20" s="25" t="s">
        <v>427</v>
      </c>
      <c r="C20" s="61">
        <v>14</v>
      </c>
      <c r="D20" s="61">
        <v>5</v>
      </c>
      <c r="E20" s="61">
        <v>57</v>
      </c>
      <c r="F20" s="61">
        <v>69</v>
      </c>
      <c r="G20" s="25">
        <v>180</v>
      </c>
      <c r="H20" s="25">
        <v>-17.39</v>
      </c>
      <c r="I20" s="25">
        <v>0.45</v>
      </c>
      <c r="J20" s="25">
        <v>1.84</v>
      </c>
      <c r="K20" s="25">
        <v>0.85</v>
      </c>
      <c r="L20" s="25">
        <v>3.55</v>
      </c>
      <c r="M20" s="25"/>
    </row>
    <row r="21" spans="1:13">
      <c r="A21" s="25">
        <v>14</v>
      </c>
      <c r="B21" s="25" t="s">
        <v>987</v>
      </c>
      <c r="C21" s="61">
        <v>10</v>
      </c>
      <c r="D21" s="61">
        <v>12</v>
      </c>
      <c r="E21" s="61">
        <v>52</v>
      </c>
      <c r="F21" s="61">
        <v>33</v>
      </c>
      <c r="G21" s="25">
        <v>-16.670000000000002</v>
      </c>
      <c r="H21" s="25">
        <v>57.58</v>
      </c>
      <c r="I21" s="25">
        <v>0.32</v>
      </c>
      <c r="J21" s="25">
        <v>1.68</v>
      </c>
      <c r="K21" s="25">
        <v>2.04</v>
      </c>
      <c r="L21" s="25">
        <v>1.7</v>
      </c>
      <c r="M21" s="25"/>
    </row>
    <row r="22" spans="1:13">
      <c r="A22" s="25">
        <v>15</v>
      </c>
      <c r="B22" s="25" t="s">
        <v>440</v>
      </c>
      <c r="C22" s="61">
        <v>20</v>
      </c>
      <c r="D22" s="61">
        <v>15</v>
      </c>
      <c r="E22" s="61">
        <v>43</v>
      </c>
      <c r="F22" s="61">
        <v>66</v>
      </c>
      <c r="G22" s="25">
        <v>33.33</v>
      </c>
      <c r="H22" s="25">
        <v>-34.85</v>
      </c>
      <c r="I22" s="25">
        <v>0.65</v>
      </c>
      <c r="J22" s="25">
        <v>1.39</v>
      </c>
      <c r="K22" s="25">
        <v>2.56</v>
      </c>
      <c r="L22" s="25">
        <v>3.39</v>
      </c>
      <c r="M22" s="25"/>
    </row>
    <row r="23" spans="1:13">
      <c r="A23" s="25">
        <v>16</v>
      </c>
      <c r="B23" s="25" t="s">
        <v>1044</v>
      </c>
      <c r="C23" s="61">
        <v>3</v>
      </c>
      <c r="D23" s="61">
        <v>0</v>
      </c>
      <c r="E23" s="61">
        <v>41</v>
      </c>
      <c r="F23" s="61">
        <v>0</v>
      </c>
      <c r="G23" s="25">
        <v>0</v>
      </c>
      <c r="H23" s="25">
        <v>0</v>
      </c>
      <c r="I23" s="25">
        <v>0.1</v>
      </c>
      <c r="J23" s="25">
        <v>1.33</v>
      </c>
      <c r="K23" s="25">
        <v>0</v>
      </c>
      <c r="L23" s="25">
        <v>0</v>
      </c>
      <c r="M23" s="25"/>
    </row>
    <row r="24" spans="1:13">
      <c r="A24" s="25">
        <v>17</v>
      </c>
      <c r="B24" s="25" t="s">
        <v>650</v>
      </c>
      <c r="C24" s="61">
        <v>8</v>
      </c>
      <c r="D24" s="61">
        <v>15</v>
      </c>
      <c r="E24" s="61">
        <v>25</v>
      </c>
      <c r="F24" s="61">
        <v>83</v>
      </c>
      <c r="G24" s="25">
        <v>-46.67</v>
      </c>
      <c r="H24" s="25">
        <v>-69.88</v>
      </c>
      <c r="I24" s="25">
        <v>0.26</v>
      </c>
      <c r="J24" s="25">
        <v>0.81</v>
      </c>
      <c r="K24" s="25">
        <v>2.56</v>
      </c>
      <c r="L24" s="25">
        <v>4.2699999999999996</v>
      </c>
      <c r="M24" s="25"/>
    </row>
    <row r="25" spans="1:13">
      <c r="A25" s="25">
        <v>18</v>
      </c>
      <c r="B25" s="25" t="s">
        <v>994</v>
      </c>
      <c r="C25" s="61">
        <v>6</v>
      </c>
      <c r="D25" s="61">
        <v>0</v>
      </c>
      <c r="E25" s="61">
        <v>22</v>
      </c>
      <c r="F25" s="61">
        <v>0</v>
      </c>
      <c r="G25" s="25">
        <v>0</v>
      </c>
      <c r="H25" s="25">
        <v>0</v>
      </c>
      <c r="I25" s="25">
        <v>0.19</v>
      </c>
      <c r="J25" s="25">
        <v>0.71</v>
      </c>
      <c r="K25" s="25">
        <v>0</v>
      </c>
      <c r="L25" s="25">
        <v>0</v>
      </c>
      <c r="M25" s="25"/>
    </row>
    <row r="26" spans="1:13">
      <c r="A26" s="25">
        <v>19</v>
      </c>
      <c r="B26" s="25" t="s">
        <v>1200</v>
      </c>
      <c r="C26" s="61">
        <v>5</v>
      </c>
      <c r="D26" s="61">
        <v>0</v>
      </c>
      <c r="E26" s="61">
        <v>8</v>
      </c>
      <c r="F26" s="61">
        <v>0</v>
      </c>
      <c r="G26" s="25">
        <v>0</v>
      </c>
      <c r="H26" s="25">
        <v>0</v>
      </c>
      <c r="I26" s="25">
        <v>0.16</v>
      </c>
      <c r="J26" s="25">
        <v>0.26</v>
      </c>
      <c r="K26" s="25">
        <v>0</v>
      </c>
      <c r="L26" s="25">
        <v>0</v>
      </c>
      <c r="M26" s="25"/>
    </row>
    <row r="27" spans="1:13">
      <c r="A27" s="25">
        <v>20</v>
      </c>
      <c r="B27" s="25" t="s">
        <v>628</v>
      </c>
      <c r="C27" s="61">
        <v>0</v>
      </c>
      <c r="D27" s="61">
        <v>0</v>
      </c>
      <c r="E27" s="61">
        <v>5</v>
      </c>
      <c r="F27" s="61">
        <v>9</v>
      </c>
      <c r="G27" s="25">
        <v>0</v>
      </c>
      <c r="H27" s="25">
        <v>-44.44</v>
      </c>
      <c r="I27" s="25">
        <v>0</v>
      </c>
      <c r="J27" s="25">
        <v>0.16</v>
      </c>
      <c r="K27" s="25">
        <v>0</v>
      </c>
      <c r="L27" s="25">
        <v>0.46</v>
      </c>
      <c r="M27" s="25"/>
    </row>
    <row r="28" spans="1:13">
      <c r="A28" s="145">
        <v>21</v>
      </c>
      <c r="B28" s="145" t="s">
        <v>1109</v>
      </c>
      <c r="C28" s="146">
        <v>0</v>
      </c>
      <c r="D28" s="146">
        <v>0</v>
      </c>
      <c r="E28" s="146">
        <v>3</v>
      </c>
      <c r="F28" s="146">
        <v>7</v>
      </c>
      <c r="G28" s="145">
        <v>0</v>
      </c>
      <c r="H28" s="145">
        <v>-57.14</v>
      </c>
      <c r="I28" s="145">
        <v>0</v>
      </c>
      <c r="J28" s="145">
        <v>0.1</v>
      </c>
      <c r="K28" s="145">
        <v>0</v>
      </c>
      <c r="L28" s="145">
        <v>0.36</v>
      </c>
      <c r="M28" s="25"/>
    </row>
    <row r="29" spans="1:13">
      <c r="A29" s="145">
        <v>22</v>
      </c>
      <c r="B29" s="145" t="s">
        <v>1143</v>
      </c>
      <c r="C29" s="146">
        <v>0</v>
      </c>
      <c r="D29" s="146">
        <v>0</v>
      </c>
      <c r="E29" s="146">
        <v>2</v>
      </c>
      <c r="F29" s="146">
        <v>0</v>
      </c>
      <c r="G29" s="145">
        <v>0</v>
      </c>
      <c r="H29" s="145">
        <v>0</v>
      </c>
      <c r="I29" s="145">
        <v>0</v>
      </c>
      <c r="J29" s="145">
        <v>0.06</v>
      </c>
      <c r="K29" s="145">
        <v>0</v>
      </c>
      <c r="L29" s="145">
        <v>0</v>
      </c>
      <c r="M29" s="25"/>
    </row>
    <row r="30" spans="1:13">
      <c r="A30" s="145">
        <v>23</v>
      </c>
      <c r="B30" s="145" t="s">
        <v>627</v>
      </c>
      <c r="C30" s="146">
        <v>0</v>
      </c>
      <c r="D30" s="146">
        <v>1</v>
      </c>
      <c r="E30" s="146">
        <v>1</v>
      </c>
      <c r="F30" s="146">
        <v>16</v>
      </c>
      <c r="G30" s="145">
        <v>-100</v>
      </c>
      <c r="H30" s="145">
        <v>-93.75</v>
      </c>
      <c r="I30" s="145">
        <v>0</v>
      </c>
      <c r="J30" s="145">
        <v>0.03</v>
      </c>
      <c r="K30" s="145">
        <v>0.17</v>
      </c>
      <c r="L30" s="145">
        <v>0.82</v>
      </c>
      <c r="M30" s="25"/>
    </row>
    <row r="31" spans="1:13">
      <c r="A31" s="145">
        <v>24</v>
      </c>
      <c r="B31" s="145" t="s">
        <v>237</v>
      </c>
      <c r="C31" s="146">
        <v>0</v>
      </c>
      <c r="D31" s="146">
        <v>5</v>
      </c>
      <c r="E31" s="146">
        <v>0</v>
      </c>
      <c r="F31" s="146">
        <v>59</v>
      </c>
      <c r="G31" s="145">
        <v>-100</v>
      </c>
      <c r="H31" s="145">
        <v>-100</v>
      </c>
      <c r="I31" s="145">
        <v>0</v>
      </c>
      <c r="J31" s="145">
        <v>0</v>
      </c>
      <c r="K31" s="145">
        <v>0.85</v>
      </c>
      <c r="L31" s="145">
        <v>3.03</v>
      </c>
      <c r="M31" s="25"/>
    </row>
    <row r="32" spans="1:13">
      <c r="A32" s="145">
        <v>25</v>
      </c>
      <c r="B32" s="145" t="s">
        <v>624</v>
      </c>
      <c r="C32" s="146">
        <v>0</v>
      </c>
      <c r="D32" s="146">
        <v>0</v>
      </c>
      <c r="E32" s="146">
        <v>0</v>
      </c>
      <c r="F32" s="146">
        <v>12</v>
      </c>
      <c r="G32" s="150">
        <v>0</v>
      </c>
      <c r="H32" s="150">
        <v>-100</v>
      </c>
      <c r="I32" s="145">
        <v>0</v>
      </c>
      <c r="J32" s="145">
        <v>0</v>
      </c>
      <c r="K32" s="145">
        <v>0</v>
      </c>
      <c r="L32" s="145">
        <v>0.62</v>
      </c>
      <c r="M32" s="25"/>
    </row>
    <row r="33" spans="1:13">
      <c r="A33" s="145">
        <v>26</v>
      </c>
      <c r="B33" s="145" t="s">
        <v>503</v>
      </c>
      <c r="C33" s="146">
        <v>0</v>
      </c>
      <c r="D33" s="146">
        <v>1</v>
      </c>
      <c r="E33" s="146">
        <v>0</v>
      </c>
      <c r="F33" s="146">
        <v>4</v>
      </c>
      <c r="G33" s="145">
        <v>-100</v>
      </c>
      <c r="H33" s="145">
        <v>-100</v>
      </c>
      <c r="I33" s="145">
        <v>0</v>
      </c>
      <c r="J33" s="145">
        <v>0</v>
      </c>
      <c r="K33" s="145">
        <v>0.17</v>
      </c>
      <c r="L33" s="145">
        <v>0.21</v>
      </c>
      <c r="M33" s="25"/>
    </row>
    <row r="34" spans="1:13">
      <c r="A34" s="145">
        <v>27</v>
      </c>
      <c r="B34" s="145" t="s">
        <v>1144</v>
      </c>
      <c r="C34" s="146">
        <v>0</v>
      </c>
      <c r="D34" s="146">
        <v>0</v>
      </c>
      <c r="E34" s="146">
        <v>0</v>
      </c>
      <c r="F34" s="146">
        <v>1</v>
      </c>
      <c r="G34" s="145">
        <v>0</v>
      </c>
      <c r="H34" s="145">
        <v>-100</v>
      </c>
      <c r="I34" s="145">
        <v>0</v>
      </c>
      <c r="J34" s="145">
        <v>0</v>
      </c>
      <c r="K34" s="145">
        <v>0</v>
      </c>
      <c r="L34" s="145">
        <v>0.05</v>
      </c>
    </row>
    <row r="35" spans="1:13">
      <c r="A35" s="145">
        <v>28</v>
      </c>
      <c r="B35" s="145" t="s">
        <v>439</v>
      </c>
      <c r="C35" s="146">
        <v>6</v>
      </c>
      <c r="D35" s="146">
        <v>8</v>
      </c>
      <c r="E35" s="146">
        <v>37</v>
      </c>
      <c r="F35" s="146">
        <v>39</v>
      </c>
      <c r="G35" s="145">
        <v>-25</v>
      </c>
      <c r="H35" s="145">
        <v>-5.13</v>
      </c>
      <c r="I35" s="145">
        <v>0.19</v>
      </c>
      <c r="J35" s="145">
        <v>1.2</v>
      </c>
      <c r="K35" s="145">
        <v>1.36</v>
      </c>
      <c r="L35" s="145">
        <v>2</v>
      </c>
    </row>
    <row r="36" spans="1:13">
      <c r="A36" s="145"/>
      <c r="B36" s="145" t="s">
        <v>457</v>
      </c>
      <c r="C36" s="146">
        <f>SUBTOTAL(109,Table_bdsql12_BDmodell_getAggModelsFuelTypeLB[antalPerioden])</f>
        <v>704</v>
      </c>
      <c r="D36" s="146">
        <f>SUBTOTAL(109,Table_bdsql12_BDmodell_getAggModelsFuelTypeLB[antalFGPeriod])</f>
        <v>587</v>
      </c>
      <c r="E36" s="146">
        <f>SUBTOTAL(109,Table_bdsql12_BDmodell_getAggModelsFuelTypeLB[antalÅret])</f>
        <v>3093</v>
      </c>
      <c r="F36" s="146">
        <f>SUBTOTAL(109,Table_bdsql12_BDmodell_getAggModelsFuelTypeLB[antalFGAr])</f>
        <v>1946</v>
      </c>
      <c r="G36"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19.931856899488924</v>
      </c>
      <c r="H36" s="150">
        <f>IF(Table_bdsql12_BDmodell_getAggModelsFuelTypeLB[[#Totals],[antalFGAr]] &gt; 0,(Table_bdsql12_BDmodell_getAggModelsFuelTypeLB[[#Totals],[antalÅret]] - Table_bdsql12_BDmodell_getAggModelsFuelTypeLB[[#Totals],[antalFGAr]]) / Table_bdsql12_BDmodell_getAggModelsFuelTypeLB[[#Totals],[antalFGAr]] * 100,0)</f>
        <v>58.941418293936273</v>
      </c>
      <c r="I36" s="149" t="str">
        <f>TEXT(100,"0,0")</f>
        <v>100,0</v>
      </c>
      <c r="J36" s="149" t="str">
        <f>TEXT(100,"0,0")</f>
        <v>100,0</v>
      </c>
      <c r="K36" s="149" t="str">
        <f>TEXT(100,"0,0")</f>
        <v>100,0</v>
      </c>
      <c r="L36" s="149" t="str">
        <f>TEXT(100,"0,0")</f>
        <v>100,0</v>
      </c>
    </row>
    <row r="38" spans="1:13">
      <c r="A38" s="25" t="s">
        <v>681</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Q21" sqref="Q21"/>
    </sheetView>
  </sheetViews>
  <sheetFormatPr baseColWidth="10" defaultColWidth="8.83203125" defaultRowHeight="15"/>
  <sheetData>
    <row r="3" spans="16:22" ht="19.25" customHeight="1" thickBot="1">
      <c r="P3" s="25"/>
      <c r="Q3" s="66" t="s">
        <v>1230</v>
      </c>
      <c r="R3" s="66"/>
      <c r="S3" s="66"/>
      <c r="T3" s="66"/>
      <c r="U3" s="66"/>
      <c r="V3" s="113"/>
    </row>
    <row r="4" spans="16:22">
      <c r="P4" s="25"/>
      <c r="Q4" s="25"/>
      <c r="R4" s="25"/>
      <c r="S4" s="25"/>
      <c r="T4" s="25"/>
      <c r="U4" s="25"/>
      <c r="V4" s="25"/>
    </row>
    <row r="5" spans="16:22" ht="16" thickBot="1">
      <c r="P5" s="25"/>
      <c r="Q5" s="19" t="s">
        <v>458</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c r="U12" s="25"/>
      <c r="V12" s="25"/>
    </row>
    <row r="13" spans="16:22">
      <c r="P13" s="25"/>
      <c r="Q13" s="16" t="s">
        <v>9</v>
      </c>
      <c r="R13" s="25">
        <v>370</v>
      </c>
      <c r="S13" s="25">
        <v>399</v>
      </c>
      <c r="T13" s="25"/>
      <c r="U13" s="25"/>
      <c r="V13" s="25"/>
    </row>
    <row r="14" spans="16:22">
      <c r="P14" s="25"/>
      <c r="Q14" s="16" t="s">
        <v>10</v>
      </c>
      <c r="R14" s="25">
        <v>408</v>
      </c>
      <c r="S14" s="25">
        <v>543</v>
      </c>
      <c r="T14" s="25"/>
      <c r="U14" s="25"/>
      <c r="V14" s="25"/>
    </row>
    <row r="15" spans="16:22">
      <c r="P15" s="25"/>
      <c r="Q15" s="16" t="s">
        <v>11</v>
      </c>
      <c r="R15" s="25">
        <v>409</v>
      </c>
      <c r="S15" s="25">
        <v>508</v>
      </c>
      <c r="T15" s="25"/>
      <c r="U15" s="25"/>
      <c r="V15" s="25"/>
    </row>
    <row r="16" spans="16:22">
      <c r="P16" s="25"/>
      <c r="Q16" s="16" t="s">
        <v>12</v>
      </c>
      <c r="R16" s="25">
        <v>390</v>
      </c>
      <c r="S16" s="25">
        <v>575</v>
      </c>
      <c r="T16" s="25"/>
      <c r="U16" s="25"/>
      <c r="V16" s="25"/>
    </row>
    <row r="17" spans="16:22">
      <c r="P17" s="25"/>
      <c r="Q17" s="26" t="s">
        <v>13</v>
      </c>
      <c r="R17" s="27">
        <v>541</v>
      </c>
      <c r="S17" s="27">
        <v>618</v>
      </c>
      <c r="T17" s="27"/>
      <c r="U17" s="25"/>
      <c r="V17" s="25"/>
    </row>
    <row r="18" spans="16:22">
      <c r="P18" s="25"/>
      <c r="Q18" s="20" t="s">
        <v>537</v>
      </c>
      <c r="R18" s="61">
        <f>SUMIF(T6:T17,"&gt;0",R6:R17)</f>
        <v>2893</v>
      </c>
      <c r="S18" s="61">
        <f>SUMIF(T6:T17,"&gt;0",S6:S17)</f>
        <v>2622</v>
      </c>
      <c r="T18" s="61">
        <f>SUM(T6:T17)</f>
        <v>3341</v>
      </c>
      <c r="U18" s="61"/>
      <c r="V18" s="25"/>
    </row>
    <row r="19" spans="16:22">
      <c r="P19" s="25"/>
      <c r="Q19" s="21" t="s">
        <v>536</v>
      </c>
      <c r="R19" s="61">
        <f>SUM(R6:R17)</f>
        <v>5303</v>
      </c>
      <c r="S19" s="61">
        <f>SUM(S6:S17)</f>
        <v>5492</v>
      </c>
      <c r="T19" s="61"/>
      <c r="U19" s="25"/>
      <c r="V19" s="25"/>
    </row>
    <row r="20" spans="16:22">
      <c r="P20" s="25"/>
      <c r="Q20" s="25"/>
      <c r="R20" s="25"/>
      <c r="S20" s="25"/>
      <c r="T20" s="25"/>
      <c r="U20" s="25"/>
      <c r="V20" s="25"/>
    </row>
    <row r="21" spans="16:22">
      <c r="P21" s="25"/>
      <c r="Q21" t="s">
        <v>1290</v>
      </c>
      <c r="R21" s="25"/>
      <c r="S21" s="25"/>
      <c r="T21" s="25"/>
      <c r="U21" s="25"/>
      <c r="V21" s="25"/>
    </row>
    <row r="22" spans="16:22">
      <c r="P22" s="25"/>
      <c r="Q22" s="25"/>
      <c r="R22" s="25"/>
      <c r="S22" s="25"/>
      <c r="T22" s="25"/>
      <c r="U22" s="25"/>
      <c r="V22" s="25"/>
    </row>
    <row r="23" spans="16:22">
      <c r="P23" s="25"/>
      <c r="Q23" s="63" t="s">
        <v>455</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1231</v>
      </c>
      <c r="R35" s="66"/>
      <c r="S35" s="66"/>
      <c r="T35" s="66"/>
      <c r="U35" s="66"/>
      <c r="V35" s="66"/>
      <c r="W35" s="66"/>
      <c r="X35" s="113"/>
    </row>
    <row r="36" spans="16:24">
      <c r="P36" s="25"/>
      <c r="Q36" s="25"/>
      <c r="R36" s="25"/>
      <c r="S36" s="25"/>
      <c r="T36" s="25"/>
      <c r="U36" s="25"/>
      <c r="V36" s="25"/>
      <c r="W36" s="25"/>
      <c r="X36" s="25"/>
    </row>
    <row r="37" spans="16:24">
      <c r="P37" s="25"/>
      <c r="Q37" s="90" t="s">
        <v>441</v>
      </c>
      <c r="R37" s="58">
        <v>-8.0952380952380949</v>
      </c>
      <c r="S37" s="25"/>
      <c r="T37" s="25"/>
      <c r="U37" s="25"/>
      <c r="V37" s="25"/>
      <c r="W37" s="25"/>
      <c r="X37" s="25"/>
    </row>
    <row r="38" spans="16:24">
      <c r="P38" s="25"/>
      <c r="Q38" s="88" t="s">
        <v>504</v>
      </c>
      <c r="R38" s="58">
        <v>10.189573459715639</v>
      </c>
      <c r="S38" s="25"/>
      <c r="T38" s="25"/>
      <c r="U38" s="25"/>
      <c r="V38" s="25"/>
      <c r="W38" s="25"/>
      <c r="X38" s="25"/>
    </row>
    <row r="39" spans="16:24">
      <c r="P39" s="25"/>
      <c r="Q39" s="88" t="s">
        <v>564</v>
      </c>
      <c r="R39" s="58">
        <v>3.373015873015873</v>
      </c>
      <c r="S39" s="25"/>
      <c r="T39" s="25"/>
      <c r="U39" s="25"/>
      <c r="V39" s="25"/>
      <c r="W39" s="25"/>
      <c r="X39" s="25"/>
    </row>
    <row r="40" spans="16:24">
      <c r="P40" s="25"/>
      <c r="Q40" s="88" t="s">
        <v>579</v>
      </c>
      <c r="R40" s="58">
        <v>16.62971175166297</v>
      </c>
      <c r="S40" s="25"/>
      <c r="T40" s="25"/>
      <c r="U40" s="25"/>
      <c r="V40" s="25"/>
      <c r="W40" s="25"/>
      <c r="X40" s="25"/>
    </row>
    <row r="41" spans="16:24">
      <c r="P41" s="25"/>
      <c r="Q41" s="88" t="s">
        <v>593</v>
      </c>
      <c r="R41" s="58">
        <v>29.210526315789476</v>
      </c>
      <c r="S41" s="25"/>
      <c r="T41" s="25"/>
      <c r="U41" s="25"/>
      <c r="V41" s="25"/>
      <c r="W41" s="25"/>
      <c r="X41" s="25"/>
    </row>
    <row r="42" spans="16:24">
      <c r="P42" s="25"/>
      <c r="Q42" s="88" t="s">
        <v>600</v>
      </c>
      <c r="R42" s="58">
        <v>36.95652173913043</v>
      </c>
      <c r="S42" s="25"/>
      <c r="T42" s="25"/>
      <c r="U42" s="25"/>
      <c r="V42" s="25"/>
      <c r="W42" s="25"/>
      <c r="X42" s="25"/>
    </row>
    <row r="43" spans="16:24">
      <c r="P43" s="25"/>
      <c r="Q43" s="88" t="s">
        <v>605</v>
      </c>
      <c r="R43" s="58">
        <v>18.699186991869919</v>
      </c>
      <c r="S43" s="25"/>
      <c r="T43" s="25"/>
      <c r="U43" s="25"/>
      <c r="V43" s="25"/>
      <c r="W43" s="25"/>
      <c r="X43" s="25"/>
    </row>
    <row r="44" spans="16:24">
      <c r="P44" s="25"/>
      <c r="Q44" s="88" t="s">
        <v>607</v>
      </c>
      <c r="R44" s="58">
        <v>13.846153846153847</v>
      </c>
      <c r="S44" s="25"/>
      <c r="T44" s="25"/>
      <c r="U44" s="25"/>
      <c r="V44" s="25"/>
      <c r="W44" s="25"/>
      <c r="X44" s="25"/>
    </row>
    <row r="45" spans="16:24">
      <c r="P45" s="25"/>
      <c r="Q45" s="88" t="s">
        <v>615</v>
      </c>
      <c r="R45" s="58">
        <v>-9.7345132743362832</v>
      </c>
      <c r="S45" s="25"/>
      <c r="T45" s="25"/>
      <c r="U45" s="25"/>
      <c r="V45" s="25"/>
      <c r="W45" s="25"/>
      <c r="X45" s="25"/>
    </row>
    <row r="46" spans="16:24">
      <c r="P46" s="25"/>
      <c r="Q46" s="88" t="s">
        <v>634</v>
      </c>
      <c r="R46" s="58">
        <v>-13.71308016877637</v>
      </c>
      <c r="S46" s="25"/>
      <c r="T46" s="25"/>
      <c r="U46" s="25"/>
      <c r="V46" s="25"/>
      <c r="W46" s="25"/>
      <c r="X46" s="25"/>
    </row>
    <row r="47" spans="16:24">
      <c r="P47" s="25"/>
      <c r="Q47" s="88" t="s">
        <v>643</v>
      </c>
      <c r="R47" s="58">
        <v>-19.753086419753085</v>
      </c>
      <c r="S47" s="25"/>
      <c r="T47" s="25"/>
      <c r="U47" s="25"/>
      <c r="V47" s="25"/>
      <c r="W47" s="25"/>
      <c r="X47" s="25"/>
    </row>
    <row r="48" spans="16:24">
      <c r="P48" s="25"/>
      <c r="Q48" s="88" t="s">
        <v>652</v>
      </c>
      <c r="R48" s="58">
        <v>25.231481481481481</v>
      </c>
      <c r="S48" s="25"/>
      <c r="T48" s="25"/>
      <c r="U48" s="25"/>
      <c r="V48" s="25"/>
      <c r="W48" s="25"/>
      <c r="X48" s="25"/>
    </row>
    <row r="49" spans="16:24">
      <c r="P49" s="25"/>
      <c r="Q49" s="88" t="s">
        <v>661</v>
      </c>
      <c r="R49" s="58">
        <f t="shared" ref="R49:R60" si="0">((S6-R6)/R6)*100</f>
        <v>-25.129533678756477</v>
      </c>
      <c r="S49" s="25"/>
      <c r="T49" s="25"/>
      <c r="U49" s="25"/>
      <c r="V49" s="25"/>
      <c r="W49" s="25"/>
      <c r="X49" s="25"/>
    </row>
    <row r="50" spans="16:24">
      <c r="P50" s="25"/>
      <c r="Q50" s="88" t="s">
        <v>676</v>
      </c>
      <c r="R50" s="58">
        <f t="shared" si="0"/>
        <v>-23.440860215053764</v>
      </c>
      <c r="S50" s="25"/>
      <c r="T50" s="25"/>
      <c r="U50" s="25"/>
      <c r="V50" s="25"/>
      <c r="W50" s="25"/>
      <c r="X50" s="25"/>
    </row>
    <row r="51" spans="16:24">
      <c r="P51" s="25"/>
      <c r="Q51" s="88" t="s">
        <v>694</v>
      </c>
      <c r="R51" s="58">
        <f t="shared" si="0"/>
        <v>-5.7581573896353166</v>
      </c>
      <c r="S51" s="25"/>
      <c r="T51" s="25"/>
      <c r="U51" s="25"/>
      <c r="V51" s="25"/>
      <c r="W51" s="25"/>
      <c r="X51" s="25"/>
    </row>
    <row r="52" spans="16:24">
      <c r="P52" s="25"/>
      <c r="Q52" s="88" t="s">
        <v>703</v>
      </c>
      <c r="R52" s="58">
        <f t="shared" si="0"/>
        <v>-9.1254752851711025</v>
      </c>
      <c r="S52" s="25"/>
      <c r="T52" s="25"/>
      <c r="U52" s="25"/>
      <c r="V52" s="25"/>
      <c r="W52" s="25"/>
      <c r="X52" s="25"/>
    </row>
    <row r="53" spans="16:24">
      <c r="P53" s="25"/>
      <c r="Q53" s="88" t="s">
        <v>709</v>
      </c>
      <c r="R53" s="58">
        <f t="shared" si="0"/>
        <v>3.8696537678207736</v>
      </c>
      <c r="S53" s="25"/>
      <c r="T53" s="25"/>
      <c r="U53" s="25"/>
      <c r="V53" s="25"/>
      <c r="W53" s="25"/>
      <c r="X53" s="25"/>
    </row>
    <row r="54" spans="16:24">
      <c r="P54" s="25"/>
      <c r="Q54" s="88" t="s">
        <v>712</v>
      </c>
      <c r="R54" s="58">
        <f t="shared" si="0"/>
        <v>-1.1904761904761905</v>
      </c>
      <c r="S54" s="25"/>
      <c r="T54" s="25"/>
      <c r="U54" s="25"/>
      <c r="V54" s="25"/>
      <c r="W54" s="25"/>
      <c r="X54" s="25"/>
    </row>
    <row r="55" spans="16:24">
      <c r="P55" s="25"/>
      <c r="Q55" s="88" t="s">
        <v>988</v>
      </c>
      <c r="R55" s="58">
        <f t="shared" si="0"/>
        <v>-22.260273972602739</v>
      </c>
      <c r="S55" s="25"/>
      <c r="T55" s="25"/>
      <c r="U55" s="25"/>
      <c r="V55" s="25"/>
      <c r="W55" s="25"/>
      <c r="X55" s="25"/>
    </row>
    <row r="56" spans="16:24">
      <c r="P56" s="25"/>
      <c r="Q56" s="88" t="s">
        <v>995</v>
      </c>
      <c r="R56" s="58">
        <f t="shared" si="0"/>
        <v>7.8378378378378386</v>
      </c>
      <c r="S56" s="25"/>
      <c r="T56" s="25"/>
      <c r="U56" s="25"/>
      <c r="V56" s="25"/>
      <c r="W56" s="25"/>
      <c r="X56" s="25"/>
    </row>
    <row r="57" spans="16:24">
      <c r="P57" s="25"/>
      <c r="Q57" s="88" t="s">
        <v>1009</v>
      </c>
      <c r="R57" s="58">
        <f t="shared" si="0"/>
        <v>33.088235294117645</v>
      </c>
      <c r="S57" s="25"/>
      <c r="T57" s="25"/>
      <c r="U57" s="25"/>
      <c r="V57" s="25"/>
      <c r="W57" s="25"/>
      <c r="X57" s="25"/>
    </row>
    <row r="58" spans="16:24">
      <c r="P58" s="25"/>
      <c r="Q58" s="88" t="s">
        <v>1019</v>
      </c>
      <c r="R58" s="58">
        <f t="shared" si="0"/>
        <v>24.205378973105134</v>
      </c>
      <c r="S58" s="25"/>
      <c r="T58" s="25"/>
      <c r="U58" s="25"/>
      <c r="V58" s="25"/>
      <c r="W58" s="25"/>
      <c r="X58" s="25"/>
    </row>
    <row r="59" spans="16:24">
      <c r="P59" s="25"/>
      <c r="Q59" s="88" t="s">
        <v>1031</v>
      </c>
      <c r="R59" s="58">
        <f t="shared" si="0"/>
        <v>47.435897435897431</v>
      </c>
      <c r="S59" s="25"/>
      <c r="T59" s="25"/>
      <c r="U59" s="25"/>
      <c r="V59" s="25"/>
      <c r="W59" s="25"/>
      <c r="X59" s="25"/>
    </row>
    <row r="60" spans="16:24">
      <c r="P60" s="25"/>
      <c r="Q60" s="88" t="s">
        <v>1046</v>
      </c>
      <c r="R60" s="58">
        <f t="shared" si="0"/>
        <v>14.232902033271719</v>
      </c>
      <c r="S60" s="25"/>
      <c r="T60" s="25"/>
      <c r="U60" s="25"/>
      <c r="V60" s="25"/>
      <c r="W60" s="25"/>
      <c r="X60" s="25"/>
    </row>
    <row r="61" spans="16:24">
      <c r="P61" s="25"/>
      <c r="Q61" s="88" t="s">
        <v>1074</v>
      </c>
      <c r="R61" s="58">
        <f>((T6-S6)/S6)*100</f>
        <v>57.439446366782008</v>
      </c>
      <c r="S61" s="25"/>
      <c r="T61" s="25"/>
      <c r="U61" s="25"/>
      <c r="V61" s="25"/>
      <c r="W61" s="25"/>
      <c r="X61" s="25"/>
    </row>
    <row r="62" spans="16:24">
      <c r="P62" s="25"/>
      <c r="Q62" s="88" t="s">
        <v>1111</v>
      </c>
      <c r="R62" s="58">
        <f t="shared" ref="R62:R66" si="1">((T7-S7)/S7)*100</f>
        <v>43.539325842696627</v>
      </c>
      <c r="S62" s="25"/>
      <c r="T62" s="25"/>
      <c r="U62" s="25"/>
      <c r="V62" s="25"/>
      <c r="W62" s="25"/>
      <c r="X62" s="25"/>
    </row>
    <row r="63" spans="16:24">
      <c r="P63" s="25"/>
      <c r="Q63" s="88" t="s">
        <v>1145</v>
      </c>
      <c r="R63" s="58">
        <f t="shared" si="1"/>
        <v>29.531568228105908</v>
      </c>
      <c r="S63" s="25"/>
      <c r="T63" s="25"/>
      <c r="U63" s="25"/>
      <c r="V63" s="25"/>
      <c r="W63" s="25"/>
      <c r="X63" s="25"/>
    </row>
    <row r="64" spans="16:24">
      <c r="P64" s="25"/>
      <c r="Q64" s="88" t="s">
        <v>1171</v>
      </c>
      <c r="R64" s="58">
        <f t="shared" si="1"/>
        <v>7.5313807531380759</v>
      </c>
      <c r="S64" s="25"/>
      <c r="T64" s="25"/>
      <c r="U64" s="25"/>
      <c r="V64" s="25"/>
      <c r="W64" s="25"/>
      <c r="X64" s="25"/>
    </row>
    <row r="65" spans="1:24">
      <c r="P65" s="25"/>
      <c r="Q65" s="88" t="s">
        <v>1201</v>
      </c>
      <c r="R65" s="58">
        <f t="shared" si="1"/>
        <v>25.098039215686274</v>
      </c>
      <c r="S65" s="25"/>
      <c r="T65" s="25"/>
      <c r="U65" s="25"/>
      <c r="V65" s="25"/>
      <c r="W65" s="25"/>
      <c r="X65" s="25"/>
    </row>
    <row r="66" spans="1:24">
      <c r="P66" s="25"/>
      <c r="Q66" s="88" t="s">
        <v>1248</v>
      </c>
      <c r="R66" s="58">
        <f t="shared" si="1"/>
        <v>17.871485943775099</v>
      </c>
      <c r="S66" s="25"/>
      <c r="T66" s="25"/>
      <c r="U66" s="25"/>
      <c r="V66" s="25"/>
      <c r="W66" s="25"/>
      <c r="X66" s="25"/>
    </row>
    <row r="67" spans="1:24">
      <c r="P67" s="25"/>
      <c r="Q67" s="88"/>
      <c r="R67" s="58"/>
      <c r="S67" s="25"/>
      <c r="T67" s="25"/>
      <c r="U67" s="25"/>
      <c r="V67" s="25"/>
      <c r="W67" s="25"/>
      <c r="X67" s="25"/>
    </row>
    <row r="68" spans="1:24">
      <c r="A68" s="25" t="s">
        <v>681</v>
      </c>
      <c r="P68" s="25"/>
      <c r="Q68" s="88"/>
      <c r="R68" s="58"/>
      <c r="S68" s="25"/>
      <c r="T68" s="25"/>
      <c r="U68" s="25"/>
      <c r="V68" s="25"/>
      <c r="W68" s="25"/>
      <c r="X68" s="25"/>
    </row>
    <row r="69" spans="1:24">
      <c r="P69" s="25"/>
      <c r="Q69" s="88"/>
      <c r="R69" s="58"/>
      <c r="S69" s="25"/>
      <c r="T69" s="25"/>
      <c r="U69" s="25"/>
      <c r="V69" s="25"/>
      <c r="W69" s="25"/>
      <c r="X69" s="25"/>
    </row>
    <row r="70" spans="1:24">
      <c r="P70" s="25"/>
      <c r="R70" s="58"/>
      <c r="S70" s="25"/>
      <c r="T70" s="25"/>
      <c r="U70" s="25"/>
      <c r="V70" s="25"/>
      <c r="W70" s="25"/>
      <c r="X70" s="25"/>
    </row>
    <row r="71" spans="1:24">
      <c r="P71" s="25"/>
      <c r="R71" s="58"/>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A18" sqref="A18"/>
    </sheetView>
  </sheetViews>
  <sheetFormatPr baseColWidth="10" defaultColWidth="8.83203125" defaultRowHeight="15"/>
  <cols>
    <col min="1" max="1" width="21.33203125" customWidth="1"/>
    <col min="2" max="9" width="10.33203125" customWidth="1"/>
  </cols>
  <sheetData>
    <row r="2" spans="1:10" ht="19.25" customHeight="1" thickBot="1">
      <c r="B2" s="56" t="s">
        <v>1232</v>
      </c>
      <c r="C2" s="56"/>
      <c r="D2" s="56"/>
      <c r="E2" s="56"/>
      <c r="F2" s="56"/>
      <c r="G2" s="56"/>
    </row>
    <row r="4" spans="1:10">
      <c r="A4" s="7" t="s">
        <v>566</v>
      </c>
      <c r="B4" s="25"/>
      <c r="C4" s="25"/>
      <c r="D4" s="25"/>
      <c r="E4" s="258" t="s">
        <v>455</v>
      </c>
      <c r="F4" s="258"/>
      <c r="G4" s="258"/>
      <c r="H4" s="258"/>
      <c r="I4" s="258"/>
      <c r="J4" s="25"/>
    </row>
    <row r="5" spans="1:10">
      <c r="A5" s="103"/>
      <c r="B5" s="103" t="s">
        <v>538</v>
      </c>
      <c r="C5" s="103"/>
      <c r="D5" s="103" t="s">
        <v>538</v>
      </c>
      <c r="E5" s="103"/>
      <c r="F5" s="103" t="s">
        <v>539</v>
      </c>
      <c r="G5" s="103"/>
      <c r="H5" s="103" t="s">
        <v>540</v>
      </c>
      <c r="I5" s="103"/>
      <c r="J5" s="25"/>
    </row>
    <row r="6" spans="1:10">
      <c r="A6" s="103" t="s">
        <v>466</v>
      </c>
      <c r="B6" s="103" t="str">
        <f>Innehåll!D79</f>
        <v xml:space="preserve"> 2023-06</v>
      </c>
      <c r="C6" s="103" t="str">
        <f>Innehåll!D80</f>
        <v xml:space="preserve"> 2022-06</v>
      </c>
      <c r="D6" s="103" t="str">
        <f>Innehåll!D81</f>
        <v>YTD  2023</v>
      </c>
      <c r="E6" s="103" t="str">
        <f>Innehåll!D82</f>
        <v>YTD  2022</v>
      </c>
      <c r="F6" s="103" t="str">
        <f>B6</f>
        <v xml:space="preserve"> 2023-06</v>
      </c>
      <c r="G6" s="103" t="str">
        <f>D6</f>
        <v>YTD  2023</v>
      </c>
      <c r="H6" s="103" t="str">
        <f>D6</f>
        <v>YTD  2023</v>
      </c>
      <c r="I6" s="103"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305</v>
      </c>
      <c r="B8" s="61">
        <v>7</v>
      </c>
      <c r="C8" s="61">
        <v>9</v>
      </c>
      <c r="D8" s="61">
        <v>53</v>
      </c>
      <c r="E8" s="61">
        <v>35</v>
      </c>
      <c r="F8" s="25">
        <v>-22.2</v>
      </c>
      <c r="G8" s="25">
        <v>51.4</v>
      </c>
      <c r="H8" s="25">
        <v>1.6</v>
      </c>
      <c r="I8" s="25">
        <v>1.3</v>
      </c>
      <c r="J8" s="25"/>
    </row>
    <row r="9" spans="1:10">
      <c r="A9" s="25" t="s">
        <v>270</v>
      </c>
      <c r="B9" s="61">
        <v>0</v>
      </c>
      <c r="C9" s="61">
        <v>0</v>
      </c>
      <c r="D9" s="61">
        <v>2</v>
      </c>
      <c r="E9" s="61">
        <v>0</v>
      </c>
      <c r="F9" s="25">
        <v>0</v>
      </c>
      <c r="G9" s="25">
        <v>0</v>
      </c>
      <c r="H9" s="25">
        <v>0.1</v>
      </c>
      <c r="I9" s="25">
        <v>0</v>
      </c>
      <c r="J9" s="25"/>
    </row>
    <row r="10" spans="1:10">
      <c r="A10" s="25" t="s">
        <v>277</v>
      </c>
      <c r="B10" s="61">
        <v>9</v>
      </c>
      <c r="C10" s="61">
        <v>5</v>
      </c>
      <c r="D10" s="61">
        <v>74</v>
      </c>
      <c r="E10" s="61">
        <v>65</v>
      </c>
      <c r="F10" s="25">
        <v>80</v>
      </c>
      <c r="G10" s="25">
        <v>13.8</v>
      </c>
      <c r="H10" s="25">
        <v>2.2000000000000002</v>
      </c>
      <c r="I10" s="25">
        <v>2.5</v>
      </c>
      <c r="J10" s="25"/>
    </row>
    <row r="11" spans="1:10">
      <c r="A11" s="25" t="s">
        <v>470</v>
      </c>
      <c r="B11" s="61">
        <v>45</v>
      </c>
      <c r="C11" s="61">
        <v>64</v>
      </c>
      <c r="D11" s="61">
        <v>252</v>
      </c>
      <c r="E11" s="61">
        <v>202</v>
      </c>
      <c r="F11" s="25">
        <v>-29.7</v>
      </c>
      <c r="G11" s="25">
        <v>24.8</v>
      </c>
      <c r="H11" s="25">
        <v>7.5</v>
      </c>
      <c r="I11" s="25">
        <v>7.7</v>
      </c>
      <c r="J11" s="25"/>
    </row>
    <row r="12" spans="1:10">
      <c r="A12" s="25" t="s">
        <v>287</v>
      </c>
      <c r="B12" s="61">
        <v>0</v>
      </c>
      <c r="C12" s="61">
        <v>1</v>
      </c>
      <c r="D12" s="61">
        <v>0</v>
      </c>
      <c r="E12" s="61">
        <v>2</v>
      </c>
      <c r="F12" s="25">
        <v>-100</v>
      </c>
      <c r="G12" s="25">
        <v>-100</v>
      </c>
      <c r="H12" s="25">
        <v>0</v>
      </c>
      <c r="I12" s="25">
        <v>0.1</v>
      </c>
      <c r="J12" s="25"/>
    </row>
    <row r="13" spans="1:10">
      <c r="A13" s="25" t="s">
        <v>471</v>
      </c>
      <c r="B13" s="61">
        <v>267</v>
      </c>
      <c r="C13" s="61">
        <v>169</v>
      </c>
      <c r="D13" s="61">
        <v>1459</v>
      </c>
      <c r="E13" s="61">
        <v>1032</v>
      </c>
      <c r="F13" s="25">
        <v>58</v>
      </c>
      <c r="G13" s="25">
        <v>41.4</v>
      </c>
      <c r="H13" s="25">
        <v>43.7</v>
      </c>
      <c r="I13" s="25">
        <v>39.4</v>
      </c>
      <c r="J13" s="25"/>
    </row>
    <row r="14" spans="1:10">
      <c r="A14" s="145" t="s">
        <v>295</v>
      </c>
      <c r="B14" s="146">
        <v>258</v>
      </c>
      <c r="C14" s="146">
        <v>242</v>
      </c>
      <c r="D14" s="146">
        <v>1489</v>
      </c>
      <c r="E14" s="146">
        <v>1261</v>
      </c>
      <c r="F14" s="147">
        <v>6.6</v>
      </c>
      <c r="G14" s="147">
        <v>18.100000000000001</v>
      </c>
      <c r="H14" s="145">
        <v>44.6</v>
      </c>
      <c r="I14" s="145">
        <v>48.1</v>
      </c>
      <c r="J14" s="25"/>
    </row>
    <row r="15" spans="1:10" s="5" customFormat="1">
      <c r="A15" s="145" t="s">
        <v>296</v>
      </c>
      <c r="B15" s="146">
        <v>1</v>
      </c>
      <c r="C15" s="146">
        <v>8</v>
      </c>
      <c r="D15" s="146">
        <v>12</v>
      </c>
      <c r="E15" s="146">
        <v>25</v>
      </c>
      <c r="F15" s="147">
        <v>-87.5</v>
      </c>
      <c r="G15" s="147">
        <v>-52</v>
      </c>
      <c r="H15" s="145">
        <v>0.4</v>
      </c>
      <c r="I15" s="145">
        <v>1</v>
      </c>
      <c r="J15" s="38"/>
    </row>
    <row r="16" spans="1:10">
      <c r="A16" s="145" t="s">
        <v>457</v>
      </c>
      <c r="B16" s="146">
        <f>SUBTOTAL(109,Table_ExternalData_1[antalPerioden])</f>
        <v>587</v>
      </c>
      <c r="C16" s="146">
        <f>SUBTOTAL(109,Table_ExternalData_1[antalPeriodenFG])</f>
        <v>498</v>
      </c>
      <c r="D16" s="146">
        <f>SUBTOTAL(109,Table_ExternalData_1[antalAret])</f>
        <v>3341</v>
      </c>
      <c r="E16" s="146">
        <f>SUBTOTAL(109,Table_ExternalData_1[antalAretFG])</f>
        <v>2622</v>
      </c>
      <c r="F16" s="147">
        <f>IF(Table_ExternalData_1[[#Totals],[antalPeriodenFG]] &gt; 0,( Table_ExternalData_1[[#Totals],[antalPerioden]] - Table_ExternalData_1[[#Totals],[antalPeriodenFG]] ) / Table_ExternalData_1[[#Totals],[antalPeriodenFG]] * 100,0)</f>
        <v>17.871485943775099</v>
      </c>
      <c r="G16" s="147">
        <f>IF(Table_ExternalData_1[[#Totals],[antalAretFG]] &gt; 0,( Table_ExternalData_1[[#Totals],[antalAret]] - Table_ExternalData_1[[#Totals],[antalAretFG]] ) / Table_ExternalData_1[[#Totals],[antalAretFG]] * 100,0)</f>
        <v>27.421815408085433</v>
      </c>
      <c r="H16" s="149" t="str">
        <f>TEXT(100,"0,0")</f>
        <v>100,0</v>
      </c>
      <c r="I16" s="149" t="str">
        <f>TEXT(100,"0,0")</f>
        <v>100,0</v>
      </c>
      <c r="J16" s="25"/>
    </row>
    <row r="17" spans="1:10">
      <c r="A17" s="25"/>
      <c r="B17" s="25"/>
      <c r="C17" s="25"/>
      <c r="D17" s="25"/>
      <c r="E17" s="25"/>
      <c r="F17" s="25"/>
      <c r="G17" s="25"/>
      <c r="H17" s="25"/>
      <c r="I17" s="25"/>
      <c r="J17" s="25"/>
    </row>
    <row r="18" spans="1:10">
      <c r="A18" t="s">
        <v>1290</v>
      </c>
      <c r="B18" s="25"/>
      <c r="C18" s="25"/>
      <c r="D18" s="25"/>
      <c r="E18" s="25"/>
      <c r="F18" s="25"/>
      <c r="G18" s="25"/>
      <c r="H18" s="25"/>
      <c r="I18" s="25"/>
      <c r="J18" s="25"/>
    </row>
    <row r="19" spans="1:10">
      <c r="A19" s="25"/>
      <c r="B19" s="25"/>
      <c r="C19" s="25"/>
      <c r="D19" s="25"/>
      <c r="E19" s="25"/>
      <c r="F19" s="25"/>
      <c r="G19" s="25"/>
      <c r="H19" s="25"/>
      <c r="I19" s="25"/>
      <c r="J19" s="25"/>
    </row>
    <row r="20" spans="1:10">
      <c r="A20" s="25" t="s">
        <v>681</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567</v>
      </c>
      <c r="D2" s="56"/>
      <c r="E2" s="56"/>
      <c r="F2" s="56"/>
    </row>
    <row r="4" spans="1:9">
      <c r="A4" s="7" t="s">
        <v>454</v>
      </c>
      <c r="B4" s="25"/>
      <c r="C4" s="25"/>
      <c r="D4" s="25"/>
      <c r="E4" s="258" t="s">
        <v>455</v>
      </c>
      <c r="F4" s="258"/>
      <c r="G4" s="258"/>
      <c r="H4" s="258"/>
      <c r="I4" s="258"/>
    </row>
    <row r="5" spans="1:9">
      <c r="A5" s="103"/>
      <c r="B5" s="261" t="s">
        <v>538</v>
      </c>
      <c r="C5" s="262"/>
      <c r="D5" s="261" t="s">
        <v>538</v>
      </c>
      <c r="E5" s="262"/>
      <c r="F5" s="272" t="s">
        <v>539</v>
      </c>
      <c r="G5" s="273"/>
      <c r="H5" s="259" t="s">
        <v>540</v>
      </c>
      <c r="I5" s="260"/>
    </row>
    <row r="6" spans="1:9">
      <c r="A6" s="103" t="s">
        <v>466</v>
      </c>
      <c r="B6" s="117" t="str">
        <f>Innehåll!D79</f>
        <v xml:space="preserve"> 2023-06</v>
      </c>
      <c r="C6" s="117" t="str">
        <f>Innehåll!D80</f>
        <v xml:space="preserve"> 2022-06</v>
      </c>
      <c r="D6" s="117" t="str">
        <f>Innehåll!D81</f>
        <v>YTD  2023</v>
      </c>
      <c r="E6" s="117" t="str">
        <f>Innehåll!D82</f>
        <v>YTD  2022</v>
      </c>
      <c r="F6" s="131" t="str">
        <f>B6</f>
        <v xml:space="preserve"> 2023-06</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242</v>
      </c>
      <c r="B8" s="25" t="s">
        <v>26</v>
      </c>
      <c r="C8" s="25" t="s">
        <v>299</v>
      </c>
      <c r="D8" s="25" t="s">
        <v>300</v>
      </c>
      <c r="E8" s="25" t="s">
        <v>301</v>
      </c>
      <c r="F8" s="25" t="s">
        <v>302</v>
      </c>
      <c r="G8" s="25" t="s">
        <v>31</v>
      </c>
      <c r="H8" s="25" t="s">
        <v>303</v>
      </c>
      <c r="I8" s="25" t="s">
        <v>304</v>
      </c>
    </row>
    <row r="9" spans="1:9">
      <c r="A9" s="25" t="s">
        <v>470</v>
      </c>
      <c r="B9" s="61">
        <v>28</v>
      </c>
      <c r="C9" s="61">
        <v>5</v>
      </c>
      <c r="D9" s="61">
        <v>108</v>
      </c>
      <c r="E9" s="61">
        <v>35</v>
      </c>
      <c r="F9" s="58">
        <v>460</v>
      </c>
      <c r="G9" s="58">
        <v>208.6</v>
      </c>
      <c r="H9" s="58">
        <v>26.7</v>
      </c>
      <c r="I9" s="58">
        <v>6.3</v>
      </c>
    </row>
    <row r="10" spans="1:9">
      <c r="A10" s="25" t="s">
        <v>277</v>
      </c>
      <c r="B10" s="61">
        <v>46</v>
      </c>
      <c r="C10" s="61">
        <v>40</v>
      </c>
      <c r="D10" s="61">
        <v>91</v>
      </c>
      <c r="E10" s="61">
        <v>101</v>
      </c>
      <c r="F10" s="58">
        <v>15</v>
      </c>
      <c r="G10" s="58">
        <v>-9.9</v>
      </c>
      <c r="H10" s="58">
        <v>22.5</v>
      </c>
      <c r="I10" s="58">
        <v>18</v>
      </c>
    </row>
    <row r="11" spans="1:9">
      <c r="A11" s="25" t="s">
        <v>295</v>
      </c>
      <c r="B11" s="61">
        <v>8</v>
      </c>
      <c r="C11" s="61">
        <v>44</v>
      </c>
      <c r="D11" s="61">
        <v>76</v>
      </c>
      <c r="E11" s="61">
        <v>168</v>
      </c>
      <c r="F11" s="58">
        <v>-81.8</v>
      </c>
      <c r="G11" s="58">
        <v>-54.8</v>
      </c>
      <c r="H11" s="58">
        <v>18.8</v>
      </c>
      <c r="I11" s="58">
        <v>30</v>
      </c>
    </row>
    <row r="12" spans="1:9">
      <c r="A12" s="25" t="s">
        <v>1110</v>
      </c>
      <c r="B12" s="61">
        <v>4</v>
      </c>
      <c r="C12" s="61">
        <v>0</v>
      </c>
      <c r="D12" s="61">
        <v>42</v>
      </c>
      <c r="E12" s="61">
        <v>0</v>
      </c>
      <c r="F12" s="58">
        <v>0</v>
      </c>
      <c r="G12" s="58">
        <v>0</v>
      </c>
      <c r="H12" s="58">
        <v>10.4</v>
      </c>
      <c r="I12" s="58">
        <v>0</v>
      </c>
    </row>
    <row r="13" spans="1:9">
      <c r="A13" s="25" t="s">
        <v>270</v>
      </c>
      <c r="B13" s="61">
        <v>20</v>
      </c>
      <c r="C13" s="61">
        <v>1</v>
      </c>
      <c r="D13" s="61">
        <v>28</v>
      </c>
      <c r="E13" s="61">
        <v>8</v>
      </c>
      <c r="F13" s="58">
        <v>1900</v>
      </c>
      <c r="G13" s="58">
        <v>250</v>
      </c>
      <c r="H13" s="58">
        <v>6.9</v>
      </c>
      <c r="I13" s="58">
        <v>1.4</v>
      </c>
    </row>
    <row r="14" spans="1:9">
      <c r="A14" s="25" t="s">
        <v>474</v>
      </c>
      <c r="B14" s="61">
        <v>1</v>
      </c>
      <c r="C14" s="61">
        <v>0</v>
      </c>
      <c r="D14" s="61">
        <v>23</v>
      </c>
      <c r="E14" s="61">
        <v>0</v>
      </c>
      <c r="F14" s="58">
        <v>0</v>
      </c>
      <c r="G14" s="58">
        <v>0</v>
      </c>
      <c r="H14" s="58">
        <v>5.7</v>
      </c>
      <c r="I14" s="58">
        <v>0</v>
      </c>
    </row>
    <row r="15" spans="1:9">
      <c r="A15" s="25" t="s">
        <v>267</v>
      </c>
      <c r="B15" s="61">
        <v>0</v>
      </c>
      <c r="C15" s="61">
        <v>0</v>
      </c>
      <c r="D15" s="61">
        <v>14</v>
      </c>
      <c r="E15" s="61">
        <v>0</v>
      </c>
      <c r="F15" s="58">
        <v>0</v>
      </c>
      <c r="G15" s="58">
        <v>0</v>
      </c>
      <c r="H15" s="58">
        <v>3.5</v>
      </c>
      <c r="I15" s="58">
        <v>0</v>
      </c>
    </row>
    <row r="16" spans="1:9">
      <c r="A16" s="25" t="s">
        <v>471</v>
      </c>
      <c r="B16" s="61">
        <v>5</v>
      </c>
      <c r="C16" s="61">
        <v>13</v>
      </c>
      <c r="D16" s="61">
        <v>11</v>
      </c>
      <c r="E16" s="61">
        <v>202</v>
      </c>
      <c r="F16" s="58">
        <v>-61.5</v>
      </c>
      <c r="G16" s="58">
        <v>-94.6</v>
      </c>
      <c r="H16" s="58">
        <v>2.7</v>
      </c>
      <c r="I16" s="58">
        <v>36.1</v>
      </c>
    </row>
    <row r="17" spans="1:9">
      <c r="A17" s="25" t="s">
        <v>711</v>
      </c>
      <c r="B17" s="61">
        <v>0</v>
      </c>
      <c r="C17" s="61">
        <v>0</v>
      </c>
      <c r="D17" s="61">
        <v>5</v>
      </c>
      <c r="E17" s="61">
        <v>0</v>
      </c>
      <c r="F17" s="58">
        <v>0</v>
      </c>
      <c r="G17" s="58">
        <v>0</v>
      </c>
      <c r="H17" s="58">
        <v>1.2</v>
      </c>
      <c r="I17" s="58">
        <v>0</v>
      </c>
    </row>
    <row r="18" spans="1:9">
      <c r="A18" s="145" t="s">
        <v>362</v>
      </c>
      <c r="B18" s="146">
        <v>0</v>
      </c>
      <c r="C18" s="146">
        <v>0</v>
      </c>
      <c r="D18" s="146">
        <v>0</v>
      </c>
      <c r="E18" s="146">
        <v>1</v>
      </c>
      <c r="F18" s="147">
        <v>0</v>
      </c>
      <c r="G18" s="147">
        <v>-100</v>
      </c>
      <c r="H18" s="147">
        <v>0</v>
      </c>
      <c r="I18" s="147">
        <v>0.2</v>
      </c>
    </row>
    <row r="19" spans="1:9">
      <c r="A19" s="145" t="s">
        <v>677</v>
      </c>
      <c r="B19" s="146">
        <v>0</v>
      </c>
      <c r="C19" s="146">
        <v>0</v>
      </c>
      <c r="D19" s="146">
        <v>0</v>
      </c>
      <c r="E19" s="146">
        <v>18</v>
      </c>
      <c r="F19" s="147">
        <v>0</v>
      </c>
      <c r="G19" s="147">
        <v>-100</v>
      </c>
      <c r="H19" s="147">
        <v>0</v>
      </c>
      <c r="I19" s="147">
        <v>3.2</v>
      </c>
    </row>
    <row r="20" spans="1:9">
      <c r="A20" s="145" t="s">
        <v>296</v>
      </c>
      <c r="B20" s="146">
        <v>1</v>
      </c>
      <c r="C20" s="146">
        <v>16</v>
      </c>
      <c r="D20" s="146">
        <v>6</v>
      </c>
      <c r="E20" s="146">
        <v>27</v>
      </c>
      <c r="F20" s="147">
        <v>-93.8</v>
      </c>
      <c r="G20" s="147">
        <v>-77.8</v>
      </c>
      <c r="H20" s="147">
        <v>1.5</v>
      </c>
      <c r="I20" s="147">
        <v>4.8</v>
      </c>
    </row>
    <row r="21" spans="1:9">
      <c r="A21" s="145" t="s">
        <v>356</v>
      </c>
      <c r="B21" s="146">
        <f>SUBTOTAL(109,getAggBussAll[antalPerioden])</f>
        <v>113</v>
      </c>
      <c r="C21" s="146">
        <f>SUBTOTAL(109,getAggBussAll[antalPeriodenFG])</f>
        <v>119</v>
      </c>
      <c r="D21" s="146">
        <f>SUBTOTAL(109,getAggBussAll[antalAret])</f>
        <v>404</v>
      </c>
      <c r="E21" s="146">
        <f>SUBTOTAL(109,getAggBussAll[antalAretFG])</f>
        <v>560</v>
      </c>
      <c r="F21" s="147">
        <f>IF(getAggBussAll[[#Totals],[antalPeriodenFG]] &gt; 0,( getAggBussAll[[#Totals],[antalPerioden]] - getAggBussAll[[#Totals],[antalPeriodenFG]] ) / getAggBussAll[[#Totals],[antalPeriodenFG]] * 100,0)</f>
        <v>-5.0420168067226889</v>
      </c>
      <c r="G21" s="147">
        <f>IF(getAggBussAll[[#Totals],[antalAretFG]] &gt; 0,( getAggBussAll[[#Totals],[antalAret]] - getAggBussAll[[#Totals],[antalAretFG]] ) / getAggBussAll[[#Totals],[antalAretFG]] * 100,0)</f>
        <v>-27.857142857142858</v>
      </c>
      <c r="H21" s="151" t="str">
        <f>TEXT(100,"0,0")</f>
        <v>100,0</v>
      </c>
      <c r="I21" s="151" t="str">
        <f>TEXT(100,"0,0")</f>
        <v>100,0</v>
      </c>
    </row>
    <row r="22" spans="1:9">
      <c r="A22" s="145"/>
      <c r="B22" s="146"/>
      <c r="C22" s="146"/>
      <c r="D22" s="146"/>
      <c r="E22" s="146"/>
      <c r="F22" s="147"/>
      <c r="G22" s="147"/>
      <c r="H22" s="147"/>
      <c r="I22" s="147"/>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568</v>
      </c>
      <c r="D26" s="56"/>
      <c r="E26" s="56"/>
      <c r="F26" s="56"/>
      <c r="G26" s="25"/>
      <c r="H26" s="25"/>
      <c r="I26" s="25"/>
    </row>
    <row r="27" spans="1:9">
      <c r="A27" s="25"/>
      <c r="B27" s="25"/>
      <c r="C27" s="25"/>
      <c r="D27" s="25"/>
      <c r="E27" s="25"/>
      <c r="F27" s="25"/>
      <c r="G27" s="25"/>
      <c r="H27" s="25"/>
      <c r="I27" s="25"/>
    </row>
    <row r="28" spans="1:9" s="5" customFormat="1">
      <c r="A28" s="7" t="s">
        <v>454</v>
      </c>
      <c r="B28" s="25"/>
      <c r="C28" s="25"/>
      <c r="D28" s="25"/>
      <c r="E28" s="258" t="s">
        <v>455</v>
      </c>
      <c r="F28" s="258"/>
      <c r="G28" s="258"/>
      <c r="H28" s="258"/>
      <c r="I28" s="258"/>
    </row>
    <row r="29" spans="1:9">
      <c r="A29" s="103"/>
      <c r="B29" s="103" t="s">
        <v>538</v>
      </c>
      <c r="C29" s="103"/>
      <c r="D29" s="103" t="s">
        <v>538</v>
      </c>
      <c r="E29" s="103"/>
      <c r="F29" s="103" t="s">
        <v>539</v>
      </c>
      <c r="G29" s="103"/>
      <c r="H29" s="103" t="s">
        <v>540</v>
      </c>
      <c r="I29" s="103"/>
    </row>
    <row r="30" spans="1:9">
      <c r="A30" s="103" t="s">
        <v>466</v>
      </c>
      <c r="B30" s="103" t="str">
        <f>Innehåll!D79</f>
        <v xml:space="preserve"> 2023-06</v>
      </c>
      <c r="C30" s="103" t="str">
        <f>Innehåll!D80</f>
        <v xml:space="preserve"> 2022-06</v>
      </c>
      <c r="D30" s="103" t="str">
        <f>Innehåll!D81</f>
        <v>YTD  2023</v>
      </c>
      <c r="E30" s="103" t="str">
        <f>Innehåll!D82</f>
        <v>YTD  2022</v>
      </c>
      <c r="F30" s="103" t="str">
        <f>B30</f>
        <v xml:space="preserve"> 2023-06</v>
      </c>
      <c r="G30" s="103" t="str">
        <f>D30</f>
        <v>YTD  2023</v>
      </c>
      <c r="H30" s="103" t="str">
        <f>D30</f>
        <v>YTD  2023</v>
      </c>
      <c r="I30" s="103" t="str">
        <f>E30</f>
        <v>YTD  2022</v>
      </c>
    </row>
    <row r="31" spans="1:9" ht="15" hidden="1" customHeight="1">
      <c r="A31" s="25" t="s">
        <v>242</v>
      </c>
      <c r="B31" s="25" t="s">
        <v>26</v>
      </c>
      <c r="C31" s="25" t="s">
        <v>299</v>
      </c>
      <c r="D31" s="25" t="s">
        <v>300</v>
      </c>
      <c r="E31" s="25" t="s">
        <v>301</v>
      </c>
      <c r="F31" s="25" t="s">
        <v>302</v>
      </c>
      <c r="G31" s="25" t="s">
        <v>31</v>
      </c>
      <c r="H31" s="25" t="s">
        <v>303</v>
      </c>
      <c r="I31" s="25" t="s">
        <v>304</v>
      </c>
    </row>
    <row r="32" spans="1:9">
      <c r="A32" s="25" t="s">
        <v>277</v>
      </c>
      <c r="B32" s="61">
        <v>46</v>
      </c>
      <c r="C32" s="61">
        <v>40</v>
      </c>
      <c r="D32" s="61">
        <v>91</v>
      </c>
      <c r="E32" s="61">
        <v>97</v>
      </c>
      <c r="F32" s="58">
        <v>15</v>
      </c>
      <c r="G32" s="58">
        <v>-6.2</v>
      </c>
      <c r="H32" s="58">
        <v>32</v>
      </c>
      <c r="I32" s="58">
        <v>18.5</v>
      </c>
    </row>
    <row r="33" spans="1:9">
      <c r="A33" s="25" t="s">
        <v>295</v>
      </c>
      <c r="B33" s="61">
        <v>8</v>
      </c>
      <c r="C33" s="61">
        <v>44</v>
      </c>
      <c r="D33" s="61">
        <v>76</v>
      </c>
      <c r="E33" s="61">
        <v>168</v>
      </c>
      <c r="F33" s="58">
        <v>-81.8</v>
      </c>
      <c r="G33" s="58">
        <v>-54.8</v>
      </c>
      <c r="H33" s="58">
        <v>26.8</v>
      </c>
      <c r="I33" s="58">
        <v>32.1</v>
      </c>
    </row>
    <row r="34" spans="1:9">
      <c r="A34" s="25" t="s">
        <v>470</v>
      </c>
      <c r="B34" s="61">
        <v>20</v>
      </c>
      <c r="C34" s="61">
        <v>2</v>
      </c>
      <c r="D34" s="61">
        <v>53</v>
      </c>
      <c r="E34" s="61">
        <v>9</v>
      </c>
      <c r="F34" s="58">
        <v>900</v>
      </c>
      <c r="G34" s="58">
        <v>488.9</v>
      </c>
      <c r="H34" s="58">
        <v>18.7</v>
      </c>
      <c r="I34" s="58">
        <v>1.7</v>
      </c>
    </row>
    <row r="35" spans="1:9">
      <c r="A35" s="25" t="s">
        <v>474</v>
      </c>
      <c r="B35" s="61">
        <v>1</v>
      </c>
      <c r="C35" s="61">
        <v>0</v>
      </c>
      <c r="D35" s="61">
        <v>23</v>
      </c>
      <c r="E35" s="61">
        <v>0</v>
      </c>
      <c r="F35" s="58">
        <v>0</v>
      </c>
      <c r="G35" s="58">
        <v>0</v>
      </c>
      <c r="H35" s="58">
        <v>8.1</v>
      </c>
      <c r="I35" s="58">
        <v>0</v>
      </c>
    </row>
    <row r="36" spans="1:9" ht="15" customHeight="1">
      <c r="A36" s="25" t="s">
        <v>270</v>
      </c>
      <c r="B36" s="61">
        <v>18</v>
      </c>
      <c r="C36" s="61">
        <v>0</v>
      </c>
      <c r="D36" s="61">
        <v>19</v>
      </c>
      <c r="E36" s="61">
        <v>2</v>
      </c>
      <c r="F36" s="58">
        <v>0</v>
      </c>
      <c r="G36" s="58">
        <v>850</v>
      </c>
      <c r="H36" s="58">
        <v>6.7</v>
      </c>
      <c r="I36" s="58">
        <v>0.4</v>
      </c>
    </row>
    <row r="37" spans="1:9">
      <c r="A37" s="25" t="s">
        <v>471</v>
      </c>
      <c r="B37" s="61">
        <v>5</v>
      </c>
      <c r="C37" s="61">
        <v>13</v>
      </c>
      <c r="D37" s="61">
        <v>11</v>
      </c>
      <c r="E37" s="61">
        <v>202</v>
      </c>
      <c r="F37" s="58">
        <v>-61.5</v>
      </c>
      <c r="G37" s="58">
        <v>-94.6</v>
      </c>
      <c r="H37" s="58">
        <v>3.9</v>
      </c>
      <c r="I37" s="58">
        <v>38.5</v>
      </c>
    </row>
    <row r="38" spans="1:9">
      <c r="A38" s="25" t="s">
        <v>711</v>
      </c>
      <c r="B38" s="61">
        <v>0</v>
      </c>
      <c r="C38" s="61">
        <v>0</v>
      </c>
      <c r="D38" s="61">
        <v>5</v>
      </c>
      <c r="E38" s="61">
        <v>0</v>
      </c>
      <c r="F38" s="58">
        <v>0</v>
      </c>
      <c r="G38" s="58">
        <v>0</v>
      </c>
      <c r="H38" s="58">
        <v>1.8</v>
      </c>
      <c r="I38" s="58">
        <v>0</v>
      </c>
    </row>
    <row r="39" spans="1:9">
      <c r="A39" s="145" t="s">
        <v>677</v>
      </c>
      <c r="B39" s="146">
        <v>0</v>
      </c>
      <c r="C39" s="146">
        <v>0</v>
      </c>
      <c r="D39" s="146">
        <v>0</v>
      </c>
      <c r="E39" s="146">
        <v>18</v>
      </c>
      <c r="F39" s="147">
        <v>0</v>
      </c>
      <c r="G39" s="147">
        <v>-100</v>
      </c>
      <c r="H39" s="147">
        <v>0</v>
      </c>
      <c r="I39" s="147">
        <v>3.4</v>
      </c>
    </row>
    <row r="40" spans="1:9">
      <c r="A40" s="145" t="s">
        <v>362</v>
      </c>
      <c r="B40" s="146">
        <v>0</v>
      </c>
      <c r="C40" s="146">
        <v>0</v>
      </c>
      <c r="D40" s="146">
        <v>0</v>
      </c>
      <c r="E40" s="146">
        <v>1</v>
      </c>
      <c r="F40" s="147">
        <v>0</v>
      </c>
      <c r="G40" s="147">
        <v>-100</v>
      </c>
      <c r="H40" s="147">
        <v>0</v>
      </c>
      <c r="I40" s="147">
        <v>0.2</v>
      </c>
    </row>
    <row r="41" spans="1:9">
      <c r="A41" s="145" t="s">
        <v>296</v>
      </c>
      <c r="B41" s="146">
        <v>1</v>
      </c>
      <c r="C41" s="146">
        <v>16</v>
      </c>
      <c r="D41" s="146">
        <v>6</v>
      </c>
      <c r="E41" s="146">
        <v>27</v>
      </c>
      <c r="F41" s="147">
        <v>-93.8</v>
      </c>
      <c r="G41" s="147">
        <v>-77.8</v>
      </c>
      <c r="H41" s="147">
        <v>2.1</v>
      </c>
      <c r="I41" s="147">
        <v>5.2</v>
      </c>
    </row>
    <row r="42" spans="1:9">
      <c r="A42" s="145" t="s">
        <v>356</v>
      </c>
      <c r="B42" s="146">
        <f>SUBTOTAL(109,getAggBuss[antalPerioden])</f>
        <v>99</v>
      </c>
      <c r="C42" s="146">
        <f>SUBTOTAL(109,getAggBuss[antalPeriodenFG])</f>
        <v>115</v>
      </c>
      <c r="D42" s="146">
        <f>SUBTOTAL(109,getAggBuss[antalAret])</f>
        <v>284</v>
      </c>
      <c r="E42" s="146">
        <f>SUBTOTAL(109,getAggBuss[antalAretFG])</f>
        <v>524</v>
      </c>
      <c r="F42" s="147">
        <f>IF(getAggBuss[[#Totals],[antalPeriodenFG]] &gt; 0,( getAggBuss[[#Totals],[antalPerioden]] - getAggBuss[[#Totals],[antalPeriodenFG]] ) / getAggBuss[[#Totals],[antalPeriodenFG]] * 100,0)</f>
        <v>-13.913043478260869</v>
      </c>
      <c r="G42" s="147">
        <f>IF(getAggBuss[[#Totals],[antalAretFG]] &gt; 0,( getAggBuss[[#Totals],[antalAret]] - getAggBuss[[#Totals],[antalAretFG]] ) / getAggBuss[[#Totals],[antalAretFG]] * 100,0)</f>
        <v>-45.801526717557252</v>
      </c>
      <c r="H42" s="151" t="str">
        <f>TEXT(100,"0,0")</f>
        <v>100,0</v>
      </c>
      <c r="I42" s="151" t="str">
        <f>TEXT(100,"0,0")</f>
        <v>100,0</v>
      </c>
    </row>
    <row r="43" spans="1:9">
      <c r="A43" s="25"/>
      <c r="B43" s="25"/>
      <c r="C43" s="25"/>
      <c r="D43" s="25"/>
      <c r="E43" s="25"/>
      <c r="F43" s="25"/>
      <c r="G43" s="25"/>
      <c r="H43" s="25"/>
      <c r="I43" s="25"/>
    </row>
    <row r="44" spans="1:9">
      <c r="A44" s="25" t="s">
        <v>681</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569</v>
      </c>
      <c r="D2" s="56"/>
      <c r="E2" s="56"/>
      <c r="F2" s="56"/>
      <c r="G2" s="56"/>
      <c r="H2" s="25"/>
      <c r="I2" s="25"/>
      <c r="J2" s="25"/>
    </row>
    <row r="3" spans="1:10">
      <c r="A3" s="25"/>
      <c r="B3" s="25"/>
      <c r="C3" s="25"/>
      <c r="D3" s="25"/>
      <c r="E3" s="25"/>
      <c r="F3" s="25"/>
      <c r="G3" s="25"/>
      <c r="H3" s="25"/>
      <c r="I3" s="25"/>
      <c r="J3" s="25"/>
    </row>
    <row r="4" spans="1:10">
      <c r="A4" s="7" t="s">
        <v>454</v>
      </c>
      <c r="B4" s="25"/>
      <c r="C4" s="25"/>
      <c r="D4" s="25"/>
      <c r="E4" s="258" t="s">
        <v>455</v>
      </c>
      <c r="F4" s="258"/>
      <c r="G4" s="258"/>
      <c r="H4" s="258"/>
      <c r="I4" s="258"/>
      <c r="J4" s="25"/>
    </row>
    <row r="5" spans="1:10">
      <c r="A5" s="103"/>
      <c r="B5" s="261" t="s">
        <v>538</v>
      </c>
      <c r="C5" s="262"/>
      <c r="D5" s="261" t="s">
        <v>538</v>
      </c>
      <c r="E5" s="262"/>
      <c r="F5" s="272" t="s">
        <v>539</v>
      </c>
      <c r="G5" s="273"/>
      <c r="H5" s="259" t="s">
        <v>540</v>
      </c>
      <c r="I5" s="260"/>
      <c r="J5" s="25"/>
    </row>
    <row r="6" spans="1:10">
      <c r="A6" s="103" t="s">
        <v>466</v>
      </c>
      <c r="B6" s="117" t="str">
        <f>Innehåll!D79</f>
        <v xml:space="preserve"> 2023-06</v>
      </c>
      <c r="C6" s="117" t="str">
        <f>Innehåll!D80</f>
        <v xml:space="preserve"> 2022-06</v>
      </c>
      <c r="D6" s="117" t="str">
        <f>Innehåll!D81</f>
        <v>YTD  2023</v>
      </c>
      <c r="E6" s="117" t="str">
        <f>Innehåll!D82</f>
        <v>YTD  2022</v>
      </c>
      <c r="F6" s="131" t="str">
        <f>B6</f>
        <v xml:space="preserve"> 2023-06</v>
      </c>
      <c r="G6" s="118" t="str">
        <f>D6</f>
        <v>YTD  2023</v>
      </c>
      <c r="H6" s="117" t="str">
        <f>D6</f>
        <v>YTD  2023</v>
      </c>
      <c r="I6" s="132"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277</v>
      </c>
      <c r="B8" s="25">
        <v>42</v>
      </c>
      <c r="C8" s="25">
        <v>18</v>
      </c>
      <c r="D8" s="25">
        <v>75</v>
      </c>
      <c r="E8" s="25">
        <v>64</v>
      </c>
      <c r="F8" s="25">
        <v>133.30000000000001</v>
      </c>
      <c r="G8" s="25">
        <v>17.2</v>
      </c>
      <c r="H8" s="25">
        <v>45.5</v>
      </c>
      <c r="I8" s="25">
        <v>48.1</v>
      </c>
      <c r="J8" s="25"/>
    </row>
    <row r="9" spans="1:10">
      <c r="A9" s="25" t="s">
        <v>295</v>
      </c>
      <c r="B9" s="25">
        <v>0</v>
      </c>
      <c r="C9" s="25">
        <v>15</v>
      </c>
      <c r="D9" s="25">
        <v>43</v>
      </c>
      <c r="E9" s="25">
        <v>20</v>
      </c>
      <c r="F9" s="58">
        <v>-100</v>
      </c>
      <c r="G9" s="58">
        <v>115</v>
      </c>
      <c r="H9" s="25">
        <v>26.1</v>
      </c>
      <c r="I9" s="25">
        <v>15</v>
      </c>
      <c r="J9" s="25"/>
    </row>
    <row r="10" spans="1:10">
      <c r="A10" s="145" t="s">
        <v>1110</v>
      </c>
      <c r="B10" s="145">
        <v>4</v>
      </c>
      <c r="C10" s="145">
        <v>0</v>
      </c>
      <c r="D10" s="145">
        <v>42</v>
      </c>
      <c r="E10" s="145">
        <v>0</v>
      </c>
      <c r="F10" s="147">
        <v>0</v>
      </c>
      <c r="G10" s="147">
        <v>0</v>
      </c>
      <c r="H10" s="145">
        <v>25.5</v>
      </c>
      <c r="I10" s="145">
        <v>0</v>
      </c>
      <c r="J10" s="25"/>
    </row>
    <row r="11" spans="1:10">
      <c r="A11" s="145" t="s">
        <v>470</v>
      </c>
      <c r="B11" s="145">
        <v>0</v>
      </c>
      <c r="C11" s="145">
        <v>2</v>
      </c>
      <c r="D11" s="145">
        <v>4</v>
      </c>
      <c r="E11" s="145">
        <v>3</v>
      </c>
      <c r="F11" s="147">
        <v>-100</v>
      </c>
      <c r="G11" s="147">
        <v>33.299999999999997</v>
      </c>
      <c r="H11" s="145">
        <v>2.4</v>
      </c>
      <c r="I11" s="145">
        <v>2.2999999999999998</v>
      </c>
      <c r="J11" s="25"/>
    </row>
    <row r="12" spans="1:10">
      <c r="A12" s="145" t="s">
        <v>471</v>
      </c>
      <c r="B12" s="146">
        <v>0</v>
      </c>
      <c r="C12" s="145">
        <v>3</v>
      </c>
      <c r="D12" s="146">
        <v>0</v>
      </c>
      <c r="E12" s="145">
        <v>4</v>
      </c>
      <c r="F12" s="145">
        <v>-100</v>
      </c>
      <c r="G12" s="145">
        <v>-100</v>
      </c>
      <c r="H12" s="145">
        <v>0</v>
      </c>
      <c r="I12" s="145">
        <v>3</v>
      </c>
      <c r="J12" s="25"/>
    </row>
    <row r="13" spans="1:10">
      <c r="A13" s="145" t="s">
        <v>677</v>
      </c>
      <c r="B13" s="145">
        <v>0</v>
      </c>
      <c r="C13" s="145">
        <v>0</v>
      </c>
      <c r="D13" s="145">
        <v>0</v>
      </c>
      <c r="E13" s="145">
        <v>18</v>
      </c>
      <c r="F13" s="145">
        <v>0</v>
      </c>
      <c r="G13" s="145">
        <v>-100</v>
      </c>
      <c r="H13" s="145">
        <v>0</v>
      </c>
      <c r="I13" s="145">
        <v>13.5</v>
      </c>
      <c r="J13" s="25"/>
    </row>
    <row r="14" spans="1:10" s="5" customFormat="1">
      <c r="A14" s="145" t="s">
        <v>296</v>
      </c>
      <c r="B14" s="145">
        <v>0</v>
      </c>
      <c r="C14" s="145">
        <v>15</v>
      </c>
      <c r="D14" s="145">
        <v>1</v>
      </c>
      <c r="E14" s="145">
        <v>24</v>
      </c>
      <c r="F14" s="145">
        <v>-100</v>
      </c>
      <c r="G14" s="145">
        <v>-95.8</v>
      </c>
      <c r="H14" s="145">
        <v>0.6</v>
      </c>
      <c r="I14" s="145">
        <v>18</v>
      </c>
      <c r="J14" s="38"/>
    </row>
    <row r="15" spans="1:10">
      <c r="A15" s="145" t="s">
        <v>457</v>
      </c>
      <c r="B15" s="145">
        <f>SUBTOTAL(109,Table_bdsql12_BDnewRegistrations_getAggBussEL[antalPerioden])</f>
        <v>46</v>
      </c>
      <c r="C15" s="145">
        <f>SUBTOTAL(109,Table_bdsql12_BDnewRegistrations_getAggBussEL[antalPeriodenFG])</f>
        <v>53</v>
      </c>
      <c r="D15" s="145">
        <f>SUBTOTAL(109,Table_bdsql12_BDnewRegistrations_getAggBussEL[antalAret])</f>
        <v>165</v>
      </c>
      <c r="E15" s="145">
        <f>SUBTOTAL(109,Table_bdsql12_BDnewRegistrations_getAggBussEL[antalAretFG])</f>
        <v>133</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-13.20754716981132</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24.060150375939848</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681</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477</v>
      </c>
      <c r="R3" s="66"/>
      <c r="S3" s="66"/>
      <c r="T3" s="66"/>
      <c r="U3" s="92"/>
    </row>
    <row r="4" spans="17:21">
      <c r="Q4" s="25"/>
      <c r="R4" s="25"/>
      <c r="S4" s="25"/>
      <c r="T4" s="25"/>
      <c r="U4" s="25"/>
    </row>
    <row r="5" spans="17:21" ht="16" thickBot="1">
      <c r="Q5" s="19" t="s">
        <v>458</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c r="U12" s="25"/>
    </row>
    <row r="13" spans="17:21">
      <c r="Q13" s="30" t="s">
        <v>9</v>
      </c>
      <c r="R13" s="30">
        <v>19808</v>
      </c>
      <c r="S13" s="30">
        <v>20576</v>
      </c>
      <c r="T13" s="30"/>
      <c r="U13" s="25"/>
    </row>
    <row r="14" spans="17:21">
      <c r="Q14" s="30" t="s">
        <v>10</v>
      </c>
      <c r="R14" s="30">
        <v>22634</v>
      </c>
      <c r="S14" s="30">
        <v>22048</v>
      </c>
      <c r="T14" s="30"/>
      <c r="U14" s="25"/>
    </row>
    <row r="15" spans="17:21">
      <c r="Q15" s="30" t="s">
        <v>11</v>
      </c>
      <c r="R15" s="30">
        <v>19962</v>
      </c>
      <c r="S15" s="30">
        <v>22383</v>
      </c>
      <c r="T15" s="30"/>
      <c r="U15" s="25"/>
    </row>
    <row r="16" spans="17:21">
      <c r="Q16" s="30" t="s">
        <v>12</v>
      </c>
      <c r="R16" s="30">
        <v>21056</v>
      </c>
      <c r="S16" s="30">
        <v>25588</v>
      </c>
      <c r="T16" s="30"/>
      <c r="U16" s="25"/>
    </row>
    <row r="17" spans="17:21">
      <c r="Q17" s="30" t="s">
        <v>13</v>
      </c>
      <c r="R17" s="30">
        <v>27582</v>
      </c>
      <c r="S17" s="30">
        <v>35476</v>
      </c>
      <c r="T17" s="30"/>
      <c r="U17" s="25"/>
    </row>
    <row r="18" spans="17:21">
      <c r="Q18" s="28" t="s">
        <v>537</v>
      </c>
      <c r="R18" s="28">
        <f>SUMIF(T6:T17,"&gt;0",R6:R17)</f>
        <v>173163</v>
      </c>
      <c r="S18" s="28">
        <f>SUMIF(T6:T17,"&gt;0",S6:S17)</f>
        <v>144182</v>
      </c>
      <c r="T18" s="28">
        <f>SUM(T6:T17)</f>
        <v>140663</v>
      </c>
      <c r="U18" s="25"/>
    </row>
    <row r="19" spans="17:21">
      <c r="Q19" s="32" t="s">
        <v>536</v>
      </c>
      <c r="R19" s="32">
        <f>SUM(R6:R17)</f>
        <v>300983</v>
      </c>
      <c r="S19" s="32">
        <f>SUM(S6:S17)</f>
        <v>288087</v>
      </c>
      <c r="T19" s="32"/>
      <c r="U19" s="25"/>
    </row>
    <row r="20" spans="17:21">
      <c r="Q20" s="25"/>
      <c r="R20" s="25"/>
      <c r="S20" s="25"/>
      <c r="T20" s="25"/>
      <c r="U20" s="25"/>
    </row>
    <row r="21" spans="17:21">
      <c r="Q21" s="30" t="s">
        <v>455</v>
      </c>
      <c r="R21" s="25"/>
      <c r="S21" s="25"/>
      <c r="T21" s="25"/>
      <c r="U21" s="25"/>
    </row>
    <row r="22" spans="17:21">
      <c r="Q22" s="25"/>
      <c r="R22" s="25"/>
      <c r="S22" s="25"/>
      <c r="T22" s="25"/>
      <c r="U22" s="25"/>
    </row>
    <row r="23" spans="17:21" ht="17" thickBot="1">
      <c r="Q23" s="66" t="s">
        <v>549</v>
      </c>
      <c r="R23" s="66"/>
      <c r="S23" s="66"/>
      <c r="T23" s="66"/>
      <c r="U23" s="66"/>
    </row>
    <row r="24" spans="17:21">
      <c r="Q24" s="25"/>
      <c r="R24" s="25"/>
      <c r="S24" s="25"/>
      <c r="T24" s="25"/>
      <c r="U24" s="25"/>
    </row>
    <row r="25" spans="17:21">
      <c r="Q25" s="93" t="s">
        <v>546</v>
      </c>
      <c r="R25" s="94" t="s">
        <v>525</v>
      </c>
      <c r="S25" s="94" t="str">
        <f>[0]!Manaden</f>
        <v>Juni</v>
      </c>
      <c r="T25" s="94" t="s">
        <v>537</v>
      </c>
      <c r="U25" s="25"/>
    </row>
    <row r="26" spans="17:21">
      <c r="Q26" s="55" t="s">
        <v>547</v>
      </c>
      <c r="R26" s="55">
        <v>2023</v>
      </c>
      <c r="S26" s="55">
        <v>706</v>
      </c>
      <c r="T26" s="55">
        <v>3838</v>
      </c>
      <c r="U26" s="25"/>
    </row>
    <row r="27" spans="17:21">
      <c r="Q27" s="55" t="s">
        <v>547</v>
      </c>
      <c r="R27" s="55">
        <v>2022</v>
      </c>
      <c r="S27" s="55">
        <v>1013</v>
      </c>
      <c r="T27" s="55">
        <v>5153</v>
      </c>
      <c r="U27" s="25"/>
    </row>
    <row r="28" spans="17:21">
      <c r="Q28" s="55" t="s">
        <v>548</v>
      </c>
      <c r="R28" s="55">
        <v>2023</v>
      </c>
      <c r="S28" s="55">
        <v>59</v>
      </c>
      <c r="T28" s="55">
        <v>357</v>
      </c>
      <c r="U28" s="25"/>
    </row>
    <row r="29" spans="17:21">
      <c r="Q29" s="55" t="s">
        <v>548</v>
      </c>
      <c r="R29" s="55">
        <v>2022</v>
      </c>
      <c r="S29" s="55">
        <v>116</v>
      </c>
      <c r="T29" s="55">
        <v>610</v>
      </c>
      <c r="U29" s="25"/>
    </row>
    <row r="30" spans="17:21">
      <c r="Q30" s="25"/>
      <c r="R30" s="25"/>
      <c r="S30" s="25"/>
      <c r="T30" s="25"/>
      <c r="U30" s="25"/>
    </row>
    <row r="31" spans="17:21">
      <c r="Q31" s="30" t="s">
        <v>550</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441</v>
      </c>
      <c r="R37" s="57">
        <v>-3.3053030671268169</v>
      </c>
      <c r="S37" s="25"/>
      <c r="T37" s="25"/>
      <c r="U37" s="25"/>
    </row>
    <row r="38" spans="14:22">
      <c r="Q38" s="30" t="s">
        <v>504</v>
      </c>
      <c r="R38" s="57">
        <v>5.2687378998801515</v>
      </c>
      <c r="S38" s="25"/>
      <c r="T38" s="25"/>
      <c r="U38" s="25"/>
    </row>
    <row r="39" spans="14:22">
      <c r="Q39" s="30" t="s">
        <v>564</v>
      </c>
      <c r="R39" s="57">
        <v>71.651777641144349</v>
      </c>
      <c r="S39" s="25"/>
      <c r="T39" s="25"/>
      <c r="U39" s="25"/>
    </row>
    <row r="40" spans="14:22">
      <c r="Q40" s="30" t="s">
        <v>579</v>
      </c>
      <c r="R40" s="57">
        <v>15.621695918798901</v>
      </c>
      <c r="S40" s="25"/>
      <c r="T40" s="25"/>
      <c r="U40" s="25"/>
    </row>
    <row r="41" spans="14:22">
      <c r="Q41" s="30" t="s">
        <v>593</v>
      </c>
      <c r="R41" s="57">
        <v>53.183048926390029</v>
      </c>
      <c r="S41" s="25"/>
      <c r="T41" s="25"/>
      <c r="U41" s="25"/>
    </row>
    <row r="42" spans="14:22">
      <c r="Q42" s="30" t="s">
        <v>600</v>
      </c>
      <c r="R42" s="57">
        <v>45.856063361215497</v>
      </c>
      <c r="S42" s="25"/>
      <c r="T42" s="25"/>
      <c r="U42" s="25"/>
    </row>
    <row r="43" spans="14:22">
      <c r="N43" s="35"/>
      <c r="Q43" s="30" t="s">
        <v>605</v>
      </c>
      <c r="R43" s="57">
        <v>-26.146667840478916</v>
      </c>
      <c r="S43" s="25"/>
      <c r="T43" s="25"/>
      <c r="U43" s="25"/>
    </row>
    <row r="44" spans="14:22">
      <c r="Q44" s="30" t="s">
        <v>607</v>
      </c>
      <c r="R44" s="57">
        <v>-22.388527544863255</v>
      </c>
      <c r="S44" s="25"/>
      <c r="T44" s="25"/>
      <c r="U44" s="25"/>
    </row>
    <row r="45" spans="14:22">
      <c r="Q45" s="30" t="s">
        <v>615</v>
      </c>
      <c r="R45" s="57">
        <v>-21.188063651241336</v>
      </c>
      <c r="S45" s="25"/>
      <c r="T45" s="25"/>
      <c r="U45" s="25"/>
    </row>
    <row r="46" spans="14:22">
      <c r="Q46" s="30" t="s">
        <v>634</v>
      </c>
      <c r="R46" s="57">
        <v>-29.079475610189366</v>
      </c>
      <c r="S46" s="25"/>
      <c r="T46" s="25"/>
      <c r="U46" s="25"/>
    </row>
    <row r="47" spans="14:22">
      <c r="Q47" s="30" t="s">
        <v>643</v>
      </c>
      <c r="R47" s="57">
        <v>-20.755711113620112</v>
      </c>
      <c r="S47" s="25"/>
      <c r="T47" s="25"/>
      <c r="U47" s="25"/>
    </row>
    <row r="48" spans="14:22">
      <c r="Q48" s="30" t="s">
        <v>652</v>
      </c>
      <c r="R48" s="57">
        <v>-20.42582655357452</v>
      </c>
      <c r="S48" s="25"/>
      <c r="T48" s="25"/>
      <c r="U48" s="25"/>
    </row>
    <row r="49" spans="17:21">
      <c r="Q49" s="30" t="s">
        <v>661</v>
      </c>
      <c r="R49" s="57">
        <f>((S6-R6)/R6)*100</f>
        <v>-3.3053030671268169</v>
      </c>
      <c r="S49" s="25"/>
      <c r="T49" s="25"/>
      <c r="U49" s="25"/>
    </row>
    <row r="50" spans="17:21">
      <c r="Q50" s="30" t="s">
        <v>676</v>
      </c>
      <c r="R50" s="57">
        <f t="shared" ref="R50:R60" si="0">((S7-R7)/R7)*100</f>
        <v>-7.4484389368130666</v>
      </c>
      <c r="S50" s="25"/>
      <c r="T50" s="25"/>
      <c r="U50" s="25"/>
    </row>
    <row r="51" spans="17:21">
      <c r="Q51" s="30" t="s">
        <v>694</v>
      </c>
      <c r="R51" s="57">
        <f t="shared" si="0"/>
        <v>-39.506953223767383</v>
      </c>
      <c r="S51" s="25"/>
      <c r="T51" s="25"/>
      <c r="U51" s="25"/>
    </row>
    <row r="52" spans="17:21">
      <c r="Q52" s="30" t="s">
        <v>703</v>
      </c>
      <c r="R52" s="57">
        <f t="shared" si="0"/>
        <v>0.32463078963010383</v>
      </c>
      <c r="S52" s="25"/>
      <c r="T52" s="25"/>
      <c r="U52" s="25"/>
    </row>
    <row r="53" spans="17:21">
      <c r="Q53" s="30" t="s">
        <v>709</v>
      </c>
      <c r="R53" s="57">
        <f t="shared" si="0"/>
        <v>8.5748345459777209</v>
      </c>
      <c r="S53" s="25"/>
      <c r="T53" s="25"/>
      <c r="U53" s="25"/>
    </row>
    <row r="54" spans="17:21">
      <c r="Q54" s="30" t="s">
        <v>712</v>
      </c>
      <c r="R54" s="57">
        <f t="shared" si="0"/>
        <v>-27.724061504363483</v>
      </c>
      <c r="S54" s="25"/>
      <c r="T54" s="25"/>
      <c r="U54" s="25"/>
    </row>
    <row r="55" spans="17:21">
      <c r="Q55" s="30" t="s">
        <v>988</v>
      </c>
      <c r="R55" s="57">
        <f t="shared" si="0"/>
        <v>6.2939563714387887</v>
      </c>
      <c r="S55" s="25"/>
      <c r="T55" s="25"/>
      <c r="U55" s="25"/>
    </row>
    <row r="56" spans="17:21">
      <c r="Q56" s="30" t="s">
        <v>995</v>
      </c>
      <c r="R56" s="57">
        <f t="shared" si="0"/>
        <v>3.877221324717286</v>
      </c>
      <c r="S56" s="25"/>
      <c r="T56" s="25"/>
      <c r="U56" s="25"/>
    </row>
    <row r="57" spans="17:21">
      <c r="Q57" s="30" t="s">
        <v>1009</v>
      </c>
      <c r="R57" s="57">
        <f t="shared" si="0"/>
        <v>-2.5890253600777591</v>
      </c>
      <c r="S57" s="25"/>
      <c r="T57" s="25"/>
      <c r="U57" s="25"/>
    </row>
    <row r="58" spans="17:21">
      <c r="Q58" s="30" t="s">
        <v>1019</v>
      </c>
      <c r="R58" s="57">
        <f t="shared" si="0"/>
        <v>12.128043282236249</v>
      </c>
      <c r="S58" s="25"/>
      <c r="T58" s="25"/>
      <c r="U58" s="25"/>
    </row>
    <row r="59" spans="17:21">
      <c r="Q59" s="30" t="s">
        <v>1031</v>
      </c>
      <c r="R59" s="57">
        <f t="shared" si="0"/>
        <v>21.523556231003038</v>
      </c>
      <c r="S59" s="25"/>
      <c r="T59" s="25"/>
      <c r="U59" s="25"/>
    </row>
    <row r="60" spans="17:21">
      <c r="Q60" s="30" t="s">
        <v>1046</v>
      </c>
      <c r="R60" s="57">
        <f t="shared" si="0"/>
        <v>28.620114567471539</v>
      </c>
      <c r="S60" s="25"/>
      <c r="T60" s="25"/>
      <c r="U60" s="25"/>
    </row>
    <row r="61" spans="17:21">
      <c r="Q61" s="30" t="s">
        <v>1074</v>
      </c>
      <c r="R61" s="57">
        <f t="shared" ref="R61:R66" si="1">((T6-S6)/S6)*100</f>
        <v>-26.602322424973607</v>
      </c>
      <c r="S61" s="25"/>
      <c r="T61" s="25"/>
      <c r="U61" s="25"/>
    </row>
    <row r="62" spans="17:21">
      <c r="Q62" s="223" t="s">
        <v>1111</v>
      </c>
      <c r="R62" s="57">
        <f t="shared" si="1"/>
        <v>-12.746025738077213</v>
      </c>
      <c r="S62" s="25"/>
      <c r="T62" s="25"/>
      <c r="U62" s="25"/>
    </row>
    <row r="63" spans="17:21">
      <c r="Q63" s="223" t="s">
        <v>1145</v>
      </c>
      <c r="R63" s="57">
        <f t="shared" si="1"/>
        <v>5.4022988505747129</v>
      </c>
      <c r="S63" s="25"/>
      <c r="T63" s="25"/>
      <c r="U63" s="25"/>
    </row>
    <row r="64" spans="17:21">
      <c r="Q64" s="223" t="s">
        <v>1171</v>
      </c>
      <c r="R64" s="57">
        <f t="shared" si="1"/>
        <v>-6.179928903472792</v>
      </c>
      <c r="S64" s="25"/>
      <c r="T64" s="25"/>
      <c r="U64" s="25"/>
    </row>
    <row r="65" spans="1:21">
      <c r="A65" s="95"/>
      <c r="Q65" s="223" t="s">
        <v>1201</v>
      </c>
      <c r="R65" s="57">
        <f t="shared" si="1"/>
        <v>7.8635520387687885</v>
      </c>
      <c r="S65" s="25"/>
      <c r="T65" s="25"/>
      <c r="U65" s="25"/>
    </row>
    <row r="66" spans="1:21">
      <c r="Q66" s="223" t="s">
        <v>1248</v>
      </c>
      <c r="R66" s="57">
        <f t="shared" si="1"/>
        <v>8.4138301134621294</v>
      </c>
      <c r="S66" s="25"/>
      <c r="T66" s="25"/>
      <c r="U66" s="25"/>
    </row>
    <row r="67" spans="1:21">
      <c r="A67" s="95" t="s">
        <v>681</v>
      </c>
      <c r="Q67" s="30"/>
      <c r="R67" s="57"/>
      <c r="S67" s="25"/>
      <c r="T67" s="25"/>
      <c r="U67" s="25"/>
    </row>
    <row r="68" spans="1:21">
      <c r="Q68" s="30"/>
      <c r="R68" s="57"/>
      <c r="S68" s="25"/>
      <c r="T68" s="25"/>
      <c r="U68" s="25"/>
    </row>
    <row r="69" spans="1:21">
      <c r="Q69" s="30"/>
      <c r="R69" s="57"/>
      <c r="S69" s="25"/>
      <c r="T69" s="25"/>
      <c r="U69" s="25"/>
    </row>
    <row r="70" spans="1:21">
      <c r="Q70" s="30"/>
      <c r="R70" s="57"/>
      <c r="S70" s="25"/>
      <c r="T70" s="25"/>
      <c r="U70" s="25"/>
    </row>
    <row r="71" spans="1:21">
      <c r="Q71" s="30"/>
      <c r="R71" s="57"/>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527</v>
      </c>
      <c r="E2" s="56"/>
      <c r="F2" s="56"/>
      <c r="G2" s="56"/>
      <c r="H2" s="56"/>
      <c r="I2" s="56"/>
      <c r="J2" s="56"/>
      <c r="K2" s="56"/>
      <c r="L2" s="56"/>
    </row>
    <row r="3" spans="1:17" ht="20.25" customHeight="1"/>
    <row r="4" spans="1:17">
      <c r="A4" s="55" t="s">
        <v>526</v>
      </c>
      <c r="B4" s="25"/>
      <c r="C4" s="25"/>
      <c r="D4" s="25"/>
      <c r="E4" s="80"/>
      <c r="F4" s="80"/>
      <c r="G4" s="258" t="s">
        <v>455</v>
      </c>
      <c r="H4" s="258"/>
      <c r="I4" s="258"/>
      <c r="J4" s="258"/>
      <c r="K4" s="258"/>
      <c r="L4" s="258"/>
      <c r="M4" s="258"/>
      <c r="N4" s="258"/>
      <c r="O4" s="258"/>
      <c r="P4" s="25"/>
      <c r="Q4" s="25"/>
    </row>
    <row r="5" spans="1:17">
      <c r="A5" s="103" t="s">
        <v>466</v>
      </c>
      <c r="B5" s="103" t="s">
        <v>525</v>
      </c>
      <c r="C5" s="212" t="s">
        <v>537</v>
      </c>
      <c r="D5" s="212" t="s">
        <v>2</v>
      </c>
      <c r="E5" s="212" t="s">
        <v>3</v>
      </c>
      <c r="F5" s="212" t="s">
        <v>524</v>
      </c>
      <c r="G5" s="212" t="s">
        <v>523</v>
      </c>
      <c r="H5" s="212" t="s">
        <v>6</v>
      </c>
      <c r="I5" s="212" t="s">
        <v>522</v>
      </c>
      <c r="J5" s="212" t="s">
        <v>521</v>
      </c>
      <c r="K5" s="212" t="s">
        <v>9</v>
      </c>
      <c r="L5" s="212" t="s">
        <v>10</v>
      </c>
      <c r="M5" s="212" t="s">
        <v>11</v>
      </c>
      <c r="N5" s="212" t="s">
        <v>12</v>
      </c>
      <c r="O5" s="212" t="s">
        <v>13</v>
      </c>
      <c r="P5" s="25"/>
      <c r="Q5" s="25"/>
    </row>
    <row r="6" spans="1:17" hidden="1">
      <c r="A6" s="145"/>
      <c r="B6" s="145"/>
      <c r="C6" s="145" t="s">
        <v>520</v>
      </c>
      <c r="D6" s="145" t="s">
        <v>519</v>
      </c>
      <c r="E6" s="145" t="s">
        <v>518</v>
      </c>
      <c r="F6" s="145" t="s">
        <v>517</v>
      </c>
      <c r="G6" s="145" t="s">
        <v>516</v>
      </c>
      <c r="H6" s="145" t="s">
        <v>515</v>
      </c>
      <c r="I6" s="145" t="s">
        <v>514</v>
      </c>
      <c r="J6" s="145" t="s">
        <v>513</v>
      </c>
      <c r="K6" s="145" t="s">
        <v>512</v>
      </c>
      <c r="L6" s="145" t="s">
        <v>511</v>
      </c>
      <c r="M6" s="145" t="s">
        <v>510</v>
      </c>
      <c r="N6" s="145" t="s">
        <v>509</v>
      </c>
      <c r="O6" s="145" t="s">
        <v>508</v>
      </c>
      <c r="P6" s="25"/>
      <c r="Q6" s="25"/>
    </row>
    <row r="7" spans="1:17">
      <c r="A7" s="164" t="s">
        <v>708</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270</v>
      </c>
      <c r="B10" s="145"/>
      <c r="C10" s="146"/>
      <c r="D10" s="145"/>
      <c r="E10" s="145"/>
      <c r="F10" s="145"/>
      <c r="G10" s="145"/>
      <c r="H10" s="145"/>
      <c r="I10" s="145"/>
      <c r="J10" s="145"/>
      <c r="K10" s="145"/>
      <c r="L10" s="145"/>
      <c r="M10" s="145"/>
      <c r="N10" s="145"/>
      <c r="O10" s="145"/>
      <c r="P10" s="25"/>
      <c r="Q10" s="25"/>
    </row>
    <row r="11" spans="1:17">
      <c r="A11" s="145"/>
      <c r="B11" s="164">
        <v>2023</v>
      </c>
      <c r="C11" s="146">
        <v>1</v>
      </c>
      <c r="D11" s="145">
        <v>0</v>
      </c>
      <c r="E11" s="145">
        <v>0</v>
      </c>
      <c r="F11" s="145">
        <v>0</v>
      </c>
      <c r="G11" s="145">
        <v>0</v>
      </c>
      <c r="H11" s="145">
        <v>1</v>
      </c>
      <c r="I11" s="145">
        <v>0</v>
      </c>
      <c r="J11" s="145">
        <v>0</v>
      </c>
      <c r="K11" s="145">
        <v>0</v>
      </c>
      <c r="L11" s="145">
        <v>0</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277</v>
      </c>
      <c r="B14" s="145"/>
      <c r="C14" s="146"/>
      <c r="D14" s="145"/>
      <c r="E14" s="145"/>
      <c r="F14" s="145"/>
      <c r="G14" s="145"/>
      <c r="H14" s="145"/>
      <c r="I14" s="145"/>
      <c r="J14" s="145"/>
      <c r="K14" s="145"/>
      <c r="L14" s="145"/>
      <c r="M14" s="145"/>
      <c r="N14" s="145"/>
      <c r="O14" s="145"/>
      <c r="P14" s="25"/>
      <c r="Q14" s="25"/>
    </row>
    <row r="15" spans="1:17">
      <c r="A15" s="145"/>
      <c r="B15" s="164">
        <v>2022</v>
      </c>
      <c r="C15" s="146">
        <v>0</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379</v>
      </c>
      <c r="B17" s="145"/>
      <c r="C17" s="146"/>
      <c r="D17" s="145"/>
      <c r="E17" s="145"/>
      <c r="F17" s="145"/>
      <c r="G17" s="145"/>
      <c r="H17" s="145"/>
      <c r="I17" s="145"/>
      <c r="J17" s="145"/>
      <c r="K17" s="145"/>
      <c r="L17" s="145"/>
      <c r="M17" s="145"/>
      <c r="N17" s="145"/>
      <c r="O17" s="145"/>
      <c r="P17" s="25"/>
      <c r="Q17" s="25"/>
    </row>
    <row r="18" spans="1:17">
      <c r="A18" s="145"/>
      <c r="B18" s="164">
        <v>2023</v>
      </c>
      <c r="C18" s="146">
        <v>11</v>
      </c>
      <c r="D18" s="145">
        <v>0</v>
      </c>
      <c r="E18" s="145">
        <v>2</v>
      </c>
      <c r="F18" s="145">
        <v>0</v>
      </c>
      <c r="G18" s="145">
        <v>8</v>
      </c>
      <c r="H18" s="145">
        <v>1</v>
      </c>
      <c r="I18" s="145">
        <v>0</v>
      </c>
      <c r="J18" s="145">
        <v>0</v>
      </c>
      <c r="K18" s="145">
        <v>0</v>
      </c>
      <c r="L18" s="145">
        <v>0</v>
      </c>
      <c r="M18" s="145">
        <v>0</v>
      </c>
      <c r="N18" s="145">
        <v>0</v>
      </c>
      <c r="O18" s="145">
        <v>0</v>
      </c>
      <c r="P18" s="25"/>
      <c r="Q18" s="25"/>
    </row>
    <row r="19" spans="1:17">
      <c r="A19" s="145"/>
      <c r="B19" s="164">
        <v>2022</v>
      </c>
      <c r="C19" s="146">
        <v>6</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471</v>
      </c>
      <c r="B21" s="145"/>
      <c r="C21" s="146"/>
      <c r="D21" s="145"/>
      <c r="E21" s="145"/>
      <c r="F21" s="145"/>
      <c r="G21" s="145"/>
      <c r="H21" s="145"/>
      <c r="I21" s="145"/>
      <c r="J21" s="145"/>
      <c r="K21" s="145"/>
      <c r="L21" s="145"/>
      <c r="M21" s="145"/>
      <c r="N21" s="145"/>
      <c r="O21" s="145"/>
      <c r="P21" s="25"/>
      <c r="Q21" s="25"/>
    </row>
    <row r="22" spans="1:17">
      <c r="A22" s="145"/>
      <c r="B22" s="164">
        <v>2023</v>
      </c>
      <c r="C22" s="146">
        <v>12</v>
      </c>
      <c r="D22" s="145">
        <v>2</v>
      </c>
      <c r="E22" s="145">
        <v>4</v>
      </c>
      <c r="F22" s="145">
        <v>1</v>
      </c>
      <c r="G22" s="145">
        <v>1</v>
      </c>
      <c r="H22" s="145">
        <v>3</v>
      </c>
      <c r="I22" s="145">
        <v>1</v>
      </c>
      <c r="J22" s="145">
        <v>0</v>
      </c>
      <c r="K22" s="145">
        <v>0</v>
      </c>
      <c r="L22" s="145">
        <v>0</v>
      </c>
      <c r="M22" s="145">
        <v>0</v>
      </c>
      <c r="N22" s="145">
        <v>0</v>
      </c>
      <c r="O22" s="145">
        <v>0</v>
      </c>
      <c r="P22" s="25"/>
      <c r="Q22" s="25"/>
    </row>
    <row r="23" spans="1:17">
      <c r="A23" s="145"/>
      <c r="B23" s="164">
        <v>2022</v>
      </c>
      <c r="C23" s="146">
        <v>1</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506</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2</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295</v>
      </c>
      <c r="B29" s="145"/>
      <c r="C29" s="146"/>
      <c r="D29" s="145"/>
      <c r="E29" s="145"/>
      <c r="F29" s="145"/>
      <c r="G29" s="145"/>
      <c r="H29" s="145"/>
      <c r="I29" s="145"/>
      <c r="J29" s="145"/>
      <c r="K29" s="145"/>
      <c r="L29" s="145"/>
      <c r="M29" s="145"/>
      <c r="N29" s="145"/>
      <c r="O29" s="145"/>
      <c r="P29" s="25"/>
      <c r="Q29" s="25"/>
    </row>
    <row r="30" spans="1:17">
      <c r="A30" s="145"/>
      <c r="B30" s="164">
        <v>2023</v>
      </c>
      <c r="C30" s="146">
        <v>32</v>
      </c>
      <c r="D30" s="145">
        <v>5</v>
      </c>
      <c r="E30" s="145">
        <v>14</v>
      </c>
      <c r="F30" s="145">
        <v>5</v>
      </c>
      <c r="G30" s="145">
        <v>9</v>
      </c>
      <c r="H30" s="145">
        <v>3</v>
      </c>
      <c r="I30" s="145">
        <v>0</v>
      </c>
      <c r="J30" s="145">
        <v>0</v>
      </c>
      <c r="K30" s="145">
        <v>0</v>
      </c>
      <c r="L30" s="145">
        <v>0</v>
      </c>
      <c r="M30" s="145">
        <v>0</v>
      </c>
      <c r="N30" s="145">
        <v>0</v>
      </c>
      <c r="O30" s="145">
        <v>0</v>
      </c>
      <c r="P30" s="25"/>
      <c r="Q30" s="25"/>
    </row>
    <row r="31" spans="1:17">
      <c r="A31" s="145"/>
      <c r="B31" s="164">
        <v>2022</v>
      </c>
      <c r="C31" s="146">
        <v>40</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296</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5</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505</v>
      </c>
      <c r="B37" s="145"/>
      <c r="C37" s="146"/>
      <c r="D37" s="145"/>
      <c r="E37" s="145"/>
      <c r="F37" s="145"/>
      <c r="G37" s="145"/>
      <c r="H37" s="145"/>
      <c r="I37" s="145"/>
      <c r="J37" s="145"/>
      <c r="K37" s="145"/>
      <c r="L37" s="145"/>
      <c r="M37" s="145"/>
      <c r="N37" s="145"/>
      <c r="O37" s="145"/>
      <c r="P37" s="25"/>
      <c r="Q37" s="25"/>
    </row>
    <row r="38" spans="1:17">
      <c r="A38" s="145"/>
      <c r="B38" s="164">
        <v>2023</v>
      </c>
      <c r="C38" s="146">
        <v>68</v>
      </c>
      <c r="D38" s="145">
        <v>7</v>
      </c>
      <c r="E38" s="145">
        <v>23</v>
      </c>
      <c r="F38" s="145">
        <v>10</v>
      </c>
      <c r="G38" s="145">
        <v>23</v>
      </c>
      <c r="H38" s="145">
        <v>8</v>
      </c>
      <c r="I38" s="145">
        <v>1</v>
      </c>
      <c r="J38" s="145">
        <v>0</v>
      </c>
      <c r="K38" s="145">
        <v>0</v>
      </c>
      <c r="L38" s="145">
        <v>0</v>
      </c>
      <c r="M38" s="145">
        <v>0</v>
      </c>
      <c r="N38" s="145">
        <v>0</v>
      </c>
      <c r="O38" s="145">
        <v>0</v>
      </c>
      <c r="P38" s="25"/>
      <c r="Q38" s="25"/>
    </row>
    <row r="39" spans="1:17">
      <c r="A39" s="145"/>
      <c r="B39" s="164">
        <v>2022</v>
      </c>
      <c r="C39" s="146">
        <v>57</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A51" t="s">
        <v>681</v>
      </c>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308" activePane="bottomLeft" state="frozen"/>
      <selection activeCell="D49" sqref="D49"/>
      <selection pane="bottomLeft" activeCell="E309" sqref="E309"/>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453</v>
      </c>
      <c r="D2" s="56"/>
      <c r="E2" s="56"/>
      <c r="F2" s="56"/>
      <c r="G2" s="56"/>
    </row>
    <row r="4" spans="1:12">
      <c r="A4" s="7" t="s">
        <v>454</v>
      </c>
      <c r="B4" s="55"/>
      <c r="C4" s="64"/>
      <c r="D4" s="64"/>
      <c r="E4" s="25"/>
      <c r="F4" s="25"/>
      <c r="G4" s="25"/>
      <c r="H4" s="228" t="s">
        <v>455</v>
      </c>
      <c r="I4" s="228"/>
      <c r="J4" s="228"/>
      <c r="K4" s="228"/>
      <c r="L4" s="228"/>
    </row>
    <row r="5" spans="1:12">
      <c r="A5" s="96"/>
      <c r="B5" s="97"/>
      <c r="C5" s="231" t="s">
        <v>538</v>
      </c>
      <c r="D5" s="230"/>
      <c r="E5" s="231" t="s">
        <v>538</v>
      </c>
      <c r="F5" s="230"/>
      <c r="G5" s="232" t="s">
        <v>539</v>
      </c>
      <c r="H5" s="233"/>
      <c r="I5" s="229" t="s">
        <v>540</v>
      </c>
      <c r="J5" s="230"/>
      <c r="K5" s="229" t="s">
        <v>540</v>
      </c>
      <c r="L5" s="230"/>
    </row>
    <row r="6" spans="1:12">
      <c r="A6" s="96"/>
      <c r="B6" s="97" t="s">
        <v>456</v>
      </c>
      <c r="C6" s="98" t="str">
        <f>Innehåll!D79</f>
        <v xml:space="preserve"> 2023-06</v>
      </c>
      <c r="D6" s="98" t="str">
        <f>Innehåll!D80</f>
        <v xml:space="preserve"> 2022-06</v>
      </c>
      <c r="E6" s="98" t="str">
        <f>Innehåll!D81</f>
        <v>YTD  2023</v>
      </c>
      <c r="F6" s="98" t="str">
        <f>Innehåll!D82</f>
        <v>YTD  2022</v>
      </c>
      <c r="G6" s="99" t="str">
        <f>C6</f>
        <v xml:space="preserve"> 2023-06</v>
      </c>
      <c r="H6" s="100" t="str">
        <f>E6</f>
        <v>YTD  2023</v>
      </c>
      <c r="I6" s="98" t="str">
        <f>C6</f>
        <v xml:space="preserve"> 2023-06</v>
      </c>
      <c r="J6" s="101" t="str">
        <f>E6</f>
        <v>YTD  2023</v>
      </c>
      <c r="K6" s="102" t="str">
        <f>D6</f>
        <v xml:space="preserve"> 2022-06</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603</v>
      </c>
      <c r="C8" s="55">
        <v>2377</v>
      </c>
      <c r="D8" s="55">
        <v>1876</v>
      </c>
      <c r="E8" s="55">
        <v>8542</v>
      </c>
      <c r="F8" s="55">
        <v>4147</v>
      </c>
      <c r="G8" s="55">
        <v>26.71</v>
      </c>
      <c r="H8" s="55">
        <v>105.98</v>
      </c>
      <c r="I8" s="55">
        <v>8.4</v>
      </c>
      <c r="J8" s="55">
        <v>6.07</v>
      </c>
      <c r="K8" s="55">
        <v>7.19</v>
      </c>
      <c r="L8" s="55">
        <v>2.88</v>
      </c>
    </row>
    <row r="9" spans="1:12">
      <c r="A9" s="55">
        <v>2</v>
      </c>
      <c r="B9" s="55" t="s">
        <v>43</v>
      </c>
      <c r="C9" s="55">
        <v>807</v>
      </c>
      <c r="D9" s="55">
        <v>722</v>
      </c>
      <c r="E9" s="55">
        <v>6397</v>
      </c>
      <c r="F9" s="55">
        <v>6858</v>
      </c>
      <c r="G9" s="55">
        <v>11.77</v>
      </c>
      <c r="H9" s="55">
        <v>-6.72</v>
      </c>
      <c r="I9" s="55">
        <v>2.85</v>
      </c>
      <c r="J9" s="55">
        <v>4.55</v>
      </c>
      <c r="K9" s="55">
        <v>2.77</v>
      </c>
      <c r="L9" s="55">
        <v>4.76</v>
      </c>
    </row>
    <row r="10" spans="1:12">
      <c r="A10" s="55">
        <v>3</v>
      </c>
      <c r="B10" s="55" t="s">
        <v>39</v>
      </c>
      <c r="C10" s="55">
        <v>1065</v>
      </c>
      <c r="D10" s="55">
        <v>1243</v>
      </c>
      <c r="E10" s="55">
        <v>5570</v>
      </c>
      <c r="F10" s="55">
        <v>5928</v>
      </c>
      <c r="G10" s="55">
        <v>-14.32</v>
      </c>
      <c r="H10" s="55">
        <v>-6.04</v>
      </c>
      <c r="I10" s="55">
        <v>3.77</v>
      </c>
      <c r="J10" s="55">
        <v>3.96</v>
      </c>
      <c r="K10" s="55">
        <v>4.76</v>
      </c>
      <c r="L10" s="55">
        <v>4.1100000000000003</v>
      </c>
    </row>
    <row r="11" spans="1:12">
      <c r="A11" s="55">
        <v>4</v>
      </c>
      <c r="B11" s="55" t="s">
        <v>481</v>
      </c>
      <c r="C11" s="55">
        <v>972</v>
      </c>
      <c r="D11" s="55">
        <v>759</v>
      </c>
      <c r="E11" s="55">
        <v>4362</v>
      </c>
      <c r="F11" s="55">
        <v>3859</v>
      </c>
      <c r="G11" s="55">
        <v>28.06</v>
      </c>
      <c r="H11" s="55">
        <v>13.03</v>
      </c>
      <c r="I11" s="55">
        <v>3.44</v>
      </c>
      <c r="J11" s="55">
        <v>3.1</v>
      </c>
      <c r="K11" s="55">
        <v>2.91</v>
      </c>
      <c r="L11" s="55">
        <v>2.68</v>
      </c>
    </row>
    <row r="12" spans="1:12">
      <c r="A12" s="55">
        <v>5</v>
      </c>
      <c r="B12" s="55" t="s">
        <v>36</v>
      </c>
      <c r="C12" s="55">
        <v>495</v>
      </c>
      <c r="D12" s="55">
        <v>488</v>
      </c>
      <c r="E12" s="55">
        <v>2833</v>
      </c>
      <c r="F12" s="55">
        <v>4876</v>
      </c>
      <c r="G12" s="55">
        <v>1.43</v>
      </c>
      <c r="H12" s="55">
        <v>-41.9</v>
      </c>
      <c r="I12" s="55">
        <v>1.75</v>
      </c>
      <c r="J12" s="55">
        <v>2.0099999999999998</v>
      </c>
      <c r="K12" s="55">
        <v>1.87</v>
      </c>
      <c r="L12" s="55">
        <v>3.38</v>
      </c>
    </row>
    <row r="13" spans="1:12">
      <c r="A13" s="55">
        <v>6</v>
      </c>
      <c r="B13" s="55" t="s">
        <v>42</v>
      </c>
      <c r="C13" s="55">
        <v>455</v>
      </c>
      <c r="D13" s="55">
        <v>809</v>
      </c>
      <c r="E13" s="55">
        <v>2741</v>
      </c>
      <c r="F13" s="55">
        <v>5639</v>
      </c>
      <c r="G13" s="55">
        <v>-43.76</v>
      </c>
      <c r="H13" s="55">
        <v>-51.39</v>
      </c>
      <c r="I13" s="55">
        <v>1.61</v>
      </c>
      <c r="J13" s="55">
        <v>1.95</v>
      </c>
      <c r="K13" s="55">
        <v>3.1</v>
      </c>
      <c r="L13" s="55">
        <v>3.91</v>
      </c>
    </row>
    <row r="14" spans="1:12">
      <c r="A14" s="55">
        <v>7</v>
      </c>
      <c r="B14" s="55" t="s">
        <v>50</v>
      </c>
      <c r="C14" s="55">
        <v>747</v>
      </c>
      <c r="D14" s="55">
        <v>449</v>
      </c>
      <c r="E14" s="55">
        <v>2611</v>
      </c>
      <c r="F14" s="55">
        <v>3158</v>
      </c>
      <c r="G14" s="55">
        <v>66.37</v>
      </c>
      <c r="H14" s="55">
        <v>-17.32</v>
      </c>
      <c r="I14" s="55">
        <v>2.64</v>
      </c>
      <c r="J14" s="55">
        <v>1.86</v>
      </c>
      <c r="K14" s="55">
        <v>1.72</v>
      </c>
      <c r="L14" s="55">
        <v>2.19</v>
      </c>
    </row>
    <row r="15" spans="1:12">
      <c r="A15" s="55">
        <v>8</v>
      </c>
      <c r="B15" s="55" t="s">
        <v>631</v>
      </c>
      <c r="C15" s="55">
        <v>608</v>
      </c>
      <c r="D15" s="55">
        <v>214</v>
      </c>
      <c r="E15" s="55">
        <v>2605</v>
      </c>
      <c r="F15" s="55">
        <v>1703</v>
      </c>
      <c r="G15" s="55">
        <v>184.11</v>
      </c>
      <c r="H15" s="55">
        <v>52.97</v>
      </c>
      <c r="I15" s="55">
        <v>2.15</v>
      </c>
      <c r="J15" s="55">
        <v>1.85</v>
      </c>
      <c r="K15" s="55">
        <v>0.82</v>
      </c>
      <c r="L15" s="55">
        <v>1.18</v>
      </c>
    </row>
    <row r="16" spans="1:12">
      <c r="A16" s="55">
        <v>9</v>
      </c>
      <c r="B16" s="55" t="s">
        <v>225</v>
      </c>
      <c r="C16" s="55">
        <v>477</v>
      </c>
      <c r="D16" s="55">
        <v>1257</v>
      </c>
      <c r="E16" s="55">
        <v>2468</v>
      </c>
      <c r="F16" s="55">
        <v>5135</v>
      </c>
      <c r="G16" s="55">
        <v>-62.05</v>
      </c>
      <c r="H16" s="55">
        <v>-51.94</v>
      </c>
      <c r="I16" s="55">
        <v>1.69</v>
      </c>
      <c r="J16" s="55">
        <v>1.75</v>
      </c>
      <c r="K16" s="55">
        <v>4.82</v>
      </c>
      <c r="L16" s="55">
        <v>3.56</v>
      </c>
    </row>
    <row r="17" spans="1:12">
      <c r="A17" s="55">
        <v>10</v>
      </c>
      <c r="B17" s="55" t="s">
        <v>570</v>
      </c>
      <c r="C17" s="55">
        <v>479</v>
      </c>
      <c r="D17" s="55">
        <v>526</v>
      </c>
      <c r="E17" s="55">
        <v>2154</v>
      </c>
      <c r="F17" s="55">
        <v>1716</v>
      </c>
      <c r="G17" s="55">
        <v>-8.94</v>
      </c>
      <c r="H17" s="55">
        <v>25.52</v>
      </c>
      <c r="I17" s="55">
        <v>1.69</v>
      </c>
      <c r="J17" s="55">
        <v>1.53</v>
      </c>
      <c r="K17" s="55">
        <v>2.02</v>
      </c>
      <c r="L17" s="55">
        <v>1.19</v>
      </c>
    </row>
    <row r="18" spans="1:12">
      <c r="A18" s="55">
        <v>11</v>
      </c>
      <c r="B18" s="55" t="s">
        <v>86</v>
      </c>
      <c r="C18" s="55">
        <v>298</v>
      </c>
      <c r="D18" s="55">
        <v>730</v>
      </c>
      <c r="E18" s="55">
        <v>2090</v>
      </c>
      <c r="F18" s="55">
        <v>2110</v>
      </c>
      <c r="G18" s="55">
        <v>-59.18</v>
      </c>
      <c r="H18" s="55">
        <v>-0.95</v>
      </c>
      <c r="I18" s="55">
        <v>1.05</v>
      </c>
      <c r="J18" s="55">
        <v>1.49</v>
      </c>
      <c r="K18" s="55">
        <v>2.8</v>
      </c>
      <c r="L18" s="55">
        <v>1.46</v>
      </c>
    </row>
    <row r="19" spans="1:12">
      <c r="A19" s="55">
        <v>12</v>
      </c>
      <c r="B19" s="55" t="s">
        <v>630</v>
      </c>
      <c r="C19" s="55">
        <v>353</v>
      </c>
      <c r="D19" s="55">
        <v>238</v>
      </c>
      <c r="E19" s="55">
        <v>2082</v>
      </c>
      <c r="F19" s="55">
        <v>1476</v>
      </c>
      <c r="G19" s="55">
        <v>48.32</v>
      </c>
      <c r="H19" s="55">
        <v>41.06</v>
      </c>
      <c r="I19" s="55">
        <v>1.25</v>
      </c>
      <c r="J19" s="55">
        <v>1.48</v>
      </c>
      <c r="K19" s="55">
        <v>0.91</v>
      </c>
      <c r="L19" s="55">
        <v>1.02</v>
      </c>
    </row>
    <row r="20" spans="1:12">
      <c r="A20" s="55">
        <v>13</v>
      </c>
      <c r="B20" s="55" t="s">
        <v>37</v>
      </c>
      <c r="C20" s="55">
        <v>437</v>
      </c>
      <c r="D20" s="55">
        <v>374</v>
      </c>
      <c r="E20" s="55">
        <v>2000</v>
      </c>
      <c r="F20" s="55">
        <v>3143</v>
      </c>
      <c r="G20" s="55">
        <v>16.84</v>
      </c>
      <c r="H20" s="55">
        <v>-36.369999999999997</v>
      </c>
      <c r="I20" s="55">
        <v>1.55</v>
      </c>
      <c r="J20" s="55">
        <v>1.42</v>
      </c>
      <c r="K20" s="55">
        <v>1.43</v>
      </c>
      <c r="L20" s="55">
        <v>2.1800000000000002</v>
      </c>
    </row>
    <row r="21" spans="1:12">
      <c r="A21" s="55">
        <v>14</v>
      </c>
      <c r="B21" s="55" t="s">
        <v>635</v>
      </c>
      <c r="C21" s="55">
        <v>243</v>
      </c>
      <c r="D21" s="55">
        <v>17</v>
      </c>
      <c r="E21" s="55">
        <v>1901</v>
      </c>
      <c r="F21" s="55">
        <v>360</v>
      </c>
      <c r="G21" s="55">
        <v>1329.41</v>
      </c>
      <c r="H21" s="55">
        <v>428.06</v>
      </c>
      <c r="I21" s="55">
        <v>0.86</v>
      </c>
      <c r="J21" s="55">
        <v>1.35</v>
      </c>
      <c r="K21" s="55">
        <v>7.0000000000000007E-2</v>
      </c>
      <c r="L21" s="55">
        <v>0.25</v>
      </c>
    </row>
    <row r="22" spans="1:12">
      <c r="A22" s="55">
        <v>15</v>
      </c>
      <c r="B22" s="55" t="s">
        <v>47</v>
      </c>
      <c r="C22" s="55">
        <v>428</v>
      </c>
      <c r="D22" s="55">
        <v>370</v>
      </c>
      <c r="E22" s="55">
        <v>1817</v>
      </c>
      <c r="F22" s="55">
        <v>1892</v>
      </c>
      <c r="G22" s="55">
        <v>15.68</v>
      </c>
      <c r="H22" s="55">
        <v>-3.96</v>
      </c>
      <c r="I22" s="55">
        <v>1.51</v>
      </c>
      <c r="J22" s="55">
        <v>1.29</v>
      </c>
      <c r="K22" s="55">
        <v>1.42</v>
      </c>
      <c r="L22" s="55">
        <v>1.31</v>
      </c>
    </row>
    <row r="23" spans="1:12">
      <c r="A23" s="55">
        <v>16</v>
      </c>
      <c r="B23" s="55" t="s">
        <v>393</v>
      </c>
      <c r="C23" s="55">
        <v>450</v>
      </c>
      <c r="D23" s="55">
        <v>289</v>
      </c>
      <c r="E23" s="55">
        <v>1789</v>
      </c>
      <c r="F23" s="55">
        <v>2288</v>
      </c>
      <c r="G23" s="55">
        <v>55.71</v>
      </c>
      <c r="H23" s="55">
        <v>-21.81</v>
      </c>
      <c r="I23" s="55">
        <v>1.59</v>
      </c>
      <c r="J23" s="55">
        <v>1.27</v>
      </c>
      <c r="K23" s="55">
        <v>1.1100000000000001</v>
      </c>
      <c r="L23" s="55">
        <v>1.59</v>
      </c>
    </row>
    <row r="24" spans="1:12">
      <c r="A24" s="55">
        <v>17</v>
      </c>
      <c r="B24" s="55" t="s">
        <v>55</v>
      </c>
      <c r="C24" s="55">
        <v>464</v>
      </c>
      <c r="D24" s="55">
        <v>175</v>
      </c>
      <c r="E24" s="55">
        <v>1718</v>
      </c>
      <c r="F24" s="55">
        <v>1358</v>
      </c>
      <c r="G24" s="55">
        <v>165.14</v>
      </c>
      <c r="H24" s="55">
        <v>26.51</v>
      </c>
      <c r="I24" s="55">
        <v>1.64</v>
      </c>
      <c r="J24" s="55">
        <v>1.22</v>
      </c>
      <c r="K24" s="55">
        <v>0.67</v>
      </c>
      <c r="L24" s="55">
        <v>0.94</v>
      </c>
    </row>
    <row r="25" spans="1:12">
      <c r="A25" s="55">
        <v>18</v>
      </c>
      <c r="B25" s="55" t="s">
        <v>45</v>
      </c>
      <c r="C25" s="55">
        <v>287</v>
      </c>
      <c r="D25" s="55">
        <v>417</v>
      </c>
      <c r="E25" s="55">
        <v>1706</v>
      </c>
      <c r="F25" s="55">
        <v>2897</v>
      </c>
      <c r="G25" s="55">
        <v>-31.18</v>
      </c>
      <c r="H25" s="55">
        <v>-41.11</v>
      </c>
      <c r="I25" s="55">
        <v>1.01</v>
      </c>
      <c r="J25" s="55">
        <v>1.21</v>
      </c>
      <c r="K25" s="55">
        <v>1.6</v>
      </c>
      <c r="L25" s="55">
        <v>2.0099999999999998</v>
      </c>
    </row>
    <row r="26" spans="1:12">
      <c r="A26" s="55">
        <v>19</v>
      </c>
      <c r="B26" s="55" t="s">
        <v>645</v>
      </c>
      <c r="C26" s="55">
        <v>458</v>
      </c>
      <c r="D26" s="55">
        <v>226</v>
      </c>
      <c r="E26" s="55">
        <v>1656</v>
      </c>
      <c r="F26" s="55">
        <v>511</v>
      </c>
      <c r="G26" s="55">
        <v>102.65</v>
      </c>
      <c r="H26" s="55">
        <v>224.07</v>
      </c>
      <c r="I26" s="55">
        <v>1.62</v>
      </c>
      <c r="J26" s="55">
        <v>1.18</v>
      </c>
      <c r="K26" s="55">
        <v>0.87</v>
      </c>
      <c r="L26" s="55">
        <v>0.35</v>
      </c>
    </row>
    <row r="27" spans="1:12">
      <c r="A27" s="55">
        <v>20</v>
      </c>
      <c r="B27" s="55" t="s">
        <v>595</v>
      </c>
      <c r="C27" s="55">
        <v>433</v>
      </c>
      <c r="D27" s="55">
        <v>106</v>
      </c>
      <c r="E27" s="55">
        <v>1574</v>
      </c>
      <c r="F27" s="55">
        <v>1096</v>
      </c>
      <c r="G27" s="55">
        <v>308.49</v>
      </c>
      <c r="H27" s="55">
        <v>43.61</v>
      </c>
      <c r="I27" s="55">
        <v>1.53</v>
      </c>
      <c r="J27" s="55">
        <v>1.1200000000000001</v>
      </c>
      <c r="K27" s="55">
        <v>0.41</v>
      </c>
      <c r="L27" s="55">
        <v>0.76</v>
      </c>
    </row>
    <row r="28" spans="1:12">
      <c r="A28" s="55">
        <v>21</v>
      </c>
      <c r="B28" s="55" t="s">
        <v>418</v>
      </c>
      <c r="C28" s="55">
        <v>224</v>
      </c>
      <c r="D28" s="55">
        <v>108</v>
      </c>
      <c r="E28" s="55">
        <v>1453</v>
      </c>
      <c r="F28" s="55">
        <v>729</v>
      </c>
      <c r="G28" s="55">
        <v>107.41</v>
      </c>
      <c r="H28" s="55">
        <v>99.31</v>
      </c>
      <c r="I28" s="55">
        <v>0.79</v>
      </c>
      <c r="J28" s="55">
        <v>1.03</v>
      </c>
      <c r="K28" s="55">
        <v>0.41</v>
      </c>
      <c r="L28" s="55">
        <v>0.51</v>
      </c>
    </row>
    <row r="29" spans="1:12">
      <c r="A29" s="55">
        <v>22</v>
      </c>
      <c r="B29" s="55" t="s">
        <v>64</v>
      </c>
      <c r="C29" s="55">
        <v>296</v>
      </c>
      <c r="D29" s="55">
        <v>172</v>
      </c>
      <c r="E29" s="55">
        <v>1452</v>
      </c>
      <c r="F29" s="55">
        <v>800</v>
      </c>
      <c r="G29" s="55">
        <v>72.09</v>
      </c>
      <c r="H29" s="55">
        <v>81.5</v>
      </c>
      <c r="I29" s="55">
        <v>1.05</v>
      </c>
      <c r="J29" s="55">
        <v>1.03</v>
      </c>
      <c r="K29" s="55">
        <v>0.66</v>
      </c>
      <c r="L29" s="55">
        <v>0.55000000000000004</v>
      </c>
    </row>
    <row r="30" spans="1:12">
      <c r="A30" s="55">
        <v>23</v>
      </c>
      <c r="B30" s="55" t="s">
        <v>71</v>
      </c>
      <c r="C30" s="55">
        <v>412</v>
      </c>
      <c r="D30" s="55">
        <v>352</v>
      </c>
      <c r="E30" s="55">
        <v>1448</v>
      </c>
      <c r="F30" s="55">
        <v>1983</v>
      </c>
      <c r="G30" s="55">
        <v>17.05</v>
      </c>
      <c r="H30" s="55">
        <v>-26.98</v>
      </c>
      <c r="I30" s="55">
        <v>1.46</v>
      </c>
      <c r="J30" s="55">
        <v>1.03</v>
      </c>
      <c r="K30" s="55">
        <v>1.35</v>
      </c>
      <c r="L30" s="55">
        <v>1.38</v>
      </c>
    </row>
    <row r="31" spans="1:12">
      <c r="A31" s="55">
        <v>24</v>
      </c>
      <c r="B31" s="55" t="s">
        <v>38</v>
      </c>
      <c r="C31" s="55">
        <v>277</v>
      </c>
      <c r="D31" s="55">
        <v>376</v>
      </c>
      <c r="E31" s="55">
        <v>1434</v>
      </c>
      <c r="F31" s="55">
        <v>1510</v>
      </c>
      <c r="G31" s="55">
        <v>-26.33</v>
      </c>
      <c r="H31" s="55">
        <v>-5.03</v>
      </c>
      <c r="I31" s="55">
        <v>0.98</v>
      </c>
      <c r="J31" s="55">
        <v>1.02</v>
      </c>
      <c r="K31" s="55">
        <v>1.44</v>
      </c>
      <c r="L31" s="55">
        <v>1.05</v>
      </c>
    </row>
    <row r="32" spans="1:12">
      <c r="A32" s="55">
        <v>25</v>
      </c>
      <c r="B32" s="55" t="s">
        <v>54</v>
      </c>
      <c r="C32" s="55">
        <v>286</v>
      </c>
      <c r="D32" s="55">
        <v>186</v>
      </c>
      <c r="E32" s="55">
        <v>1419</v>
      </c>
      <c r="F32" s="55">
        <v>744</v>
      </c>
      <c r="G32" s="55">
        <v>53.76</v>
      </c>
      <c r="H32" s="55">
        <v>90.73</v>
      </c>
      <c r="I32" s="55">
        <v>1.01</v>
      </c>
      <c r="J32" s="55">
        <v>1.01</v>
      </c>
      <c r="K32" s="55">
        <v>0.71</v>
      </c>
      <c r="L32" s="55">
        <v>0.52</v>
      </c>
    </row>
    <row r="33" spans="1:12">
      <c r="A33" s="55">
        <v>26</v>
      </c>
      <c r="B33" s="55" t="s">
        <v>82</v>
      </c>
      <c r="C33" s="55">
        <v>171</v>
      </c>
      <c r="D33" s="55">
        <v>96</v>
      </c>
      <c r="E33" s="55">
        <v>1262</v>
      </c>
      <c r="F33" s="55">
        <v>874</v>
      </c>
      <c r="G33" s="55">
        <v>78.13</v>
      </c>
      <c r="H33" s="55">
        <v>44.39</v>
      </c>
      <c r="I33" s="55">
        <v>0.6</v>
      </c>
      <c r="J33" s="55">
        <v>0.9</v>
      </c>
      <c r="K33" s="55">
        <v>0.37</v>
      </c>
      <c r="L33" s="55">
        <v>0.61</v>
      </c>
    </row>
    <row r="34" spans="1:12">
      <c r="A34" s="55">
        <v>27</v>
      </c>
      <c r="B34" s="55" t="s">
        <v>84</v>
      </c>
      <c r="C34" s="55">
        <v>45</v>
      </c>
      <c r="D34" s="55">
        <v>531</v>
      </c>
      <c r="E34" s="55">
        <v>1252</v>
      </c>
      <c r="F34" s="55">
        <v>2379</v>
      </c>
      <c r="G34" s="55">
        <v>-91.53</v>
      </c>
      <c r="H34" s="55">
        <v>-47.37</v>
      </c>
      <c r="I34" s="55">
        <v>0.16</v>
      </c>
      <c r="J34" s="55">
        <v>0.89</v>
      </c>
      <c r="K34" s="55">
        <v>2.04</v>
      </c>
      <c r="L34" s="55">
        <v>1.65</v>
      </c>
    </row>
    <row r="35" spans="1:12">
      <c r="A35" s="55">
        <v>28</v>
      </c>
      <c r="B35" s="55" t="s">
        <v>67</v>
      </c>
      <c r="C35" s="55">
        <v>173</v>
      </c>
      <c r="D35" s="55">
        <v>226</v>
      </c>
      <c r="E35" s="55">
        <v>1221</v>
      </c>
      <c r="F35" s="55">
        <v>1141</v>
      </c>
      <c r="G35" s="55">
        <v>-23.45</v>
      </c>
      <c r="H35" s="55">
        <v>7.01</v>
      </c>
      <c r="I35" s="55">
        <v>0.61</v>
      </c>
      <c r="J35" s="55">
        <v>0.87</v>
      </c>
      <c r="K35" s="55">
        <v>0.87</v>
      </c>
      <c r="L35" s="55">
        <v>0.79</v>
      </c>
    </row>
    <row r="36" spans="1:12">
      <c r="A36" s="55">
        <v>29</v>
      </c>
      <c r="B36" s="55" t="s">
        <v>41</v>
      </c>
      <c r="C36" s="55">
        <v>275</v>
      </c>
      <c r="D36" s="55">
        <v>342</v>
      </c>
      <c r="E36" s="55">
        <v>1219</v>
      </c>
      <c r="F36" s="55">
        <v>2425</v>
      </c>
      <c r="G36" s="55">
        <v>-19.59</v>
      </c>
      <c r="H36" s="55">
        <v>-49.73</v>
      </c>
      <c r="I36" s="55">
        <v>0.97</v>
      </c>
      <c r="J36" s="55">
        <v>0.87</v>
      </c>
      <c r="K36" s="55">
        <v>1.31</v>
      </c>
      <c r="L36" s="55">
        <v>1.68</v>
      </c>
    </row>
    <row r="37" spans="1:12">
      <c r="A37" s="55">
        <v>30</v>
      </c>
      <c r="B37" s="55" t="s">
        <v>46</v>
      </c>
      <c r="C37" s="55">
        <v>241</v>
      </c>
      <c r="D37" s="55">
        <v>191</v>
      </c>
      <c r="E37" s="55">
        <v>1210</v>
      </c>
      <c r="F37" s="55">
        <v>1154</v>
      </c>
      <c r="G37" s="55">
        <v>26.18</v>
      </c>
      <c r="H37" s="55">
        <v>4.8499999999999996</v>
      </c>
      <c r="I37" s="55">
        <v>0.85</v>
      </c>
      <c r="J37" s="55">
        <v>0.86</v>
      </c>
      <c r="K37" s="55">
        <v>0.73</v>
      </c>
      <c r="L37" s="55">
        <v>0.8</v>
      </c>
    </row>
    <row r="38" spans="1:12">
      <c r="A38" s="55">
        <v>31</v>
      </c>
      <c r="B38" s="55" t="s">
        <v>695</v>
      </c>
      <c r="C38" s="55">
        <v>33</v>
      </c>
      <c r="D38" s="55">
        <v>72</v>
      </c>
      <c r="E38" s="55">
        <v>1188</v>
      </c>
      <c r="F38" s="55">
        <v>235</v>
      </c>
      <c r="G38" s="55">
        <v>-54.17</v>
      </c>
      <c r="H38" s="55">
        <v>405.53</v>
      </c>
      <c r="I38" s="55">
        <v>0.12</v>
      </c>
      <c r="J38" s="55">
        <v>0.84</v>
      </c>
      <c r="K38" s="55">
        <v>0.28000000000000003</v>
      </c>
      <c r="L38" s="55">
        <v>0.16</v>
      </c>
    </row>
    <row r="39" spans="1:12">
      <c r="A39" s="55">
        <v>32</v>
      </c>
      <c r="B39" s="55" t="s">
        <v>1013</v>
      </c>
      <c r="C39" s="55">
        <v>129</v>
      </c>
      <c r="D39" s="55">
        <v>0</v>
      </c>
      <c r="E39" s="55">
        <v>1150</v>
      </c>
      <c r="F39" s="55">
        <v>0</v>
      </c>
      <c r="G39" s="55">
        <v>0</v>
      </c>
      <c r="H39" s="55">
        <v>0</v>
      </c>
      <c r="I39" s="55">
        <v>0.46</v>
      </c>
      <c r="J39" s="55">
        <v>0.82</v>
      </c>
      <c r="K39" s="55">
        <v>0</v>
      </c>
      <c r="L39" s="55">
        <v>0</v>
      </c>
    </row>
    <row r="40" spans="1:12">
      <c r="A40" s="55">
        <v>33</v>
      </c>
      <c r="B40" s="55" t="s">
        <v>52</v>
      </c>
      <c r="C40" s="55">
        <v>129</v>
      </c>
      <c r="D40" s="55">
        <v>192</v>
      </c>
      <c r="E40" s="55">
        <v>1132</v>
      </c>
      <c r="F40" s="55">
        <v>1746</v>
      </c>
      <c r="G40" s="55">
        <v>-32.81</v>
      </c>
      <c r="H40" s="55">
        <v>-35.17</v>
      </c>
      <c r="I40" s="55">
        <v>0.46</v>
      </c>
      <c r="J40" s="55">
        <v>0.8</v>
      </c>
      <c r="K40" s="55">
        <v>0.74</v>
      </c>
      <c r="L40" s="55">
        <v>1.21</v>
      </c>
    </row>
    <row r="41" spans="1:12">
      <c r="A41" s="55">
        <v>34</v>
      </c>
      <c r="B41" s="55" t="s">
        <v>56</v>
      </c>
      <c r="C41" s="55">
        <v>150</v>
      </c>
      <c r="D41" s="55">
        <v>89</v>
      </c>
      <c r="E41" s="55">
        <v>1125</v>
      </c>
      <c r="F41" s="55">
        <v>960</v>
      </c>
      <c r="G41" s="55">
        <v>68.540000000000006</v>
      </c>
      <c r="H41" s="55">
        <v>17.190000000000001</v>
      </c>
      <c r="I41" s="55">
        <v>0.53</v>
      </c>
      <c r="J41" s="55">
        <v>0.8</v>
      </c>
      <c r="K41" s="55">
        <v>0.34</v>
      </c>
      <c r="L41" s="55">
        <v>0.67</v>
      </c>
    </row>
    <row r="42" spans="1:12">
      <c r="A42" s="55">
        <v>35</v>
      </c>
      <c r="B42" s="55" t="s">
        <v>70</v>
      </c>
      <c r="C42" s="55">
        <v>169</v>
      </c>
      <c r="D42" s="55">
        <v>143</v>
      </c>
      <c r="E42" s="55">
        <v>1014</v>
      </c>
      <c r="F42" s="55">
        <v>1229</v>
      </c>
      <c r="G42" s="55">
        <v>18.18</v>
      </c>
      <c r="H42" s="55">
        <v>-17.489999999999998</v>
      </c>
      <c r="I42" s="55">
        <v>0.6</v>
      </c>
      <c r="J42" s="55">
        <v>0.72</v>
      </c>
      <c r="K42" s="55">
        <v>0.55000000000000004</v>
      </c>
      <c r="L42" s="55">
        <v>0.85</v>
      </c>
    </row>
    <row r="43" spans="1:12">
      <c r="A43" s="55">
        <v>36</v>
      </c>
      <c r="B43" s="55" t="s">
        <v>57</v>
      </c>
      <c r="C43" s="55">
        <v>211</v>
      </c>
      <c r="D43" s="55">
        <v>273</v>
      </c>
      <c r="E43" s="55">
        <v>999</v>
      </c>
      <c r="F43" s="55">
        <v>1098</v>
      </c>
      <c r="G43" s="55">
        <v>-22.71</v>
      </c>
      <c r="H43" s="55">
        <v>-9.02</v>
      </c>
      <c r="I43" s="55">
        <v>0.75</v>
      </c>
      <c r="J43" s="55">
        <v>0.71</v>
      </c>
      <c r="K43" s="55">
        <v>1.05</v>
      </c>
      <c r="L43" s="55">
        <v>0.76</v>
      </c>
    </row>
    <row r="44" spans="1:12">
      <c r="A44" s="55">
        <v>37</v>
      </c>
      <c r="B44" s="55" t="s">
        <v>40</v>
      </c>
      <c r="C44" s="55">
        <v>246</v>
      </c>
      <c r="D44" s="55">
        <v>333</v>
      </c>
      <c r="E44" s="55">
        <v>994</v>
      </c>
      <c r="F44" s="55">
        <v>1917</v>
      </c>
      <c r="G44" s="55">
        <v>-26.13</v>
      </c>
      <c r="H44" s="55">
        <v>-48.15</v>
      </c>
      <c r="I44" s="55">
        <v>0.87</v>
      </c>
      <c r="J44" s="55">
        <v>0.71</v>
      </c>
      <c r="K44" s="55">
        <v>1.28</v>
      </c>
      <c r="L44" s="55">
        <v>1.33</v>
      </c>
    </row>
    <row r="45" spans="1:12">
      <c r="A45" s="55">
        <v>38</v>
      </c>
      <c r="B45" s="55" t="s">
        <v>572</v>
      </c>
      <c r="C45" s="55">
        <v>200</v>
      </c>
      <c r="D45" s="55">
        <v>139</v>
      </c>
      <c r="E45" s="55">
        <v>986</v>
      </c>
      <c r="F45" s="55">
        <v>1097</v>
      </c>
      <c r="G45" s="55">
        <v>43.88</v>
      </c>
      <c r="H45" s="55">
        <v>-10.119999999999999</v>
      </c>
      <c r="I45" s="55">
        <v>0.71</v>
      </c>
      <c r="J45" s="55">
        <v>0.7</v>
      </c>
      <c r="K45" s="55">
        <v>0.53</v>
      </c>
      <c r="L45" s="55">
        <v>0.76</v>
      </c>
    </row>
    <row r="46" spans="1:12">
      <c r="A46" s="55">
        <v>39</v>
      </c>
      <c r="B46" s="55" t="s">
        <v>72</v>
      </c>
      <c r="C46" s="55">
        <v>165</v>
      </c>
      <c r="D46" s="55">
        <v>94</v>
      </c>
      <c r="E46" s="55">
        <v>984</v>
      </c>
      <c r="F46" s="55">
        <v>910</v>
      </c>
      <c r="G46" s="55">
        <v>75.53</v>
      </c>
      <c r="H46" s="55">
        <v>8.1300000000000008</v>
      </c>
      <c r="I46" s="55">
        <v>0.57999999999999996</v>
      </c>
      <c r="J46" s="55">
        <v>0.7</v>
      </c>
      <c r="K46" s="55">
        <v>0.36</v>
      </c>
      <c r="L46" s="55">
        <v>0.63</v>
      </c>
    </row>
    <row r="47" spans="1:12">
      <c r="A47" s="55">
        <v>40</v>
      </c>
      <c r="B47" s="55" t="s">
        <v>44</v>
      </c>
      <c r="C47" s="55">
        <v>142</v>
      </c>
      <c r="D47" s="55">
        <v>176</v>
      </c>
      <c r="E47" s="55">
        <v>976</v>
      </c>
      <c r="F47" s="55">
        <v>1047</v>
      </c>
      <c r="G47" s="55">
        <v>-19.32</v>
      </c>
      <c r="H47" s="55">
        <v>-6.78</v>
      </c>
      <c r="I47" s="55">
        <v>0.5</v>
      </c>
      <c r="J47" s="55">
        <v>0.69</v>
      </c>
      <c r="K47" s="55">
        <v>0.67</v>
      </c>
      <c r="L47" s="55">
        <v>0.73</v>
      </c>
    </row>
    <row r="48" spans="1:12">
      <c r="A48" s="55">
        <v>41</v>
      </c>
      <c r="B48" s="55" t="s">
        <v>104</v>
      </c>
      <c r="C48" s="55">
        <v>116</v>
      </c>
      <c r="D48" s="55">
        <v>62</v>
      </c>
      <c r="E48" s="55">
        <v>942</v>
      </c>
      <c r="F48" s="55">
        <v>271</v>
      </c>
      <c r="G48" s="55">
        <v>87.1</v>
      </c>
      <c r="H48" s="55">
        <v>247.6</v>
      </c>
      <c r="I48" s="55">
        <v>0.41</v>
      </c>
      <c r="J48" s="55">
        <v>0.67</v>
      </c>
      <c r="K48" s="55">
        <v>0.24</v>
      </c>
      <c r="L48" s="55">
        <v>0.19</v>
      </c>
    </row>
    <row r="49" spans="1:12">
      <c r="A49" s="55">
        <v>42</v>
      </c>
      <c r="B49" s="55" t="s">
        <v>1008</v>
      </c>
      <c r="C49" s="55">
        <v>272</v>
      </c>
      <c r="D49" s="55">
        <v>0</v>
      </c>
      <c r="E49" s="55">
        <v>935</v>
      </c>
      <c r="F49" s="55">
        <v>0</v>
      </c>
      <c r="G49" s="55">
        <v>0</v>
      </c>
      <c r="H49" s="55">
        <v>0</v>
      </c>
      <c r="I49" s="55">
        <v>0.96</v>
      </c>
      <c r="J49" s="55">
        <v>0.66</v>
      </c>
      <c r="K49" s="55">
        <v>0</v>
      </c>
      <c r="L49" s="55">
        <v>0</v>
      </c>
    </row>
    <row r="50" spans="1:12">
      <c r="A50" s="55">
        <v>43</v>
      </c>
      <c r="B50" s="55" t="s">
        <v>51</v>
      </c>
      <c r="C50" s="55">
        <v>117</v>
      </c>
      <c r="D50" s="55">
        <v>220</v>
      </c>
      <c r="E50" s="55">
        <v>930</v>
      </c>
      <c r="F50" s="55">
        <v>1352</v>
      </c>
      <c r="G50" s="55">
        <v>-46.82</v>
      </c>
      <c r="H50" s="55">
        <v>-31.21</v>
      </c>
      <c r="I50" s="55">
        <v>0.41</v>
      </c>
      <c r="J50" s="55">
        <v>0.66</v>
      </c>
      <c r="K50" s="55">
        <v>0.84</v>
      </c>
      <c r="L50" s="55">
        <v>0.94</v>
      </c>
    </row>
    <row r="51" spans="1:12">
      <c r="A51" s="55">
        <v>44</v>
      </c>
      <c r="B51" s="55" t="s">
        <v>78</v>
      </c>
      <c r="C51" s="55">
        <v>112</v>
      </c>
      <c r="D51" s="55">
        <v>245</v>
      </c>
      <c r="E51" s="55">
        <v>922</v>
      </c>
      <c r="F51" s="55">
        <v>1228</v>
      </c>
      <c r="G51" s="55">
        <v>-54.29</v>
      </c>
      <c r="H51" s="55">
        <v>-24.92</v>
      </c>
      <c r="I51" s="55">
        <v>0.4</v>
      </c>
      <c r="J51" s="55">
        <v>0.66</v>
      </c>
      <c r="K51" s="55">
        <v>0.94</v>
      </c>
      <c r="L51" s="55">
        <v>0.85</v>
      </c>
    </row>
    <row r="52" spans="1:12">
      <c r="A52" s="55">
        <v>45</v>
      </c>
      <c r="B52" s="55" t="s">
        <v>49</v>
      </c>
      <c r="C52" s="55">
        <v>121</v>
      </c>
      <c r="D52" s="55">
        <v>168</v>
      </c>
      <c r="E52" s="55">
        <v>919</v>
      </c>
      <c r="F52" s="55">
        <v>1508</v>
      </c>
      <c r="G52" s="55">
        <v>-27.98</v>
      </c>
      <c r="H52" s="55">
        <v>-39.06</v>
      </c>
      <c r="I52" s="55">
        <v>0.43</v>
      </c>
      <c r="J52" s="55">
        <v>0.65</v>
      </c>
      <c r="K52" s="55">
        <v>0.64</v>
      </c>
      <c r="L52" s="55">
        <v>1.05</v>
      </c>
    </row>
    <row r="53" spans="1:12">
      <c r="A53" s="55">
        <v>46</v>
      </c>
      <c r="B53" s="55" t="s">
        <v>117</v>
      </c>
      <c r="C53" s="55">
        <v>226</v>
      </c>
      <c r="D53" s="55">
        <v>137</v>
      </c>
      <c r="E53" s="55">
        <v>916</v>
      </c>
      <c r="F53" s="55">
        <v>796</v>
      </c>
      <c r="G53" s="55">
        <v>64.959999999999994</v>
      </c>
      <c r="H53" s="55">
        <v>15.08</v>
      </c>
      <c r="I53" s="55">
        <v>0.8</v>
      </c>
      <c r="J53" s="55">
        <v>0.65</v>
      </c>
      <c r="K53" s="55">
        <v>0.53</v>
      </c>
      <c r="L53" s="55">
        <v>0.55000000000000004</v>
      </c>
    </row>
    <row r="54" spans="1:12">
      <c r="A54" s="55">
        <v>47</v>
      </c>
      <c r="B54" s="55" t="s">
        <v>74</v>
      </c>
      <c r="C54" s="55">
        <v>203</v>
      </c>
      <c r="D54" s="55">
        <v>282</v>
      </c>
      <c r="E54" s="55">
        <v>915</v>
      </c>
      <c r="F54" s="55">
        <v>1227</v>
      </c>
      <c r="G54" s="55">
        <v>-28.01</v>
      </c>
      <c r="H54" s="55">
        <v>-25.43</v>
      </c>
      <c r="I54" s="55">
        <v>0.72</v>
      </c>
      <c r="J54" s="55">
        <v>0.65</v>
      </c>
      <c r="K54" s="55">
        <v>1.08</v>
      </c>
      <c r="L54" s="55">
        <v>0.85</v>
      </c>
    </row>
    <row r="55" spans="1:12">
      <c r="A55" s="55">
        <v>48</v>
      </c>
      <c r="B55" s="55" t="s">
        <v>483</v>
      </c>
      <c r="C55" s="55">
        <v>357</v>
      </c>
      <c r="D55" s="55">
        <v>251</v>
      </c>
      <c r="E55" s="55">
        <v>901</v>
      </c>
      <c r="F55" s="55">
        <v>610</v>
      </c>
      <c r="G55" s="55">
        <v>42.23</v>
      </c>
      <c r="H55" s="55">
        <v>47.7</v>
      </c>
      <c r="I55" s="55">
        <v>1.26</v>
      </c>
      <c r="J55" s="55">
        <v>0.64</v>
      </c>
      <c r="K55" s="55">
        <v>0.96</v>
      </c>
      <c r="L55" s="55">
        <v>0.42</v>
      </c>
    </row>
    <row r="56" spans="1:12">
      <c r="A56" s="55">
        <v>49</v>
      </c>
      <c r="B56" s="55" t="s">
        <v>644</v>
      </c>
      <c r="C56" s="55">
        <v>254</v>
      </c>
      <c r="D56" s="55">
        <v>162</v>
      </c>
      <c r="E56" s="55">
        <v>886</v>
      </c>
      <c r="F56" s="55">
        <v>782</v>
      </c>
      <c r="G56" s="55">
        <v>56.79</v>
      </c>
      <c r="H56" s="55">
        <v>13.3</v>
      </c>
      <c r="I56" s="55">
        <v>0.9</v>
      </c>
      <c r="J56" s="55">
        <v>0.63</v>
      </c>
      <c r="K56" s="55">
        <v>0.62</v>
      </c>
      <c r="L56" s="55">
        <v>0.54</v>
      </c>
    </row>
    <row r="57" spans="1:12">
      <c r="A57" s="55">
        <v>50</v>
      </c>
      <c r="B57" s="55" t="s">
        <v>87</v>
      </c>
      <c r="C57" s="55">
        <v>133</v>
      </c>
      <c r="D57" s="55">
        <v>130</v>
      </c>
      <c r="E57" s="55">
        <v>864</v>
      </c>
      <c r="F57" s="55">
        <v>940</v>
      </c>
      <c r="G57" s="55">
        <v>2.31</v>
      </c>
      <c r="H57" s="55">
        <v>-8.09</v>
      </c>
      <c r="I57" s="55">
        <v>0.47</v>
      </c>
      <c r="J57" s="55">
        <v>0.61</v>
      </c>
      <c r="K57" s="55">
        <v>0.5</v>
      </c>
      <c r="L57" s="55">
        <v>0.65</v>
      </c>
    </row>
    <row r="58" spans="1:12">
      <c r="A58" s="55">
        <v>51</v>
      </c>
      <c r="B58" s="55" t="s">
        <v>53</v>
      </c>
      <c r="C58" s="55">
        <v>267</v>
      </c>
      <c r="D58" s="55">
        <v>221</v>
      </c>
      <c r="E58" s="55">
        <v>863</v>
      </c>
      <c r="F58" s="55">
        <v>967</v>
      </c>
      <c r="G58" s="55">
        <v>20.81</v>
      </c>
      <c r="H58" s="55">
        <v>-10.75</v>
      </c>
      <c r="I58" s="55">
        <v>0.94</v>
      </c>
      <c r="J58" s="55">
        <v>0.61</v>
      </c>
      <c r="K58" s="55">
        <v>0.85</v>
      </c>
      <c r="L58" s="55">
        <v>0.67</v>
      </c>
    </row>
    <row r="59" spans="1:12">
      <c r="A59" s="55">
        <v>52</v>
      </c>
      <c r="B59" s="55" t="s">
        <v>94</v>
      </c>
      <c r="C59" s="55">
        <v>162</v>
      </c>
      <c r="D59" s="55">
        <v>68</v>
      </c>
      <c r="E59" s="55">
        <v>862</v>
      </c>
      <c r="F59" s="55">
        <v>1518</v>
      </c>
      <c r="G59" s="55">
        <v>138.24</v>
      </c>
      <c r="H59" s="55">
        <v>-43.21</v>
      </c>
      <c r="I59" s="55">
        <v>0.56999999999999995</v>
      </c>
      <c r="J59" s="55">
        <v>0.61</v>
      </c>
      <c r="K59" s="55">
        <v>0.26</v>
      </c>
      <c r="L59" s="55">
        <v>1.05</v>
      </c>
    </row>
    <row r="60" spans="1:12">
      <c r="A60" s="55">
        <v>53</v>
      </c>
      <c r="B60" s="55" t="s">
        <v>697</v>
      </c>
      <c r="C60" s="55">
        <v>280</v>
      </c>
      <c r="D60" s="55">
        <v>92</v>
      </c>
      <c r="E60" s="55">
        <v>834</v>
      </c>
      <c r="F60" s="55">
        <v>165</v>
      </c>
      <c r="G60" s="55">
        <v>204.35</v>
      </c>
      <c r="H60" s="55">
        <v>405.45</v>
      </c>
      <c r="I60" s="55">
        <v>0.99</v>
      </c>
      <c r="J60" s="55">
        <v>0.59</v>
      </c>
      <c r="K60" s="55">
        <v>0.35</v>
      </c>
      <c r="L60" s="55">
        <v>0.11</v>
      </c>
    </row>
    <row r="61" spans="1:12">
      <c r="A61" s="55">
        <v>54</v>
      </c>
      <c r="B61" s="55" t="s">
        <v>61</v>
      </c>
      <c r="C61" s="55">
        <v>182</v>
      </c>
      <c r="D61" s="55">
        <v>264</v>
      </c>
      <c r="E61" s="55">
        <v>802</v>
      </c>
      <c r="F61" s="55">
        <v>1209</v>
      </c>
      <c r="G61" s="55">
        <v>-31.06</v>
      </c>
      <c r="H61" s="55">
        <v>-33.659999999999997</v>
      </c>
      <c r="I61" s="55">
        <v>0.64</v>
      </c>
      <c r="J61" s="55">
        <v>0.56999999999999995</v>
      </c>
      <c r="K61" s="55">
        <v>1.01</v>
      </c>
      <c r="L61" s="55">
        <v>0.84</v>
      </c>
    </row>
    <row r="62" spans="1:12">
      <c r="A62" s="55">
        <v>55</v>
      </c>
      <c r="B62" s="55" t="s">
        <v>984</v>
      </c>
      <c r="C62" s="55">
        <v>62</v>
      </c>
      <c r="D62" s="55">
        <v>0</v>
      </c>
      <c r="E62" s="55">
        <v>799</v>
      </c>
      <c r="F62" s="55">
        <v>0</v>
      </c>
      <c r="G62" s="55">
        <v>0</v>
      </c>
      <c r="H62" s="55">
        <v>0</v>
      </c>
      <c r="I62" s="55">
        <v>0.22</v>
      </c>
      <c r="J62" s="55">
        <v>0.56999999999999995</v>
      </c>
      <c r="K62" s="55">
        <v>0</v>
      </c>
      <c r="L62" s="55">
        <v>0</v>
      </c>
    </row>
    <row r="63" spans="1:12">
      <c r="A63" s="55">
        <v>56</v>
      </c>
      <c r="B63" s="55" t="s">
        <v>571</v>
      </c>
      <c r="C63" s="55">
        <v>210</v>
      </c>
      <c r="D63" s="55">
        <v>42</v>
      </c>
      <c r="E63" s="55">
        <v>796</v>
      </c>
      <c r="F63" s="55">
        <v>865</v>
      </c>
      <c r="G63" s="55">
        <v>400</v>
      </c>
      <c r="H63" s="55">
        <v>-7.98</v>
      </c>
      <c r="I63" s="55">
        <v>0.74</v>
      </c>
      <c r="J63" s="55">
        <v>0.56999999999999995</v>
      </c>
      <c r="K63" s="55">
        <v>0.16</v>
      </c>
      <c r="L63" s="55">
        <v>0.6</v>
      </c>
    </row>
    <row r="64" spans="1:12">
      <c r="A64" s="55">
        <v>57</v>
      </c>
      <c r="B64" s="55" t="s">
        <v>48</v>
      </c>
      <c r="C64" s="55">
        <v>166</v>
      </c>
      <c r="D64" s="55">
        <v>183</v>
      </c>
      <c r="E64" s="55">
        <v>796</v>
      </c>
      <c r="F64" s="55">
        <v>791</v>
      </c>
      <c r="G64" s="55">
        <v>-9.2899999999999991</v>
      </c>
      <c r="H64" s="55">
        <v>0.63</v>
      </c>
      <c r="I64" s="55">
        <v>0.59</v>
      </c>
      <c r="J64" s="55">
        <v>0.56999999999999995</v>
      </c>
      <c r="K64" s="55">
        <v>0.7</v>
      </c>
      <c r="L64" s="55">
        <v>0.55000000000000004</v>
      </c>
    </row>
    <row r="65" spans="1:12">
      <c r="A65" s="55">
        <v>58</v>
      </c>
      <c r="B65" s="55" t="s">
        <v>99</v>
      </c>
      <c r="C65" s="55">
        <v>83</v>
      </c>
      <c r="D65" s="55">
        <v>143</v>
      </c>
      <c r="E65" s="55">
        <v>792</v>
      </c>
      <c r="F65" s="55">
        <v>1086</v>
      </c>
      <c r="G65" s="55">
        <v>-41.96</v>
      </c>
      <c r="H65" s="55">
        <v>-27.07</v>
      </c>
      <c r="I65" s="55">
        <v>0.28999999999999998</v>
      </c>
      <c r="J65" s="55">
        <v>0.56000000000000005</v>
      </c>
      <c r="K65" s="55">
        <v>0.55000000000000004</v>
      </c>
      <c r="L65" s="55">
        <v>0.75</v>
      </c>
    </row>
    <row r="66" spans="1:12">
      <c r="A66" s="55">
        <v>59</v>
      </c>
      <c r="B66" s="55" t="s">
        <v>93</v>
      </c>
      <c r="C66" s="55">
        <v>111</v>
      </c>
      <c r="D66" s="55">
        <v>26</v>
      </c>
      <c r="E66" s="55">
        <v>776</v>
      </c>
      <c r="F66" s="55">
        <v>310</v>
      </c>
      <c r="G66" s="55">
        <v>326.92</v>
      </c>
      <c r="H66" s="55">
        <v>150.32</v>
      </c>
      <c r="I66" s="55">
        <v>0.39</v>
      </c>
      <c r="J66" s="55">
        <v>0.55000000000000004</v>
      </c>
      <c r="K66" s="55">
        <v>0.1</v>
      </c>
      <c r="L66" s="55">
        <v>0.22</v>
      </c>
    </row>
    <row r="67" spans="1:12">
      <c r="A67" s="55">
        <v>60</v>
      </c>
      <c r="B67" s="55" t="s">
        <v>636</v>
      </c>
      <c r="C67" s="55">
        <v>13</v>
      </c>
      <c r="D67" s="55">
        <v>151</v>
      </c>
      <c r="E67" s="55">
        <v>760</v>
      </c>
      <c r="F67" s="55">
        <v>614</v>
      </c>
      <c r="G67" s="55">
        <v>-91.39</v>
      </c>
      <c r="H67" s="55">
        <v>23.78</v>
      </c>
      <c r="I67" s="55">
        <v>0.05</v>
      </c>
      <c r="J67" s="55">
        <v>0.54</v>
      </c>
      <c r="K67" s="55">
        <v>0.57999999999999996</v>
      </c>
      <c r="L67" s="55">
        <v>0.43</v>
      </c>
    </row>
    <row r="68" spans="1:12">
      <c r="A68" s="55">
        <v>61</v>
      </c>
      <c r="B68" s="55" t="s">
        <v>137</v>
      </c>
      <c r="C68" s="55">
        <v>175</v>
      </c>
      <c r="D68" s="55">
        <v>387</v>
      </c>
      <c r="E68" s="55">
        <v>759</v>
      </c>
      <c r="F68" s="55">
        <v>1112</v>
      </c>
      <c r="G68" s="55">
        <v>-54.78</v>
      </c>
      <c r="H68" s="55">
        <v>-31.74</v>
      </c>
      <c r="I68" s="55">
        <v>0.62</v>
      </c>
      <c r="J68" s="55">
        <v>0.54</v>
      </c>
      <c r="K68" s="55">
        <v>1.48</v>
      </c>
      <c r="L68" s="55">
        <v>0.77</v>
      </c>
    </row>
    <row r="69" spans="1:12">
      <c r="A69" s="55">
        <v>62</v>
      </c>
      <c r="B69" s="55" t="s">
        <v>60</v>
      </c>
      <c r="C69" s="55">
        <v>83</v>
      </c>
      <c r="D69" s="55">
        <v>157</v>
      </c>
      <c r="E69" s="55">
        <v>741</v>
      </c>
      <c r="F69" s="55">
        <v>778</v>
      </c>
      <c r="G69" s="55">
        <v>-47.13</v>
      </c>
      <c r="H69" s="55">
        <v>-4.76</v>
      </c>
      <c r="I69" s="55">
        <v>0.28999999999999998</v>
      </c>
      <c r="J69" s="55">
        <v>0.53</v>
      </c>
      <c r="K69" s="55">
        <v>0.6</v>
      </c>
      <c r="L69" s="55">
        <v>0.54</v>
      </c>
    </row>
    <row r="70" spans="1:12">
      <c r="A70" s="55">
        <v>63</v>
      </c>
      <c r="B70" s="55" t="s">
        <v>58</v>
      </c>
      <c r="C70" s="55">
        <v>215</v>
      </c>
      <c r="D70" s="55">
        <v>71</v>
      </c>
      <c r="E70" s="55">
        <v>709</v>
      </c>
      <c r="F70" s="55">
        <v>739</v>
      </c>
      <c r="G70" s="55">
        <v>202.82</v>
      </c>
      <c r="H70" s="55">
        <v>-4.0599999999999996</v>
      </c>
      <c r="I70" s="55">
        <v>0.76</v>
      </c>
      <c r="J70" s="55">
        <v>0.5</v>
      </c>
      <c r="K70" s="55">
        <v>0.27</v>
      </c>
      <c r="L70" s="55">
        <v>0.51</v>
      </c>
    </row>
    <row r="71" spans="1:12">
      <c r="A71" s="55">
        <v>64</v>
      </c>
      <c r="B71" s="55" t="s">
        <v>1132</v>
      </c>
      <c r="C71" s="55">
        <v>148</v>
      </c>
      <c r="D71" s="55">
        <v>95</v>
      </c>
      <c r="E71" s="55">
        <v>688</v>
      </c>
      <c r="F71" s="55">
        <v>95</v>
      </c>
      <c r="G71" s="55">
        <v>55.79</v>
      </c>
      <c r="H71" s="55">
        <v>624.21</v>
      </c>
      <c r="I71" s="55">
        <v>0.52</v>
      </c>
      <c r="J71" s="55">
        <v>0.49</v>
      </c>
      <c r="K71" s="55">
        <v>0.36</v>
      </c>
      <c r="L71" s="55">
        <v>7.0000000000000007E-2</v>
      </c>
    </row>
    <row r="72" spans="1:12">
      <c r="A72" s="55">
        <v>65</v>
      </c>
      <c r="B72" s="55" t="s">
        <v>195</v>
      </c>
      <c r="C72" s="55">
        <v>131</v>
      </c>
      <c r="D72" s="55">
        <v>91</v>
      </c>
      <c r="E72" s="55">
        <v>683</v>
      </c>
      <c r="F72" s="55">
        <v>534</v>
      </c>
      <c r="G72" s="55">
        <v>43.96</v>
      </c>
      <c r="H72" s="55">
        <v>27.9</v>
      </c>
      <c r="I72" s="55">
        <v>0.46</v>
      </c>
      <c r="J72" s="55">
        <v>0.49</v>
      </c>
      <c r="K72" s="55">
        <v>0.35</v>
      </c>
      <c r="L72" s="55">
        <v>0.37</v>
      </c>
    </row>
    <row r="73" spans="1:12">
      <c r="A73" s="55">
        <v>66</v>
      </c>
      <c r="B73" s="55" t="s">
        <v>119</v>
      </c>
      <c r="C73" s="55">
        <v>132</v>
      </c>
      <c r="D73" s="55">
        <v>34</v>
      </c>
      <c r="E73" s="55">
        <v>679</v>
      </c>
      <c r="F73" s="55">
        <v>512</v>
      </c>
      <c r="G73" s="55">
        <v>288.24</v>
      </c>
      <c r="H73" s="55">
        <v>32.619999999999997</v>
      </c>
      <c r="I73" s="55">
        <v>0.47</v>
      </c>
      <c r="J73" s="55">
        <v>0.48</v>
      </c>
      <c r="K73" s="55">
        <v>0.13</v>
      </c>
      <c r="L73" s="55">
        <v>0.36</v>
      </c>
    </row>
    <row r="74" spans="1:12">
      <c r="A74" s="55">
        <v>67</v>
      </c>
      <c r="B74" s="55" t="s">
        <v>1024</v>
      </c>
      <c r="C74" s="55">
        <v>302</v>
      </c>
      <c r="D74" s="55">
        <v>0</v>
      </c>
      <c r="E74" s="55">
        <v>675</v>
      </c>
      <c r="F74" s="55">
        <v>0</v>
      </c>
      <c r="G74" s="55">
        <v>0</v>
      </c>
      <c r="H74" s="55">
        <v>0</v>
      </c>
      <c r="I74" s="55">
        <v>1.07</v>
      </c>
      <c r="J74" s="55">
        <v>0.48</v>
      </c>
      <c r="K74" s="55">
        <v>0</v>
      </c>
      <c r="L74" s="55">
        <v>0</v>
      </c>
    </row>
    <row r="75" spans="1:12">
      <c r="A75" s="55">
        <v>68</v>
      </c>
      <c r="B75" s="55" t="s">
        <v>63</v>
      </c>
      <c r="C75" s="55">
        <v>135</v>
      </c>
      <c r="D75" s="55">
        <v>149</v>
      </c>
      <c r="E75" s="55">
        <v>663</v>
      </c>
      <c r="F75" s="55">
        <v>891</v>
      </c>
      <c r="G75" s="55">
        <v>-9.4</v>
      </c>
      <c r="H75" s="55">
        <v>-25.59</v>
      </c>
      <c r="I75" s="55">
        <v>0.48</v>
      </c>
      <c r="J75" s="55">
        <v>0.47</v>
      </c>
      <c r="K75" s="55">
        <v>0.56999999999999995</v>
      </c>
      <c r="L75" s="55">
        <v>0.62</v>
      </c>
    </row>
    <row r="76" spans="1:12">
      <c r="A76" s="55">
        <v>69</v>
      </c>
      <c r="B76" s="55" t="s">
        <v>90</v>
      </c>
      <c r="C76" s="55">
        <v>132</v>
      </c>
      <c r="D76" s="55">
        <v>104</v>
      </c>
      <c r="E76" s="55">
        <v>638</v>
      </c>
      <c r="F76" s="55">
        <v>892</v>
      </c>
      <c r="G76" s="55">
        <v>26.92</v>
      </c>
      <c r="H76" s="55">
        <v>-28.48</v>
      </c>
      <c r="I76" s="55">
        <v>0.47</v>
      </c>
      <c r="J76" s="55">
        <v>0.45</v>
      </c>
      <c r="K76" s="55">
        <v>0.4</v>
      </c>
      <c r="L76" s="55">
        <v>0.62</v>
      </c>
    </row>
    <row r="77" spans="1:12">
      <c r="A77" s="55">
        <v>70</v>
      </c>
      <c r="B77" s="55" t="s">
        <v>696</v>
      </c>
      <c r="C77" s="55">
        <v>157</v>
      </c>
      <c r="D77" s="55">
        <v>165</v>
      </c>
      <c r="E77" s="55">
        <v>618</v>
      </c>
      <c r="F77" s="55">
        <v>349</v>
      </c>
      <c r="G77" s="55">
        <v>-4.8499999999999996</v>
      </c>
      <c r="H77" s="55">
        <v>77.08</v>
      </c>
      <c r="I77" s="55">
        <v>0.56000000000000005</v>
      </c>
      <c r="J77" s="55">
        <v>0.44</v>
      </c>
      <c r="K77" s="55">
        <v>0.63</v>
      </c>
      <c r="L77" s="55">
        <v>0.24</v>
      </c>
    </row>
    <row r="78" spans="1:12">
      <c r="A78" s="55">
        <v>71</v>
      </c>
      <c r="B78" s="55" t="s">
        <v>59</v>
      </c>
      <c r="C78" s="55">
        <v>165</v>
      </c>
      <c r="D78" s="55">
        <v>87</v>
      </c>
      <c r="E78" s="55">
        <v>601</v>
      </c>
      <c r="F78" s="55">
        <v>800</v>
      </c>
      <c r="G78" s="55">
        <v>89.66</v>
      </c>
      <c r="H78" s="55">
        <v>-24.88</v>
      </c>
      <c r="I78" s="55">
        <v>0.57999999999999996</v>
      </c>
      <c r="J78" s="55">
        <v>0.43</v>
      </c>
      <c r="K78" s="55">
        <v>0.33</v>
      </c>
      <c r="L78" s="55">
        <v>0.55000000000000004</v>
      </c>
    </row>
    <row r="79" spans="1:12">
      <c r="A79" s="55">
        <v>72</v>
      </c>
      <c r="B79" s="55" t="s">
        <v>75</v>
      </c>
      <c r="C79" s="55">
        <v>151</v>
      </c>
      <c r="D79" s="55">
        <v>88</v>
      </c>
      <c r="E79" s="55">
        <v>579</v>
      </c>
      <c r="F79" s="55">
        <v>603</v>
      </c>
      <c r="G79" s="55">
        <v>71.59</v>
      </c>
      <c r="H79" s="55">
        <v>-3.98</v>
      </c>
      <c r="I79" s="55">
        <v>0.53</v>
      </c>
      <c r="J79" s="55">
        <v>0.41</v>
      </c>
      <c r="K79" s="55">
        <v>0.34</v>
      </c>
      <c r="L79" s="55">
        <v>0.42</v>
      </c>
    </row>
    <row r="80" spans="1:12">
      <c r="A80" s="55">
        <v>73</v>
      </c>
      <c r="B80" s="55" t="s">
        <v>76</v>
      </c>
      <c r="C80" s="55">
        <v>122</v>
      </c>
      <c r="D80" s="55">
        <v>98</v>
      </c>
      <c r="E80" s="55">
        <v>578</v>
      </c>
      <c r="F80" s="55">
        <v>607</v>
      </c>
      <c r="G80" s="55">
        <v>24.49</v>
      </c>
      <c r="H80" s="55">
        <v>-4.78</v>
      </c>
      <c r="I80" s="55">
        <v>0.43</v>
      </c>
      <c r="J80" s="55">
        <v>0.41</v>
      </c>
      <c r="K80" s="55">
        <v>0.38</v>
      </c>
      <c r="L80" s="55">
        <v>0.42</v>
      </c>
    </row>
    <row r="81" spans="1:12">
      <c r="A81" s="55">
        <v>74</v>
      </c>
      <c r="B81" s="55" t="s">
        <v>77</v>
      </c>
      <c r="C81" s="55">
        <v>91</v>
      </c>
      <c r="D81" s="55">
        <v>143</v>
      </c>
      <c r="E81" s="55">
        <v>576</v>
      </c>
      <c r="F81" s="55">
        <v>551</v>
      </c>
      <c r="G81" s="55">
        <v>-36.36</v>
      </c>
      <c r="H81" s="55">
        <v>4.54</v>
      </c>
      <c r="I81" s="55">
        <v>0.32</v>
      </c>
      <c r="J81" s="55">
        <v>0.41</v>
      </c>
      <c r="K81" s="55">
        <v>0.55000000000000004</v>
      </c>
      <c r="L81" s="55">
        <v>0.38</v>
      </c>
    </row>
    <row r="82" spans="1:12">
      <c r="A82" s="55">
        <v>75</v>
      </c>
      <c r="B82" s="55" t="s">
        <v>148</v>
      </c>
      <c r="C82" s="55">
        <v>117</v>
      </c>
      <c r="D82" s="55">
        <v>116</v>
      </c>
      <c r="E82" s="55">
        <v>573</v>
      </c>
      <c r="F82" s="55">
        <v>261</v>
      </c>
      <c r="G82" s="55">
        <v>0.86</v>
      </c>
      <c r="H82" s="55">
        <v>119.54</v>
      </c>
      <c r="I82" s="55">
        <v>0.41</v>
      </c>
      <c r="J82" s="55">
        <v>0.41</v>
      </c>
      <c r="K82" s="55">
        <v>0.44</v>
      </c>
      <c r="L82" s="55">
        <v>0.18</v>
      </c>
    </row>
    <row r="83" spans="1:12">
      <c r="A83" s="55">
        <v>76</v>
      </c>
      <c r="B83" s="55" t="s">
        <v>135</v>
      </c>
      <c r="C83" s="55">
        <v>131</v>
      </c>
      <c r="D83" s="55">
        <v>69</v>
      </c>
      <c r="E83" s="55">
        <v>571</v>
      </c>
      <c r="F83" s="55">
        <v>717</v>
      </c>
      <c r="G83" s="55">
        <v>89.86</v>
      </c>
      <c r="H83" s="55">
        <v>-20.36</v>
      </c>
      <c r="I83" s="55">
        <v>0.46</v>
      </c>
      <c r="J83" s="55">
        <v>0.41</v>
      </c>
      <c r="K83" s="55">
        <v>0.26</v>
      </c>
      <c r="L83" s="55">
        <v>0.5</v>
      </c>
    </row>
    <row r="84" spans="1:12">
      <c r="A84" s="55">
        <v>77</v>
      </c>
      <c r="B84" s="55" t="s">
        <v>641</v>
      </c>
      <c r="C84" s="55">
        <v>121</v>
      </c>
      <c r="D84" s="55">
        <v>0</v>
      </c>
      <c r="E84" s="55">
        <v>571</v>
      </c>
      <c r="F84" s="55">
        <v>0</v>
      </c>
      <c r="G84" s="55">
        <v>0</v>
      </c>
      <c r="H84" s="55">
        <v>0</v>
      </c>
      <c r="I84" s="55">
        <v>0.43</v>
      </c>
      <c r="J84" s="55">
        <v>0.41</v>
      </c>
      <c r="K84" s="55">
        <v>0</v>
      </c>
      <c r="L84" s="55">
        <v>0</v>
      </c>
    </row>
    <row r="85" spans="1:12">
      <c r="A85" s="55">
        <v>78</v>
      </c>
      <c r="B85" s="55" t="s">
        <v>85</v>
      </c>
      <c r="C85" s="55">
        <v>51</v>
      </c>
      <c r="D85" s="55">
        <v>58</v>
      </c>
      <c r="E85" s="55">
        <v>570</v>
      </c>
      <c r="F85" s="55">
        <v>427</v>
      </c>
      <c r="G85" s="55">
        <v>-12.07</v>
      </c>
      <c r="H85" s="55">
        <v>33.49</v>
      </c>
      <c r="I85" s="55">
        <v>0.18</v>
      </c>
      <c r="J85" s="55">
        <v>0.41</v>
      </c>
      <c r="K85" s="55">
        <v>0.22</v>
      </c>
      <c r="L85" s="55">
        <v>0.3</v>
      </c>
    </row>
    <row r="86" spans="1:12">
      <c r="A86" s="55">
        <v>79</v>
      </c>
      <c r="B86" s="55" t="s">
        <v>68</v>
      </c>
      <c r="C86" s="55">
        <v>222</v>
      </c>
      <c r="D86" s="55">
        <v>107</v>
      </c>
      <c r="E86" s="55">
        <v>562</v>
      </c>
      <c r="F86" s="55">
        <v>801</v>
      </c>
      <c r="G86" s="55">
        <v>107.48</v>
      </c>
      <c r="H86" s="55">
        <v>-29.84</v>
      </c>
      <c r="I86" s="55">
        <v>0.78</v>
      </c>
      <c r="J86" s="55">
        <v>0.4</v>
      </c>
      <c r="K86" s="55">
        <v>0.41</v>
      </c>
      <c r="L86" s="55">
        <v>0.56000000000000005</v>
      </c>
    </row>
    <row r="87" spans="1:12">
      <c r="A87" s="55">
        <v>80</v>
      </c>
      <c r="B87" s="55" t="s">
        <v>101</v>
      </c>
      <c r="C87" s="55">
        <v>101</v>
      </c>
      <c r="D87" s="55">
        <v>54</v>
      </c>
      <c r="E87" s="55">
        <v>547</v>
      </c>
      <c r="F87" s="55">
        <v>382</v>
      </c>
      <c r="G87" s="55">
        <v>87.04</v>
      </c>
      <c r="H87" s="55">
        <v>43.19</v>
      </c>
      <c r="I87" s="55">
        <v>0.36</v>
      </c>
      <c r="J87" s="55">
        <v>0.39</v>
      </c>
      <c r="K87" s="55">
        <v>0.21</v>
      </c>
      <c r="L87" s="55">
        <v>0.26</v>
      </c>
    </row>
    <row r="88" spans="1:12">
      <c r="A88" s="55">
        <v>81</v>
      </c>
      <c r="B88" s="55" t="s">
        <v>80</v>
      </c>
      <c r="C88" s="55">
        <v>153</v>
      </c>
      <c r="D88" s="55">
        <v>29</v>
      </c>
      <c r="E88" s="55">
        <v>536</v>
      </c>
      <c r="F88" s="55">
        <v>297</v>
      </c>
      <c r="G88" s="55">
        <v>427.59</v>
      </c>
      <c r="H88" s="55">
        <v>80.47</v>
      </c>
      <c r="I88" s="55">
        <v>0.54</v>
      </c>
      <c r="J88" s="55">
        <v>0.38</v>
      </c>
      <c r="K88" s="55">
        <v>0.11</v>
      </c>
      <c r="L88" s="55">
        <v>0.21</v>
      </c>
    </row>
    <row r="89" spans="1:12">
      <c r="A89" s="55">
        <v>82</v>
      </c>
      <c r="B89" s="55" t="s">
        <v>587</v>
      </c>
      <c r="C89" s="55">
        <v>95</v>
      </c>
      <c r="D89" s="55">
        <v>382</v>
      </c>
      <c r="E89" s="55">
        <v>510</v>
      </c>
      <c r="F89" s="55">
        <v>1178</v>
      </c>
      <c r="G89" s="55">
        <v>-75.13</v>
      </c>
      <c r="H89" s="55">
        <v>-56.71</v>
      </c>
      <c r="I89" s="55">
        <v>0.34</v>
      </c>
      <c r="J89" s="55">
        <v>0.36</v>
      </c>
      <c r="K89" s="55">
        <v>1.46</v>
      </c>
      <c r="L89" s="55">
        <v>0.82</v>
      </c>
    </row>
    <row r="90" spans="1:12">
      <c r="A90" s="55">
        <v>83</v>
      </c>
      <c r="B90" s="55" t="s">
        <v>112</v>
      </c>
      <c r="C90" s="55">
        <v>42</v>
      </c>
      <c r="D90" s="55">
        <v>26</v>
      </c>
      <c r="E90" s="55">
        <v>508</v>
      </c>
      <c r="F90" s="55">
        <v>227</v>
      </c>
      <c r="G90" s="55">
        <v>61.54</v>
      </c>
      <c r="H90" s="55">
        <v>123.79</v>
      </c>
      <c r="I90" s="55">
        <v>0.15</v>
      </c>
      <c r="J90" s="55">
        <v>0.36</v>
      </c>
      <c r="K90" s="55">
        <v>0.1</v>
      </c>
      <c r="L90" s="55">
        <v>0.16</v>
      </c>
    </row>
    <row r="91" spans="1:12">
      <c r="A91" s="55">
        <v>84</v>
      </c>
      <c r="B91" s="55" t="s">
        <v>654</v>
      </c>
      <c r="C91" s="55">
        <v>114</v>
      </c>
      <c r="D91" s="55">
        <v>43</v>
      </c>
      <c r="E91" s="55">
        <v>497</v>
      </c>
      <c r="F91" s="55">
        <v>239</v>
      </c>
      <c r="G91" s="55">
        <v>165.12</v>
      </c>
      <c r="H91" s="55">
        <v>107.95</v>
      </c>
      <c r="I91" s="55">
        <v>0.4</v>
      </c>
      <c r="J91" s="55">
        <v>0.35</v>
      </c>
      <c r="K91" s="55">
        <v>0.16</v>
      </c>
      <c r="L91" s="55">
        <v>0.17</v>
      </c>
    </row>
    <row r="92" spans="1:12">
      <c r="A92" s="55">
        <v>85</v>
      </c>
      <c r="B92" s="55" t="s">
        <v>141</v>
      </c>
      <c r="C92" s="55">
        <v>69</v>
      </c>
      <c r="D92" s="55">
        <v>101</v>
      </c>
      <c r="E92" s="55">
        <v>488</v>
      </c>
      <c r="F92" s="55">
        <v>328</v>
      </c>
      <c r="G92" s="55">
        <v>-31.68</v>
      </c>
      <c r="H92" s="55">
        <v>48.78</v>
      </c>
      <c r="I92" s="55">
        <v>0.24</v>
      </c>
      <c r="J92" s="55">
        <v>0.35</v>
      </c>
      <c r="K92" s="55">
        <v>0.39</v>
      </c>
      <c r="L92" s="55">
        <v>0.23</v>
      </c>
    </row>
    <row r="93" spans="1:12">
      <c r="A93" s="55">
        <v>86</v>
      </c>
      <c r="B93" s="55" t="s">
        <v>81</v>
      </c>
      <c r="C93" s="55">
        <v>93</v>
      </c>
      <c r="D93" s="55">
        <v>64</v>
      </c>
      <c r="E93" s="55">
        <v>463</v>
      </c>
      <c r="F93" s="55">
        <v>412</v>
      </c>
      <c r="G93" s="55">
        <v>45.31</v>
      </c>
      <c r="H93" s="55">
        <v>12.38</v>
      </c>
      <c r="I93" s="55">
        <v>0.33</v>
      </c>
      <c r="J93" s="55">
        <v>0.33</v>
      </c>
      <c r="K93" s="55">
        <v>0.25</v>
      </c>
      <c r="L93" s="55">
        <v>0.28999999999999998</v>
      </c>
    </row>
    <row r="94" spans="1:12">
      <c r="A94" s="55">
        <v>87</v>
      </c>
      <c r="B94" s="55" t="s">
        <v>102</v>
      </c>
      <c r="C94" s="55">
        <v>115</v>
      </c>
      <c r="D94" s="55">
        <v>35</v>
      </c>
      <c r="E94" s="55">
        <v>445</v>
      </c>
      <c r="F94" s="55">
        <v>188</v>
      </c>
      <c r="G94" s="55">
        <v>228.57</v>
      </c>
      <c r="H94" s="55">
        <v>136.69999999999999</v>
      </c>
      <c r="I94" s="55">
        <v>0.41</v>
      </c>
      <c r="J94" s="55">
        <v>0.32</v>
      </c>
      <c r="K94" s="55">
        <v>0.13</v>
      </c>
      <c r="L94" s="55">
        <v>0.13</v>
      </c>
    </row>
    <row r="95" spans="1:12">
      <c r="A95" s="55">
        <v>88</v>
      </c>
      <c r="B95" s="55" t="s">
        <v>1014</v>
      </c>
      <c r="C95" s="55">
        <v>86</v>
      </c>
      <c r="D95" s="55">
        <v>0</v>
      </c>
      <c r="E95" s="55">
        <v>445</v>
      </c>
      <c r="F95" s="55">
        <v>0</v>
      </c>
      <c r="G95" s="55">
        <v>0</v>
      </c>
      <c r="H95" s="55">
        <v>0</v>
      </c>
      <c r="I95" s="55">
        <v>0.3</v>
      </c>
      <c r="J95" s="55">
        <v>0.32</v>
      </c>
      <c r="K95" s="55">
        <v>0</v>
      </c>
      <c r="L95" s="55">
        <v>0</v>
      </c>
    </row>
    <row r="96" spans="1:12">
      <c r="A96" s="55">
        <v>89</v>
      </c>
      <c r="B96" s="55" t="s">
        <v>609</v>
      </c>
      <c r="C96" s="55">
        <v>102</v>
      </c>
      <c r="D96" s="55">
        <v>31</v>
      </c>
      <c r="E96" s="55">
        <v>431</v>
      </c>
      <c r="F96" s="55">
        <v>238</v>
      </c>
      <c r="G96" s="55">
        <v>229.03</v>
      </c>
      <c r="H96" s="55">
        <v>81.09</v>
      </c>
      <c r="I96" s="55">
        <v>0.36</v>
      </c>
      <c r="J96" s="55">
        <v>0.31</v>
      </c>
      <c r="K96" s="55">
        <v>0.12</v>
      </c>
      <c r="L96" s="55">
        <v>0.17</v>
      </c>
    </row>
    <row r="97" spans="1:12">
      <c r="A97" s="55">
        <v>90</v>
      </c>
      <c r="B97" s="55" t="s">
        <v>83</v>
      </c>
      <c r="C97" s="55">
        <v>92</v>
      </c>
      <c r="D97" s="55">
        <v>35</v>
      </c>
      <c r="E97" s="55">
        <v>425</v>
      </c>
      <c r="F97" s="55">
        <v>425</v>
      </c>
      <c r="G97" s="55">
        <v>162.86000000000001</v>
      </c>
      <c r="H97" s="55">
        <v>0</v>
      </c>
      <c r="I97" s="55">
        <v>0.33</v>
      </c>
      <c r="J97" s="55">
        <v>0.3</v>
      </c>
      <c r="K97" s="55">
        <v>0.13</v>
      </c>
      <c r="L97" s="55">
        <v>0.28999999999999998</v>
      </c>
    </row>
    <row r="98" spans="1:12">
      <c r="A98" s="55">
        <v>91</v>
      </c>
      <c r="B98" s="55" t="s">
        <v>653</v>
      </c>
      <c r="C98" s="55">
        <v>145</v>
      </c>
      <c r="D98" s="55">
        <v>113</v>
      </c>
      <c r="E98" s="55">
        <v>423</v>
      </c>
      <c r="F98" s="55">
        <v>317</v>
      </c>
      <c r="G98" s="55">
        <v>28.32</v>
      </c>
      <c r="H98" s="55">
        <v>33.44</v>
      </c>
      <c r="I98" s="55">
        <v>0.51</v>
      </c>
      <c r="J98" s="55">
        <v>0.3</v>
      </c>
      <c r="K98" s="55">
        <v>0.43</v>
      </c>
      <c r="L98" s="55">
        <v>0.22</v>
      </c>
    </row>
    <row r="99" spans="1:12">
      <c r="A99" s="55">
        <v>92</v>
      </c>
      <c r="B99" s="55" t="s">
        <v>1035</v>
      </c>
      <c r="C99" s="55">
        <v>110</v>
      </c>
      <c r="D99" s="55">
        <v>0</v>
      </c>
      <c r="E99" s="55">
        <v>413</v>
      </c>
      <c r="F99" s="55">
        <v>0</v>
      </c>
      <c r="G99" s="55">
        <v>0</v>
      </c>
      <c r="H99" s="55">
        <v>0</v>
      </c>
      <c r="I99" s="55">
        <v>0.39</v>
      </c>
      <c r="J99" s="55">
        <v>0.28999999999999998</v>
      </c>
      <c r="K99" s="55">
        <v>0</v>
      </c>
      <c r="L99" s="55">
        <v>0</v>
      </c>
    </row>
    <row r="100" spans="1:12">
      <c r="A100" s="55">
        <v>93</v>
      </c>
      <c r="B100" s="55" t="s">
        <v>611</v>
      </c>
      <c r="C100" s="55">
        <v>80</v>
      </c>
      <c r="D100" s="55">
        <v>141</v>
      </c>
      <c r="E100" s="55">
        <v>411</v>
      </c>
      <c r="F100" s="55">
        <v>496</v>
      </c>
      <c r="G100" s="55">
        <v>-43.26</v>
      </c>
      <c r="H100" s="55">
        <v>-17.14</v>
      </c>
      <c r="I100" s="55">
        <v>0.28000000000000003</v>
      </c>
      <c r="J100" s="55">
        <v>0.28999999999999998</v>
      </c>
      <c r="K100" s="55">
        <v>0.54</v>
      </c>
      <c r="L100" s="55">
        <v>0.34</v>
      </c>
    </row>
    <row r="101" spans="1:12">
      <c r="A101" s="55">
        <v>94</v>
      </c>
      <c r="B101" s="55" t="s">
        <v>65</v>
      </c>
      <c r="C101" s="55">
        <v>58</v>
      </c>
      <c r="D101" s="55">
        <v>52</v>
      </c>
      <c r="E101" s="55">
        <v>408</v>
      </c>
      <c r="F101" s="55">
        <v>243</v>
      </c>
      <c r="G101" s="55">
        <v>11.54</v>
      </c>
      <c r="H101" s="55">
        <v>67.900000000000006</v>
      </c>
      <c r="I101" s="55">
        <v>0.21</v>
      </c>
      <c r="J101" s="55">
        <v>0.28999999999999998</v>
      </c>
      <c r="K101" s="55">
        <v>0.2</v>
      </c>
      <c r="L101" s="55">
        <v>0.17</v>
      </c>
    </row>
    <row r="102" spans="1:12">
      <c r="A102" s="55">
        <v>95</v>
      </c>
      <c r="B102" s="55" t="s">
        <v>1059</v>
      </c>
      <c r="C102" s="55">
        <v>64</v>
      </c>
      <c r="D102" s="55">
        <v>0</v>
      </c>
      <c r="E102" s="55">
        <v>406</v>
      </c>
      <c r="F102" s="55">
        <v>0</v>
      </c>
      <c r="G102" s="55">
        <v>0</v>
      </c>
      <c r="H102" s="55">
        <v>0</v>
      </c>
      <c r="I102" s="55">
        <v>0.23</v>
      </c>
      <c r="J102" s="55">
        <v>0.28999999999999998</v>
      </c>
      <c r="K102" s="55">
        <v>0</v>
      </c>
      <c r="L102" s="55">
        <v>0</v>
      </c>
    </row>
    <row r="103" spans="1:12">
      <c r="A103" s="55">
        <v>96</v>
      </c>
      <c r="B103" s="55" t="s">
        <v>704</v>
      </c>
      <c r="C103" s="55">
        <v>70</v>
      </c>
      <c r="D103" s="55">
        <v>128</v>
      </c>
      <c r="E103" s="55">
        <v>398</v>
      </c>
      <c r="F103" s="55">
        <v>276</v>
      </c>
      <c r="G103" s="55">
        <v>-45.31</v>
      </c>
      <c r="H103" s="55">
        <v>44.2</v>
      </c>
      <c r="I103" s="55">
        <v>0.25</v>
      </c>
      <c r="J103" s="55">
        <v>0.28000000000000003</v>
      </c>
      <c r="K103" s="55">
        <v>0.49</v>
      </c>
      <c r="L103" s="55">
        <v>0.19</v>
      </c>
    </row>
    <row r="104" spans="1:12">
      <c r="A104" s="55">
        <v>97</v>
      </c>
      <c r="B104" s="55" t="s">
        <v>73</v>
      </c>
      <c r="C104" s="55">
        <v>71</v>
      </c>
      <c r="D104" s="55">
        <v>35</v>
      </c>
      <c r="E104" s="55">
        <v>393</v>
      </c>
      <c r="F104" s="55">
        <v>267</v>
      </c>
      <c r="G104" s="55">
        <v>102.86</v>
      </c>
      <c r="H104" s="55">
        <v>47.19</v>
      </c>
      <c r="I104" s="55">
        <v>0.25</v>
      </c>
      <c r="J104" s="55">
        <v>0.28000000000000003</v>
      </c>
      <c r="K104" s="55">
        <v>0.13</v>
      </c>
      <c r="L104" s="55">
        <v>0.19</v>
      </c>
    </row>
    <row r="105" spans="1:12">
      <c r="A105" s="55">
        <v>98</v>
      </c>
      <c r="B105" s="55" t="s">
        <v>160</v>
      </c>
      <c r="C105" s="55">
        <v>87</v>
      </c>
      <c r="D105" s="55">
        <v>40</v>
      </c>
      <c r="E105" s="55">
        <v>390</v>
      </c>
      <c r="F105" s="55">
        <v>284</v>
      </c>
      <c r="G105" s="55">
        <v>117.5</v>
      </c>
      <c r="H105" s="55">
        <v>37.32</v>
      </c>
      <c r="I105" s="55">
        <v>0.31</v>
      </c>
      <c r="J105" s="55">
        <v>0.28000000000000003</v>
      </c>
      <c r="K105" s="55">
        <v>0.15</v>
      </c>
      <c r="L105" s="55">
        <v>0.2</v>
      </c>
    </row>
    <row r="106" spans="1:12">
      <c r="A106" s="55">
        <v>99</v>
      </c>
      <c r="B106" s="55" t="s">
        <v>364</v>
      </c>
      <c r="C106" s="55">
        <v>70</v>
      </c>
      <c r="D106" s="55">
        <v>96</v>
      </c>
      <c r="E106" s="55">
        <v>379</v>
      </c>
      <c r="F106" s="55">
        <v>487</v>
      </c>
      <c r="G106" s="55">
        <v>-27.08</v>
      </c>
      <c r="H106" s="55">
        <v>-22.18</v>
      </c>
      <c r="I106" s="55">
        <v>0.25</v>
      </c>
      <c r="J106" s="55">
        <v>0.27</v>
      </c>
      <c r="K106" s="55">
        <v>0.37</v>
      </c>
      <c r="L106" s="55">
        <v>0.34</v>
      </c>
    </row>
    <row r="107" spans="1:12">
      <c r="A107" s="55">
        <v>100</v>
      </c>
      <c r="B107" s="55" t="s">
        <v>173</v>
      </c>
      <c r="C107" s="55">
        <v>59</v>
      </c>
      <c r="D107" s="55">
        <v>93</v>
      </c>
      <c r="E107" s="55">
        <v>378</v>
      </c>
      <c r="F107" s="55">
        <v>410</v>
      </c>
      <c r="G107" s="55">
        <v>-36.56</v>
      </c>
      <c r="H107" s="55">
        <v>-7.8</v>
      </c>
      <c r="I107" s="55">
        <v>0.21</v>
      </c>
      <c r="J107" s="55">
        <v>0.27</v>
      </c>
      <c r="K107" s="55">
        <v>0.36</v>
      </c>
      <c r="L107" s="55">
        <v>0.28000000000000003</v>
      </c>
    </row>
    <row r="108" spans="1:12">
      <c r="A108" s="55">
        <v>101</v>
      </c>
      <c r="B108" s="55" t="s">
        <v>62</v>
      </c>
      <c r="C108" s="55">
        <v>54</v>
      </c>
      <c r="D108" s="55">
        <v>89</v>
      </c>
      <c r="E108" s="55">
        <v>369</v>
      </c>
      <c r="F108" s="55">
        <v>679</v>
      </c>
      <c r="G108" s="55">
        <v>-39.33</v>
      </c>
      <c r="H108" s="55">
        <v>-45.66</v>
      </c>
      <c r="I108" s="55">
        <v>0.19</v>
      </c>
      <c r="J108" s="55">
        <v>0.26</v>
      </c>
      <c r="K108" s="55">
        <v>0.34</v>
      </c>
      <c r="L108" s="55">
        <v>0.47</v>
      </c>
    </row>
    <row r="109" spans="1:12">
      <c r="A109" s="55">
        <v>102</v>
      </c>
      <c r="B109" s="55" t="s">
        <v>88</v>
      </c>
      <c r="C109" s="55">
        <v>68</v>
      </c>
      <c r="D109" s="55">
        <v>43</v>
      </c>
      <c r="E109" s="55">
        <v>355</v>
      </c>
      <c r="F109" s="55">
        <v>629</v>
      </c>
      <c r="G109" s="55">
        <v>58.14</v>
      </c>
      <c r="H109" s="55">
        <v>-43.56</v>
      </c>
      <c r="I109" s="55">
        <v>0.24</v>
      </c>
      <c r="J109" s="55">
        <v>0.25</v>
      </c>
      <c r="K109" s="55">
        <v>0.16</v>
      </c>
      <c r="L109" s="55">
        <v>0.44</v>
      </c>
    </row>
    <row r="110" spans="1:12">
      <c r="A110" s="55">
        <v>103</v>
      </c>
      <c r="B110" s="55" t="s">
        <v>149</v>
      </c>
      <c r="C110" s="55">
        <v>51</v>
      </c>
      <c r="D110" s="55">
        <v>30</v>
      </c>
      <c r="E110" s="55">
        <v>353</v>
      </c>
      <c r="F110" s="55">
        <v>248</v>
      </c>
      <c r="G110" s="55">
        <v>70</v>
      </c>
      <c r="H110" s="55">
        <v>42.34</v>
      </c>
      <c r="I110" s="55">
        <v>0.18</v>
      </c>
      <c r="J110" s="55">
        <v>0.25</v>
      </c>
      <c r="K110" s="55">
        <v>0.11</v>
      </c>
      <c r="L110" s="55">
        <v>0.17</v>
      </c>
    </row>
    <row r="111" spans="1:12">
      <c r="A111" s="55">
        <v>104</v>
      </c>
      <c r="B111" s="55" t="s">
        <v>132</v>
      </c>
      <c r="C111" s="55">
        <v>75</v>
      </c>
      <c r="D111" s="55">
        <v>58</v>
      </c>
      <c r="E111" s="55">
        <v>349</v>
      </c>
      <c r="F111" s="55">
        <v>492</v>
      </c>
      <c r="G111" s="55">
        <v>29.31</v>
      </c>
      <c r="H111" s="55">
        <v>-29.07</v>
      </c>
      <c r="I111" s="55">
        <v>0.27</v>
      </c>
      <c r="J111" s="55">
        <v>0.25</v>
      </c>
      <c r="K111" s="55">
        <v>0.22</v>
      </c>
      <c r="L111" s="55">
        <v>0.34</v>
      </c>
    </row>
    <row r="112" spans="1:12">
      <c r="A112" s="55">
        <v>105</v>
      </c>
      <c r="B112" s="55" t="s">
        <v>120</v>
      </c>
      <c r="C112" s="55">
        <v>73</v>
      </c>
      <c r="D112" s="55">
        <v>95</v>
      </c>
      <c r="E112" s="55">
        <v>339</v>
      </c>
      <c r="F112" s="55">
        <v>451</v>
      </c>
      <c r="G112" s="55">
        <v>-23.16</v>
      </c>
      <c r="H112" s="55">
        <v>-24.83</v>
      </c>
      <c r="I112" s="55">
        <v>0.26</v>
      </c>
      <c r="J112" s="55">
        <v>0.24</v>
      </c>
      <c r="K112" s="55">
        <v>0.36</v>
      </c>
      <c r="L112" s="55">
        <v>0.31</v>
      </c>
    </row>
    <row r="113" spans="1:12">
      <c r="A113" s="55">
        <v>106</v>
      </c>
      <c r="B113" s="55" t="s">
        <v>142</v>
      </c>
      <c r="C113" s="55">
        <v>76</v>
      </c>
      <c r="D113" s="55">
        <v>227</v>
      </c>
      <c r="E113" s="55">
        <v>329</v>
      </c>
      <c r="F113" s="55">
        <v>799</v>
      </c>
      <c r="G113" s="55">
        <v>-66.52</v>
      </c>
      <c r="H113" s="55">
        <v>-58.82</v>
      </c>
      <c r="I113" s="55">
        <v>0.27</v>
      </c>
      <c r="J113" s="55">
        <v>0.23</v>
      </c>
      <c r="K113" s="55">
        <v>0.87</v>
      </c>
      <c r="L113" s="55">
        <v>0.55000000000000004</v>
      </c>
    </row>
    <row r="114" spans="1:12">
      <c r="A114" s="55">
        <v>107</v>
      </c>
      <c r="B114" s="55" t="s">
        <v>69</v>
      </c>
      <c r="C114" s="55">
        <v>36</v>
      </c>
      <c r="D114" s="55">
        <v>59</v>
      </c>
      <c r="E114" s="55">
        <v>328</v>
      </c>
      <c r="F114" s="55">
        <v>461</v>
      </c>
      <c r="G114" s="55">
        <v>-38.979999999999997</v>
      </c>
      <c r="H114" s="55">
        <v>-28.85</v>
      </c>
      <c r="I114" s="55">
        <v>0.13</v>
      </c>
      <c r="J114" s="55">
        <v>0.23</v>
      </c>
      <c r="K114" s="55">
        <v>0.23</v>
      </c>
      <c r="L114" s="55">
        <v>0.32</v>
      </c>
    </row>
    <row r="115" spans="1:12">
      <c r="A115" s="55">
        <v>108</v>
      </c>
      <c r="B115" s="55" t="s">
        <v>108</v>
      </c>
      <c r="C115" s="55">
        <v>55</v>
      </c>
      <c r="D115" s="55">
        <v>34</v>
      </c>
      <c r="E115" s="55">
        <v>320</v>
      </c>
      <c r="F115" s="55">
        <v>347</v>
      </c>
      <c r="G115" s="55">
        <v>61.76</v>
      </c>
      <c r="H115" s="55">
        <v>-7.78</v>
      </c>
      <c r="I115" s="55">
        <v>0.19</v>
      </c>
      <c r="J115" s="55">
        <v>0.23</v>
      </c>
      <c r="K115" s="55">
        <v>0.13</v>
      </c>
      <c r="L115" s="55">
        <v>0.24</v>
      </c>
    </row>
    <row r="116" spans="1:12">
      <c r="A116" s="55">
        <v>109</v>
      </c>
      <c r="B116" s="55" t="s">
        <v>484</v>
      </c>
      <c r="C116" s="55">
        <v>9</v>
      </c>
      <c r="D116" s="55">
        <v>51</v>
      </c>
      <c r="E116" s="55">
        <v>319</v>
      </c>
      <c r="F116" s="55">
        <v>197</v>
      </c>
      <c r="G116" s="55">
        <v>-82.35</v>
      </c>
      <c r="H116" s="55">
        <v>61.93</v>
      </c>
      <c r="I116" s="55">
        <v>0.03</v>
      </c>
      <c r="J116" s="55">
        <v>0.23</v>
      </c>
      <c r="K116" s="55">
        <v>0.2</v>
      </c>
      <c r="L116" s="55">
        <v>0.14000000000000001</v>
      </c>
    </row>
    <row r="117" spans="1:12">
      <c r="A117" s="55">
        <v>110</v>
      </c>
      <c r="B117" s="55" t="s">
        <v>125</v>
      </c>
      <c r="C117" s="55">
        <v>38</v>
      </c>
      <c r="D117" s="55">
        <v>19</v>
      </c>
      <c r="E117" s="55">
        <v>296</v>
      </c>
      <c r="F117" s="55">
        <v>259</v>
      </c>
      <c r="G117" s="55">
        <v>100</v>
      </c>
      <c r="H117" s="55">
        <v>14.29</v>
      </c>
      <c r="I117" s="55">
        <v>0.13</v>
      </c>
      <c r="J117" s="55">
        <v>0.21</v>
      </c>
      <c r="K117" s="55">
        <v>7.0000000000000007E-2</v>
      </c>
      <c r="L117" s="55">
        <v>0.18</v>
      </c>
    </row>
    <row r="118" spans="1:12">
      <c r="A118" s="55">
        <v>111</v>
      </c>
      <c r="B118" s="55" t="s">
        <v>667</v>
      </c>
      <c r="C118" s="55">
        <v>81</v>
      </c>
      <c r="D118" s="55">
        <v>38</v>
      </c>
      <c r="E118" s="55">
        <v>295</v>
      </c>
      <c r="F118" s="55">
        <v>128</v>
      </c>
      <c r="G118" s="55">
        <v>113.16</v>
      </c>
      <c r="H118" s="55">
        <v>130.47</v>
      </c>
      <c r="I118" s="55">
        <v>0.28999999999999998</v>
      </c>
      <c r="J118" s="55">
        <v>0.21</v>
      </c>
      <c r="K118" s="55">
        <v>0.15</v>
      </c>
      <c r="L118" s="55">
        <v>0.09</v>
      </c>
    </row>
    <row r="119" spans="1:12">
      <c r="A119" s="55">
        <v>112</v>
      </c>
      <c r="B119" s="55" t="s">
        <v>163</v>
      </c>
      <c r="C119" s="55">
        <v>46</v>
      </c>
      <c r="D119" s="55">
        <v>44</v>
      </c>
      <c r="E119" s="55">
        <v>294</v>
      </c>
      <c r="F119" s="55">
        <v>306</v>
      </c>
      <c r="G119" s="55">
        <v>4.55</v>
      </c>
      <c r="H119" s="55">
        <v>-3.92</v>
      </c>
      <c r="I119" s="55">
        <v>0.16</v>
      </c>
      <c r="J119" s="55">
        <v>0.21</v>
      </c>
      <c r="K119" s="55">
        <v>0.17</v>
      </c>
      <c r="L119" s="55">
        <v>0.21</v>
      </c>
    </row>
    <row r="120" spans="1:12">
      <c r="A120" s="55">
        <v>113</v>
      </c>
      <c r="B120" s="55" t="s">
        <v>601</v>
      </c>
      <c r="C120" s="55">
        <v>6</v>
      </c>
      <c r="D120" s="55">
        <v>1</v>
      </c>
      <c r="E120" s="55">
        <v>293</v>
      </c>
      <c r="F120" s="55">
        <v>281</v>
      </c>
      <c r="G120" s="55">
        <v>500</v>
      </c>
      <c r="H120" s="55">
        <v>4.2699999999999996</v>
      </c>
      <c r="I120" s="55">
        <v>0.02</v>
      </c>
      <c r="J120" s="55">
        <v>0.21</v>
      </c>
      <c r="K120" s="55">
        <v>0</v>
      </c>
      <c r="L120" s="55">
        <v>0.19</v>
      </c>
    </row>
    <row r="121" spans="1:12">
      <c r="A121" s="55">
        <v>114</v>
      </c>
      <c r="B121" s="55" t="s">
        <v>127</v>
      </c>
      <c r="C121" s="55">
        <v>27</v>
      </c>
      <c r="D121" s="55">
        <v>13</v>
      </c>
      <c r="E121" s="55">
        <v>283</v>
      </c>
      <c r="F121" s="55">
        <v>551</v>
      </c>
      <c r="G121" s="55">
        <v>107.69</v>
      </c>
      <c r="H121" s="55">
        <v>-48.64</v>
      </c>
      <c r="I121" s="55">
        <v>0.1</v>
      </c>
      <c r="J121" s="55">
        <v>0.2</v>
      </c>
      <c r="K121" s="55">
        <v>0.05</v>
      </c>
      <c r="L121" s="55">
        <v>0.38</v>
      </c>
    </row>
    <row r="122" spans="1:12">
      <c r="A122" s="55">
        <v>115</v>
      </c>
      <c r="B122" s="55" t="s">
        <v>109</v>
      </c>
      <c r="C122" s="55">
        <v>42</v>
      </c>
      <c r="D122" s="55">
        <v>31</v>
      </c>
      <c r="E122" s="55">
        <v>283</v>
      </c>
      <c r="F122" s="55">
        <v>170</v>
      </c>
      <c r="G122" s="55">
        <v>35.479999999999997</v>
      </c>
      <c r="H122" s="55">
        <v>66.47</v>
      </c>
      <c r="I122" s="55">
        <v>0.15</v>
      </c>
      <c r="J122" s="55">
        <v>0.2</v>
      </c>
      <c r="K122" s="55">
        <v>0.12</v>
      </c>
      <c r="L122" s="55">
        <v>0.12</v>
      </c>
    </row>
    <row r="123" spans="1:12">
      <c r="A123" s="55">
        <v>116</v>
      </c>
      <c r="B123" s="55" t="s">
        <v>371</v>
      </c>
      <c r="C123" s="55">
        <v>67</v>
      </c>
      <c r="D123" s="55">
        <v>77</v>
      </c>
      <c r="E123" s="55">
        <v>281</v>
      </c>
      <c r="F123" s="55">
        <v>222</v>
      </c>
      <c r="G123" s="55">
        <v>-12.99</v>
      </c>
      <c r="H123" s="55">
        <v>26.58</v>
      </c>
      <c r="I123" s="55">
        <v>0.24</v>
      </c>
      <c r="J123" s="55">
        <v>0.2</v>
      </c>
      <c r="K123" s="55">
        <v>0.3</v>
      </c>
      <c r="L123" s="55">
        <v>0.15</v>
      </c>
    </row>
    <row r="124" spans="1:12">
      <c r="A124" s="55">
        <v>117</v>
      </c>
      <c r="B124" s="55" t="s">
        <v>156</v>
      </c>
      <c r="C124" s="55">
        <v>31</v>
      </c>
      <c r="D124" s="55">
        <v>13</v>
      </c>
      <c r="E124" s="55">
        <v>281</v>
      </c>
      <c r="F124" s="55">
        <v>95</v>
      </c>
      <c r="G124" s="55">
        <v>138.46</v>
      </c>
      <c r="H124" s="55">
        <v>195.79</v>
      </c>
      <c r="I124" s="55">
        <v>0.11</v>
      </c>
      <c r="J124" s="55">
        <v>0.2</v>
      </c>
      <c r="K124" s="55">
        <v>0.05</v>
      </c>
      <c r="L124" s="55">
        <v>7.0000000000000007E-2</v>
      </c>
    </row>
    <row r="125" spans="1:12">
      <c r="A125" s="55">
        <v>118</v>
      </c>
      <c r="B125" s="55" t="s">
        <v>136</v>
      </c>
      <c r="C125" s="55">
        <v>43</v>
      </c>
      <c r="D125" s="55">
        <v>38</v>
      </c>
      <c r="E125" s="55">
        <v>278</v>
      </c>
      <c r="F125" s="55">
        <v>183</v>
      </c>
      <c r="G125" s="55">
        <v>13.16</v>
      </c>
      <c r="H125" s="55">
        <v>51.91</v>
      </c>
      <c r="I125" s="55">
        <v>0.15</v>
      </c>
      <c r="J125" s="55">
        <v>0.2</v>
      </c>
      <c r="K125" s="55">
        <v>0.15</v>
      </c>
      <c r="L125" s="55">
        <v>0.13</v>
      </c>
    </row>
    <row r="126" spans="1:12">
      <c r="A126" s="55">
        <v>119</v>
      </c>
      <c r="B126" s="55" t="s">
        <v>1061</v>
      </c>
      <c r="C126" s="55">
        <v>115</v>
      </c>
      <c r="D126" s="55">
        <v>0</v>
      </c>
      <c r="E126" s="55">
        <v>278</v>
      </c>
      <c r="F126" s="55">
        <v>0</v>
      </c>
      <c r="G126" s="55">
        <v>0</v>
      </c>
      <c r="H126" s="55">
        <v>0</v>
      </c>
      <c r="I126" s="55">
        <v>0.41</v>
      </c>
      <c r="J126" s="55">
        <v>0.2</v>
      </c>
      <c r="K126" s="55">
        <v>0</v>
      </c>
      <c r="L126" s="55">
        <v>0</v>
      </c>
    </row>
    <row r="127" spans="1:12">
      <c r="A127" s="55">
        <v>120</v>
      </c>
      <c r="B127" s="55" t="s">
        <v>123</v>
      </c>
      <c r="C127" s="55">
        <v>57</v>
      </c>
      <c r="D127" s="55">
        <v>79</v>
      </c>
      <c r="E127" s="55">
        <v>277</v>
      </c>
      <c r="F127" s="55">
        <v>353</v>
      </c>
      <c r="G127" s="55">
        <v>-27.85</v>
      </c>
      <c r="H127" s="55">
        <v>-21.53</v>
      </c>
      <c r="I127" s="55">
        <v>0.2</v>
      </c>
      <c r="J127" s="55">
        <v>0.2</v>
      </c>
      <c r="K127" s="55">
        <v>0.3</v>
      </c>
      <c r="L127" s="55">
        <v>0.24</v>
      </c>
    </row>
    <row r="128" spans="1:12">
      <c r="A128" s="55">
        <v>121</v>
      </c>
      <c r="B128" s="55" t="s">
        <v>388</v>
      </c>
      <c r="C128" s="55">
        <v>51</v>
      </c>
      <c r="D128" s="55">
        <v>35</v>
      </c>
      <c r="E128" s="55">
        <v>274</v>
      </c>
      <c r="F128" s="55">
        <v>231</v>
      </c>
      <c r="G128" s="55">
        <v>45.71</v>
      </c>
      <c r="H128" s="55">
        <v>18.61</v>
      </c>
      <c r="I128" s="55">
        <v>0.18</v>
      </c>
      <c r="J128" s="55">
        <v>0.19</v>
      </c>
      <c r="K128" s="55">
        <v>0.13</v>
      </c>
      <c r="L128" s="55">
        <v>0.16</v>
      </c>
    </row>
    <row r="129" spans="1:12">
      <c r="A129" s="55">
        <v>122</v>
      </c>
      <c r="B129" s="55" t="s">
        <v>138</v>
      </c>
      <c r="C129" s="55">
        <v>83</v>
      </c>
      <c r="D129" s="55">
        <v>0</v>
      </c>
      <c r="E129" s="55">
        <v>263</v>
      </c>
      <c r="F129" s="55">
        <v>0</v>
      </c>
      <c r="G129" s="55">
        <v>0</v>
      </c>
      <c r="H129" s="55">
        <v>0</v>
      </c>
      <c r="I129" s="55">
        <v>0.28999999999999998</v>
      </c>
      <c r="J129" s="55">
        <v>0.19</v>
      </c>
      <c r="K129" s="55">
        <v>0</v>
      </c>
      <c r="L129" s="55">
        <v>0</v>
      </c>
    </row>
    <row r="130" spans="1:12">
      <c r="A130" s="55">
        <v>123</v>
      </c>
      <c r="B130" s="55" t="s">
        <v>150</v>
      </c>
      <c r="C130" s="55">
        <v>50</v>
      </c>
      <c r="D130" s="55">
        <v>69</v>
      </c>
      <c r="E130" s="55">
        <v>257</v>
      </c>
      <c r="F130" s="55">
        <v>287</v>
      </c>
      <c r="G130" s="55">
        <v>-27.54</v>
      </c>
      <c r="H130" s="55">
        <v>-10.45</v>
      </c>
      <c r="I130" s="55">
        <v>0.18</v>
      </c>
      <c r="J130" s="55">
        <v>0.18</v>
      </c>
      <c r="K130" s="55">
        <v>0.26</v>
      </c>
      <c r="L130" s="55">
        <v>0.2</v>
      </c>
    </row>
    <row r="131" spans="1:12">
      <c r="A131" s="55">
        <v>124</v>
      </c>
      <c r="B131" s="55" t="s">
        <v>144</v>
      </c>
      <c r="C131" s="55">
        <v>46</v>
      </c>
      <c r="D131" s="55">
        <v>47</v>
      </c>
      <c r="E131" s="55">
        <v>241</v>
      </c>
      <c r="F131" s="55">
        <v>245</v>
      </c>
      <c r="G131" s="55">
        <v>-2.13</v>
      </c>
      <c r="H131" s="55">
        <v>-1.63</v>
      </c>
      <c r="I131" s="55">
        <v>0.16</v>
      </c>
      <c r="J131" s="55">
        <v>0.17</v>
      </c>
      <c r="K131" s="55">
        <v>0.18</v>
      </c>
      <c r="L131" s="55">
        <v>0.17</v>
      </c>
    </row>
    <row r="132" spans="1:12">
      <c r="A132" s="55">
        <v>125</v>
      </c>
      <c r="B132" s="55" t="s">
        <v>113</v>
      </c>
      <c r="C132" s="55">
        <v>92</v>
      </c>
      <c r="D132" s="55">
        <v>44</v>
      </c>
      <c r="E132" s="55">
        <v>238</v>
      </c>
      <c r="F132" s="55">
        <v>319</v>
      </c>
      <c r="G132" s="55">
        <v>109.09</v>
      </c>
      <c r="H132" s="55">
        <v>-25.39</v>
      </c>
      <c r="I132" s="55">
        <v>0.33</v>
      </c>
      <c r="J132" s="55">
        <v>0.17</v>
      </c>
      <c r="K132" s="55">
        <v>0.17</v>
      </c>
      <c r="L132" s="55">
        <v>0.22</v>
      </c>
    </row>
    <row r="133" spans="1:12">
      <c r="A133" s="55">
        <v>126</v>
      </c>
      <c r="B133" s="55" t="s">
        <v>1185</v>
      </c>
      <c r="C133" s="55">
        <v>22</v>
      </c>
      <c r="D133" s="55">
        <v>7</v>
      </c>
      <c r="E133" s="55">
        <v>235</v>
      </c>
      <c r="F133" s="55">
        <v>65</v>
      </c>
      <c r="G133" s="55">
        <v>214.29</v>
      </c>
      <c r="H133" s="55">
        <v>261.54000000000002</v>
      </c>
      <c r="I133" s="55">
        <v>0.08</v>
      </c>
      <c r="J133" s="55">
        <v>0.17</v>
      </c>
      <c r="K133" s="55">
        <v>0.03</v>
      </c>
      <c r="L133" s="55">
        <v>0.05</v>
      </c>
    </row>
    <row r="134" spans="1:12">
      <c r="A134" s="55">
        <v>127</v>
      </c>
      <c r="B134" s="55" t="s">
        <v>146</v>
      </c>
      <c r="C134" s="55">
        <v>132</v>
      </c>
      <c r="D134" s="55">
        <v>59</v>
      </c>
      <c r="E134" s="55">
        <v>232</v>
      </c>
      <c r="F134" s="55">
        <v>194</v>
      </c>
      <c r="G134" s="55">
        <v>123.73</v>
      </c>
      <c r="H134" s="55">
        <v>19.59</v>
      </c>
      <c r="I134" s="55">
        <v>0.47</v>
      </c>
      <c r="J134" s="55">
        <v>0.16</v>
      </c>
      <c r="K134" s="55">
        <v>0.23</v>
      </c>
      <c r="L134" s="55">
        <v>0.13</v>
      </c>
    </row>
    <row r="135" spans="1:12">
      <c r="A135" s="55">
        <v>128</v>
      </c>
      <c r="B135" s="55" t="s">
        <v>363</v>
      </c>
      <c r="C135" s="55">
        <v>41</v>
      </c>
      <c r="D135" s="55">
        <v>47</v>
      </c>
      <c r="E135" s="55">
        <v>226</v>
      </c>
      <c r="F135" s="55">
        <v>277</v>
      </c>
      <c r="G135" s="55">
        <v>-12.77</v>
      </c>
      <c r="H135" s="55">
        <v>-18.41</v>
      </c>
      <c r="I135" s="55">
        <v>0.14000000000000001</v>
      </c>
      <c r="J135" s="55">
        <v>0.16</v>
      </c>
      <c r="K135" s="55">
        <v>0.18</v>
      </c>
      <c r="L135" s="55">
        <v>0.19</v>
      </c>
    </row>
    <row r="136" spans="1:12">
      <c r="A136" s="55">
        <v>129</v>
      </c>
      <c r="B136" s="55" t="s">
        <v>92</v>
      </c>
      <c r="C136" s="55">
        <v>20</v>
      </c>
      <c r="D136" s="55">
        <v>23</v>
      </c>
      <c r="E136" s="55">
        <v>224</v>
      </c>
      <c r="F136" s="55">
        <v>212</v>
      </c>
      <c r="G136" s="55">
        <v>-13.04</v>
      </c>
      <c r="H136" s="55">
        <v>5.66</v>
      </c>
      <c r="I136" s="55">
        <v>7.0000000000000007E-2</v>
      </c>
      <c r="J136" s="55">
        <v>0.16</v>
      </c>
      <c r="K136" s="55">
        <v>0.09</v>
      </c>
      <c r="L136" s="55">
        <v>0.15</v>
      </c>
    </row>
    <row r="137" spans="1:12">
      <c r="A137" s="55">
        <v>130</v>
      </c>
      <c r="B137" s="55" t="s">
        <v>169</v>
      </c>
      <c r="C137" s="55">
        <v>44</v>
      </c>
      <c r="D137" s="55">
        <v>21</v>
      </c>
      <c r="E137" s="55">
        <v>221</v>
      </c>
      <c r="F137" s="55">
        <v>74</v>
      </c>
      <c r="G137" s="55">
        <v>109.52</v>
      </c>
      <c r="H137" s="55">
        <v>198.65</v>
      </c>
      <c r="I137" s="55">
        <v>0.16</v>
      </c>
      <c r="J137" s="55">
        <v>0.16</v>
      </c>
      <c r="K137" s="55">
        <v>0.08</v>
      </c>
      <c r="L137" s="55">
        <v>0.05</v>
      </c>
    </row>
    <row r="138" spans="1:12">
      <c r="A138" s="55">
        <v>131</v>
      </c>
      <c r="B138" s="55" t="s">
        <v>159</v>
      </c>
      <c r="C138" s="55">
        <v>50</v>
      </c>
      <c r="D138" s="55">
        <v>62</v>
      </c>
      <c r="E138" s="55">
        <v>209</v>
      </c>
      <c r="F138" s="55">
        <v>305</v>
      </c>
      <c r="G138" s="55">
        <v>-19.350000000000001</v>
      </c>
      <c r="H138" s="55">
        <v>-31.48</v>
      </c>
      <c r="I138" s="55">
        <v>0.18</v>
      </c>
      <c r="J138" s="55">
        <v>0.15</v>
      </c>
      <c r="K138" s="55">
        <v>0.24</v>
      </c>
      <c r="L138" s="55">
        <v>0.21</v>
      </c>
    </row>
    <row r="139" spans="1:12">
      <c r="A139" s="55">
        <v>132</v>
      </c>
      <c r="B139" s="55" t="s">
        <v>602</v>
      </c>
      <c r="C139" s="55">
        <v>41</v>
      </c>
      <c r="D139" s="55">
        <v>79</v>
      </c>
      <c r="E139" s="55">
        <v>196</v>
      </c>
      <c r="F139" s="55">
        <v>485</v>
      </c>
      <c r="G139" s="55">
        <v>-48.1</v>
      </c>
      <c r="H139" s="55">
        <v>-59.59</v>
      </c>
      <c r="I139" s="55">
        <v>0.14000000000000001</v>
      </c>
      <c r="J139" s="55">
        <v>0.14000000000000001</v>
      </c>
      <c r="K139" s="55">
        <v>0.3</v>
      </c>
      <c r="L139" s="55">
        <v>0.34</v>
      </c>
    </row>
    <row r="140" spans="1:12">
      <c r="A140" s="55">
        <v>133</v>
      </c>
      <c r="B140" s="55" t="s">
        <v>95</v>
      </c>
      <c r="C140" s="55">
        <v>26</v>
      </c>
      <c r="D140" s="55">
        <v>37</v>
      </c>
      <c r="E140" s="55">
        <v>192</v>
      </c>
      <c r="F140" s="55">
        <v>142</v>
      </c>
      <c r="G140" s="55">
        <v>-29.73</v>
      </c>
      <c r="H140" s="55">
        <v>35.21</v>
      </c>
      <c r="I140" s="55">
        <v>0.09</v>
      </c>
      <c r="J140" s="55">
        <v>0.14000000000000001</v>
      </c>
      <c r="K140" s="55">
        <v>0.14000000000000001</v>
      </c>
      <c r="L140" s="55">
        <v>0.1</v>
      </c>
    </row>
    <row r="141" spans="1:12">
      <c r="A141" s="55">
        <v>134</v>
      </c>
      <c r="B141" s="55" t="s">
        <v>103</v>
      </c>
      <c r="C141" s="55">
        <v>43</v>
      </c>
      <c r="D141" s="55">
        <v>0</v>
      </c>
      <c r="E141" s="55">
        <v>185</v>
      </c>
      <c r="F141" s="55">
        <v>94</v>
      </c>
      <c r="G141" s="55">
        <v>0</v>
      </c>
      <c r="H141" s="55">
        <v>96.81</v>
      </c>
      <c r="I141" s="55">
        <v>0.15</v>
      </c>
      <c r="J141" s="55">
        <v>0.13</v>
      </c>
      <c r="K141" s="55">
        <v>0</v>
      </c>
      <c r="L141" s="55">
        <v>7.0000000000000007E-2</v>
      </c>
    </row>
    <row r="142" spans="1:12">
      <c r="A142" s="55">
        <v>135</v>
      </c>
      <c r="B142" s="55" t="s">
        <v>1025</v>
      </c>
      <c r="C142" s="55">
        <v>46</v>
      </c>
      <c r="D142" s="55">
        <v>20</v>
      </c>
      <c r="E142" s="55">
        <v>184</v>
      </c>
      <c r="F142" s="55">
        <v>131</v>
      </c>
      <c r="G142" s="55">
        <v>130</v>
      </c>
      <c r="H142" s="55">
        <v>40.46</v>
      </c>
      <c r="I142" s="55">
        <v>0.16</v>
      </c>
      <c r="J142" s="55">
        <v>0.13</v>
      </c>
      <c r="K142" s="55">
        <v>0.08</v>
      </c>
      <c r="L142" s="55">
        <v>0.09</v>
      </c>
    </row>
    <row r="143" spans="1:12">
      <c r="A143" s="55">
        <v>136</v>
      </c>
      <c r="B143" s="55" t="s">
        <v>594</v>
      </c>
      <c r="C143" s="55">
        <v>77</v>
      </c>
      <c r="D143" s="55">
        <v>68</v>
      </c>
      <c r="E143" s="55">
        <v>183</v>
      </c>
      <c r="F143" s="55">
        <v>729</v>
      </c>
      <c r="G143" s="55">
        <v>13.24</v>
      </c>
      <c r="H143" s="55">
        <v>-74.900000000000006</v>
      </c>
      <c r="I143" s="55">
        <v>0.27</v>
      </c>
      <c r="J143" s="55">
        <v>0.13</v>
      </c>
      <c r="K143" s="55">
        <v>0.26</v>
      </c>
      <c r="L143" s="55">
        <v>0.51</v>
      </c>
    </row>
    <row r="144" spans="1:12">
      <c r="A144" s="55">
        <v>137</v>
      </c>
      <c r="B144" s="55" t="s">
        <v>97</v>
      </c>
      <c r="C144" s="55">
        <v>20</v>
      </c>
      <c r="D144" s="55">
        <v>31</v>
      </c>
      <c r="E144" s="55">
        <v>180</v>
      </c>
      <c r="F144" s="55">
        <v>300</v>
      </c>
      <c r="G144" s="55">
        <v>-35.479999999999997</v>
      </c>
      <c r="H144" s="55">
        <v>-40</v>
      </c>
      <c r="I144" s="55">
        <v>7.0000000000000007E-2</v>
      </c>
      <c r="J144" s="55">
        <v>0.13</v>
      </c>
      <c r="K144" s="55">
        <v>0.12</v>
      </c>
      <c r="L144" s="55">
        <v>0.21</v>
      </c>
    </row>
    <row r="145" spans="1:12">
      <c r="A145" s="55">
        <v>138</v>
      </c>
      <c r="B145" s="55" t="s">
        <v>606</v>
      </c>
      <c r="C145" s="55">
        <v>55</v>
      </c>
      <c r="D145" s="55">
        <v>25</v>
      </c>
      <c r="E145" s="55">
        <v>180</v>
      </c>
      <c r="F145" s="55">
        <v>167</v>
      </c>
      <c r="G145" s="55">
        <v>120</v>
      </c>
      <c r="H145" s="55">
        <v>7.78</v>
      </c>
      <c r="I145" s="55">
        <v>0.19</v>
      </c>
      <c r="J145" s="55">
        <v>0.13</v>
      </c>
      <c r="K145" s="55">
        <v>0.1</v>
      </c>
      <c r="L145" s="55">
        <v>0.12</v>
      </c>
    </row>
    <row r="146" spans="1:12">
      <c r="A146" s="55">
        <v>139</v>
      </c>
      <c r="B146" s="55" t="s">
        <v>143</v>
      </c>
      <c r="C146" s="55">
        <v>33</v>
      </c>
      <c r="D146" s="55">
        <v>31</v>
      </c>
      <c r="E146" s="55">
        <v>178</v>
      </c>
      <c r="F146" s="55">
        <v>47</v>
      </c>
      <c r="G146" s="55">
        <v>6.45</v>
      </c>
      <c r="H146" s="55">
        <v>278.72000000000003</v>
      </c>
      <c r="I146" s="55">
        <v>0.12</v>
      </c>
      <c r="J146" s="55">
        <v>0.13</v>
      </c>
      <c r="K146" s="55">
        <v>0.12</v>
      </c>
      <c r="L146" s="55">
        <v>0.03</v>
      </c>
    </row>
    <row r="147" spans="1:12">
      <c r="A147" s="55">
        <v>140</v>
      </c>
      <c r="B147" s="55" t="s">
        <v>154</v>
      </c>
      <c r="C147" s="55">
        <v>42</v>
      </c>
      <c r="D147" s="55">
        <v>130</v>
      </c>
      <c r="E147" s="55">
        <v>173</v>
      </c>
      <c r="F147" s="55">
        <v>431</v>
      </c>
      <c r="G147" s="55">
        <v>-67.69</v>
      </c>
      <c r="H147" s="55">
        <v>-59.86</v>
      </c>
      <c r="I147" s="55">
        <v>0.15</v>
      </c>
      <c r="J147" s="55">
        <v>0.12</v>
      </c>
      <c r="K147" s="55">
        <v>0.5</v>
      </c>
      <c r="L147" s="55">
        <v>0.3</v>
      </c>
    </row>
    <row r="148" spans="1:12">
      <c r="A148" s="55">
        <v>141</v>
      </c>
      <c r="B148" s="55" t="s">
        <v>155</v>
      </c>
      <c r="C148" s="55">
        <v>18</v>
      </c>
      <c r="D148" s="55">
        <v>8</v>
      </c>
      <c r="E148" s="55">
        <v>170</v>
      </c>
      <c r="F148" s="55">
        <v>44</v>
      </c>
      <c r="G148" s="55">
        <v>125</v>
      </c>
      <c r="H148" s="55">
        <v>286.36</v>
      </c>
      <c r="I148" s="55">
        <v>0.06</v>
      </c>
      <c r="J148" s="55">
        <v>0.12</v>
      </c>
      <c r="K148" s="55">
        <v>0.03</v>
      </c>
      <c r="L148" s="55">
        <v>0.03</v>
      </c>
    </row>
    <row r="149" spans="1:12">
      <c r="A149" s="55">
        <v>142</v>
      </c>
      <c r="B149" s="55" t="s">
        <v>1038</v>
      </c>
      <c r="C149" s="55">
        <v>28</v>
      </c>
      <c r="D149" s="55">
        <v>0</v>
      </c>
      <c r="E149" s="55">
        <v>170</v>
      </c>
      <c r="F149" s="55">
        <v>0</v>
      </c>
      <c r="G149" s="55">
        <v>0</v>
      </c>
      <c r="H149" s="55">
        <v>0</v>
      </c>
      <c r="I149" s="55">
        <v>0.1</v>
      </c>
      <c r="J149" s="55">
        <v>0.12</v>
      </c>
      <c r="K149" s="55">
        <v>0</v>
      </c>
      <c r="L149" s="55">
        <v>0</v>
      </c>
    </row>
    <row r="150" spans="1:12">
      <c r="A150" s="55">
        <v>143</v>
      </c>
      <c r="B150" s="55" t="s">
        <v>177</v>
      </c>
      <c r="C150" s="55">
        <v>16</v>
      </c>
      <c r="D150" s="55">
        <v>22</v>
      </c>
      <c r="E150" s="55">
        <v>169</v>
      </c>
      <c r="F150" s="55">
        <v>205</v>
      </c>
      <c r="G150" s="55">
        <v>-27.27</v>
      </c>
      <c r="H150" s="55">
        <v>-17.559999999999999</v>
      </c>
      <c r="I150" s="55">
        <v>0.06</v>
      </c>
      <c r="J150" s="55">
        <v>0.12</v>
      </c>
      <c r="K150" s="55">
        <v>0.08</v>
      </c>
      <c r="L150" s="55">
        <v>0.14000000000000001</v>
      </c>
    </row>
    <row r="151" spans="1:12">
      <c r="A151" s="55">
        <v>144</v>
      </c>
      <c r="B151" s="55" t="s">
        <v>179</v>
      </c>
      <c r="C151" s="55">
        <v>19</v>
      </c>
      <c r="D151" s="55">
        <v>18</v>
      </c>
      <c r="E151" s="55">
        <v>169</v>
      </c>
      <c r="F151" s="55">
        <v>116</v>
      </c>
      <c r="G151" s="55">
        <v>5.56</v>
      </c>
      <c r="H151" s="55">
        <v>45.69</v>
      </c>
      <c r="I151" s="55">
        <v>7.0000000000000007E-2</v>
      </c>
      <c r="J151" s="55">
        <v>0.12</v>
      </c>
      <c r="K151" s="55">
        <v>7.0000000000000007E-2</v>
      </c>
      <c r="L151" s="55">
        <v>0.08</v>
      </c>
    </row>
    <row r="152" spans="1:12">
      <c r="A152" s="55">
        <v>145</v>
      </c>
      <c r="B152" s="55" t="s">
        <v>100</v>
      </c>
      <c r="C152" s="55">
        <v>57</v>
      </c>
      <c r="D152" s="55">
        <v>30</v>
      </c>
      <c r="E152" s="55">
        <v>166</v>
      </c>
      <c r="F152" s="55">
        <v>207</v>
      </c>
      <c r="G152" s="55">
        <v>90</v>
      </c>
      <c r="H152" s="55">
        <v>-19.809999999999999</v>
      </c>
      <c r="I152" s="55">
        <v>0.2</v>
      </c>
      <c r="J152" s="55">
        <v>0.12</v>
      </c>
      <c r="K152" s="55">
        <v>0.11</v>
      </c>
      <c r="L152" s="55">
        <v>0.14000000000000001</v>
      </c>
    </row>
    <row r="153" spans="1:12">
      <c r="A153" s="55">
        <v>146</v>
      </c>
      <c r="B153" s="55" t="s">
        <v>170</v>
      </c>
      <c r="C153" s="55">
        <v>42</v>
      </c>
      <c r="D153" s="55">
        <v>6</v>
      </c>
      <c r="E153" s="55">
        <v>166</v>
      </c>
      <c r="F153" s="55">
        <v>78</v>
      </c>
      <c r="G153" s="55">
        <v>600</v>
      </c>
      <c r="H153" s="55">
        <v>112.82</v>
      </c>
      <c r="I153" s="55">
        <v>0.15</v>
      </c>
      <c r="J153" s="55">
        <v>0.12</v>
      </c>
      <c r="K153" s="55">
        <v>0.02</v>
      </c>
      <c r="L153" s="55">
        <v>0.05</v>
      </c>
    </row>
    <row r="154" spans="1:12">
      <c r="A154" s="55">
        <v>147</v>
      </c>
      <c r="B154" s="55" t="s">
        <v>126</v>
      </c>
      <c r="C154" s="55">
        <v>67</v>
      </c>
      <c r="D154" s="55">
        <v>20</v>
      </c>
      <c r="E154" s="55">
        <v>162</v>
      </c>
      <c r="F154" s="55">
        <v>156</v>
      </c>
      <c r="G154" s="55">
        <v>235</v>
      </c>
      <c r="H154" s="55">
        <v>3.85</v>
      </c>
      <c r="I154" s="55">
        <v>0.24</v>
      </c>
      <c r="J154" s="55">
        <v>0.12</v>
      </c>
      <c r="K154" s="55">
        <v>0.08</v>
      </c>
      <c r="L154" s="55">
        <v>0.11</v>
      </c>
    </row>
    <row r="155" spans="1:12">
      <c r="A155" s="55">
        <v>148</v>
      </c>
      <c r="B155" s="55" t="s">
        <v>168</v>
      </c>
      <c r="C155" s="55">
        <v>24</v>
      </c>
      <c r="D155" s="55">
        <v>1</v>
      </c>
      <c r="E155" s="55">
        <v>160</v>
      </c>
      <c r="F155" s="55">
        <v>29</v>
      </c>
      <c r="G155" s="55">
        <v>2300</v>
      </c>
      <c r="H155" s="55">
        <v>451.72</v>
      </c>
      <c r="I155" s="55">
        <v>0.08</v>
      </c>
      <c r="J155" s="55">
        <v>0.11</v>
      </c>
      <c r="K155" s="55">
        <v>0</v>
      </c>
      <c r="L155" s="55">
        <v>0.02</v>
      </c>
    </row>
    <row r="156" spans="1:12">
      <c r="A156" s="55">
        <v>149</v>
      </c>
      <c r="B156" s="55" t="s">
        <v>98</v>
      </c>
      <c r="C156" s="55">
        <v>29</v>
      </c>
      <c r="D156" s="55">
        <v>53</v>
      </c>
      <c r="E156" s="55">
        <v>157</v>
      </c>
      <c r="F156" s="55">
        <v>400</v>
      </c>
      <c r="G156" s="55">
        <v>-45.28</v>
      </c>
      <c r="H156" s="55">
        <v>-60.75</v>
      </c>
      <c r="I156" s="55">
        <v>0.1</v>
      </c>
      <c r="J156" s="55">
        <v>0.11</v>
      </c>
      <c r="K156" s="55">
        <v>0.2</v>
      </c>
      <c r="L156" s="55">
        <v>0.28000000000000003</v>
      </c>
    </row>
    <row r="157" spans="1:12">
      <c r="A157" s="55">
        <v>150</v>
      </c>
      <c r="B157" s="55" t="s">
        <v>66</v>
      </c>
      <c r="C157" s="55">
        <v>71</v>
      </c>
      <c r="D157" s="55">
        <v>73</v>
      </c>
      <c r="E157" s="55">
        <v>153</v>
      </c>
      <c r="F157" s="55">
        <v>463</v>
      </c>
      <c r="G157" s="55">
        <v>-2.74</v>
      </c>
      <c r="H157" s="55">
        <v>-66.95</v>
      </c>
      <c r="I157" s="55">
        <v>0.25</v>
      </c>
      <c r="J157" s="55">
        <v>0.11</v>
      </c>
      <c r="K157" s="55">
        <v>0.28000000000000003</v>
      </c>
      <c r="L157" s="55">
        <v>0.32</v>
      </c>
    </row>
    <row r="158" spans="1:12">
      <c r="A158" s="55">
        <v>151</v>
      </c>
      <c r="B158" s="55" t="s">
        <v>638</v>
      </c>
      <c r="C158" s="55">
        <v>38</v>
      </c>
      <c r="D158" s="55">
        <v>12</v>
      </c>
      <c r="E158" s="55">
        <v>151</v>
      </c>
      <c r="F158" s="55">
        <v>68</v>
      </c>
      <c r="G158" s="55">
        <v>216.67</v>
      </c>
      <c r="H158" s="55">
        <v>122.06</v>
      </c>
      <c r="I158" s="55">
        <v>0.13</v>
      </c>
      <c r="J158" s="55">
        <v>0.11</v>
      </c>
      <c r="K158" s="55">
        <v>0.05</v>
      </c>
      <c r="L158" s="55">
        <v>0.05</v>
      </c>
    </row>
    <row r="159" spans="1:12">
      <c r="A159" s="55">
        <v>152</v>
      </c>
      <c r="B159" s="55" t="s">
        <v>1007</v>
      </c>
      <c r="C159" s="55">
        <v>37</v>
      </c>
      <c r="D159" s="55">
        <v>0</v>
      </c>
      <c r="E159" s="55">
        <v>146</v>
      </c>
      <c r="F159" s="55">
        <v>0</v>
      </c>
      <c r="G159" s="55">
        <v>0</v>
      </c>
      <c r="H159" s="55">
        <v>0</v>
      </c>
      <c r="I159" s="55">
        <v>0.13</v>
      </c>
      <c r="J159" s="55">
        <v>0.1</v>
      </c>
      <c r="K159" s="55">
        <v>0</v>
      </c>
      <c r="L159" s="55">
        <v>0</v>
      </c>
    </row>
    <row r="160" spans="1:12">
      <c r="A160" s="55">
        <v>153</v>
      </c>
      <c r="B160" s="55" t="s">
        <v>370</v>
      </c>
      <c r="C160" s="55">
        <v>16</v>
      </c>
      <c r="D160" s="55">
        <v>43</v>
      </c>
      <c r="E160" s="55">
        <v>145</v>
      </c>
      <c r="F160" s="55">
        <v>259</v>
      </c>
      <c r="G160" s="55">
        <v>-62.79</v>
      </c>
      <c r="H160" s="55">
        <v>-44.02</v>
      </c>
      <c r="I160" s="55">
        <v>0.06</v>
      </c>
      <c r="J160" s="55">
        <v>0.1</v>
      </c>
      <c r="K160" s="55">
        <v>0.16</v>
      </c>
      <c r="L160" s="55">
        <v>0.18</v>
      </c>
    </row>
    <row r="161" spans="1:12">
      <c r="A161" s="55">
        <v>154</v>
      </c>
      <c r="B161" s="55" t="s">
        <v>151</v>
      </c>
      <c r="C161" s="55">
        <v>33</v>
      </c>
      <c r="D161" s="55">
        <v>10</v>
      </c>
      <c r="E161" s="55">
        <v>145</v>
      </c>
      <c r="F161" s="55">
        <v>133</v>
      </c>
      <c r="G161" s="55">
        <v>230</v>
      </c>
      <c r="H161" s="55">
        <v>9.02</v>
      </c>
      <c r="I161" s="55">
        <v>0.12</v>
      </c>
      <c r="J161" s="55">
        <v>0.1</v>
      </c>
      <c r="K161" s="55">
        <v>0.04</v>
      </c>
      <c r="L161" s="55">
        <v>0.09</v>
      </c>
    </row>
    <row r="162" spans="1:12">
      <c r="A162" s="55">
        <v>155</v>
      </c>
      <c r="B162" s="55" t="s">
        <v>586</v>
      </c>
      <c r="C162" s="55">
        <v>1</v>
      </c>
      <c r="D162" s="55">
        <v>337</v>
      </c>
      <c r="E162" s="55">
        <v>143</v>
      </c>
      <c r="F162" s="55">
        <v>1284</v>
      </c>
      <c r="G162" s="55">
        <v>-99.7</v>
      </c>
      <c r="H162" s="55">
        <v>-88.86</v>
      </c>
      <c r="I162" s="55">
        <v>0</v>
      </c>
      <c r="J162" s="55">
        <v>0.1</v>
      </c>
      <c r="K162" s="55">
        <v>1.29</v>
      </c>
      <c r="L162" s="55">
        <v>0.89</v>
      </c>
    </row>
    <row r="163" spans="1:12">
      <c r="A163" s="55">
        <v>156</v>
      </c>
      <c r="B163" s="55" t="s">
        <v>482</v>
      </c>
      <c r="C163" s="55">
        <v>18</v>
      </c>
      <c r="D163" s="55">
        <v>32</v>
      </c>
      <c r="E163" s="55">
        <v>143</v>
      </c>
      <c r="F163" s="55">
        <v>169</v>
      </c>
      <c r="G163" s="55">
        <v>-43.75</v>
      </c>
      <c r="H163" s="55">
        <v>-15.38</v>
      </c>
      <c r="I163" s="55">
        <v>0.06</v>
      </c>
      <c r="J163" s="55">
        <v>0.1</v>
      </c>
      <c r="K163" s="55">
        <v>0.12</v>
      </c>
      <c r="L163" s="55">
        <v>0.12</v>
      </c>
    </row>
    <row r="164" spans="1:12">
      <c r="A164" s="55">
        <v>157</v>
      </c>
      <c r="B164" s="55" t="s">
        <v>114</v>
      </c>
      <c r="C164" s="55">
        <v>18</v>
      </c>
      <c r="D164" s="55">
        <v>11</v>
      </c>
      <c r="E164" s="55">
        <v>141</v>
      </c>
      <c r="F164" s="55">
        <v>189</v>
      </c>
      <c r="G164" s="55">
        <v>63.64</v>
      </c>
      <c r="H164" s="55">
        <v>-25.4</v>
      </c>
      <c r="I164" s="55">
        <v>0.06</v>
      </c>
      <c r="J164" s="55">
        <v>0.1</v>
      </c>
      <c r="K164" s="55">
        <v>0.04</v>
      </c>
      <c r="L164" s="55">
        <v>0.13</v>
      </c>
    </row>
    <row r="165" spans="1:12">
      <c r="A165" s="55">
        <v>158</v>
      </c>
      <c r="B165" s="55" t="s">
        <v>166</v>
      </c>
      <c r="C165" s="55">
        <v>19</v>
      </c>
      <c r="D165" s="55">
        <v>6</v>
      </c>
      <c r="E165" s="55">
        <v>139</v>
      </c>
      <c r="F165" s="55">
        <v>163</v>
      </c>
      <c r="G165" s="55">
        <v>216.67</v>
      </c>
      <c r="H165" s="55">
        <v>-14.72</v>
      </c>
      <c r="I165" s="55">
        <v>7.0000000000000007E-2</v>
      </c>
      <c r="J165" s="55">
        <v>0.1</v>
      </c>
      <c r="K165" s="55">
        <v>0.02</v>
      </c>
      <c r="L165" s="55">
        <v>0.11</v>
      </c>
    </row>
    <row r="166" spans="1:12">
      <c r="A166" s="55">
        <v>159</v>
      </c>
      <c r="B166" s="55" t="s">
        <v>118</v>
      </c>
      <c r="C166" s="55">
        <v>26</v>
      </c>
      <c r="D166" s="55">
        <v>2</v>
      </c>
      <c r="E166" s="55">
        <v>137</v>
      </c>
      <c r="F166" s="55">
        <v>86</v>
      </c>
      <c r="G166" s="55">
        <v>1200</v>
      </c>
      <c r="H166" s="55">
        <v>59.3</v>
      </c>
      <c r="I166" s="55">
        <v>0.09</v>
      </c>
      <c r="J166" s="55">
        <v>0.1</v>
      </c>
      <c r="K166" s="55">
        <v>0.01</v>
      </c>
      <c r="L166" s="55">
        <v>0.06</v>
      </c>
    </row>
    <row r="167" spans="1:12">
      <c r="A167" s="55">
        <v>160</v>
      </c>
      <c r="B167" s="55" t="s">
        <v>190</v>
      </c>
      <c r="C167" s="55">
        <v>14</v>
      </c>
      <c r="D167" s="55">
        <v>11</v>
      </c>
      <c r="E167" s="55">
        <v>129</v>
      </c>
      <c r="F167" s="55">
        <v>27</v>
      </c>
      <c r="G167" s="55">
        <v>27.27</v>
      </c>
      <c r="H167" s="55">
        <v>377.78</v>
      </c>
      <c r="I167" s="55">
        <v>0.05</v>
      </c>
      <c r="J167" s="55">
        <v>0.09</v>
      </c>
      <c r="K167" s="55">
        <v>0.04</v>
      </c>
      <c r="L167" s="55">
        <v>0.02</v>
      </c>
    </row>
    <row r="168" spans="1:12">
      <c r="A168" s="55">
        <v>161</v>
      </c>
      <c r="B168" s="55" t="s">
        <v>610</v>
      </c>
      <c r="C168" s="55">
        <v>15</v>
      </c>
      <c r="D168" s="55">
        <v>18</v>
      </c>
      <c r="E168" s="55">
        <v>126</v>
      </c>
      <c r="F168" s="55">
        <v>128</v>
      </c>
      <c r="G168" s="55">
        <v>-16.670000000000002</v>
      </c>
      <c r="H168" s="55">
        <v>-1.56</v>
      </c>
      <c r="I168" s="55">
        <v>0.05</v>
      </c>
      <c r="J168" s="55">
        <v>0.09</v>
      </c>
      <c r="K168" s="55">
        <v>7.0000000000000007E-2</v>
      </c>
      <c r="L168" s="55">
        <v>0.09</v>
      </c>
    </row>
    <row r="169" spans="1:12">
      <c r="A169" s="55">
        <v>162</v>
      </c>
      <c r="B169" s="55" t="s">
        <v>157</v>
      </c>
      <c r="C169" s="55">
        <v>33</v>
      </c>
      <c r="D169" s="55">
        <v>45</v>
      </c>
      <c r="E169" s="55">
        <v>122</v>
      </c>
      <c r="F169" s="55">
        <v>308</v>
      </c>
      <c r="G169" s="55">
        <v>-26.67</v>
      </c>
      <c r="H169" s="55">
        <v>-60.39</v>
      </c>
      <c r="I169" s="55">
        <v>0.12</v>
      </c>
      <c r="J169" s="55">
        <v>0.09</v>
      </c>
      <c r="K169" s="55">
        <v>0.17</v>
      </c>
      <c r="L169" s="55">
        <v>0.21</v>
      </c>
    </row>
    <row r="170" spans="1:12">
      <c r="A170" s="55">
        <v>163</v>
      </c>
      <c r="B170" s="55" t="s">
        <v>699</v>
      </c>
      <c r="C170" s="55">
        <v>10</v>
      </c>
      <c r="D170" s="55">
        <v>7</v>
      </c>
      <c r="E170" s="55">
        <v>115</v>
      </c>
      <c r="F170" s="55">
        <v>9</v>
      </c>
      <c r="G170" s="55">
        <v>42.86</v>
      </c>
      <c r="H170" s="55">
        <v>1177.78</v>
      </c>
      <c r="I170" s="55">
        <v>0.04</v>
      </c>
      <c r="J170" s="55">
        <v>0.08</v>
      </c>
      <c r="K170" s="55">
        <v>0.03</v>
      </c>
      <c r="L170" s="55">
        <v>0.01</v>
      </c>
    </row>
    <row r="171" spans="1:12">
      <c r="A171" s="55">
        <v>164</v>
      </c>
      <c r="B171" s="55" t="s">
        <v>164</v>
      </c>
      <c r="C171" s="55">
        <v>19</v>
      </c>
      <c r="D171" s="55">
        <v>25</v>
      </c>
      <c r="E171" s="55">
        <v>114</v>
      </c>
      <c r="F171" s="55">
        <v>113</v>
      </c>
      <c r="G171" s="55">
        <v>-24</v>
      </c>
      <c r="H171" s="55">
        <v>0.88</v>
      </c>
      <c r="I171" s="55">
        <v>7.0000000000000007E-2</v>
      </c>
      <c r="J171" s="55">
        <v>0.08</v>
      </c>
      <c r="K171" s="55">
        <v>0.1</v>
      </c>
      <c r="L171" s="55">
        <v>0.08</v>
      </c>
    </row>
    <row r="172" spans="1:12">
      <c r="A172" s="55">
        <v>165</v>
      </c>
      <c r="B172" s="55" t="s">
        <v>140</v>
      </c>
      <c r="C172" s="55">
        <v>20</v>
      </c>
      <c r="D172" s="55">
        <v>58</v>
      </c>
      <c r="E172" s="55">
        <v>112</v>
      </c>
      <c r="F172" s="55">
        <v>178</v>
      </c>
      <c r="G172" s="55">
        <v>-65.52</v>
      </c>
      <c r="H172" s="55">
        <v>-37.08</v>
      </c>
      <c r="I172" s="55">
        <v>7.0000000000000007E-2</v>
      </c>
      <c r="J172" s="55">
        <v>0.08</v>
      </c>
      <c r="K172" s="55">
        <v>0.22</v>
      </c>
      <c r="L172" s="55">
        <v>0.12</v>
      </c>
    </row>
    <row r="173" spans="1:12">
      <c r="A173" s="55">
        <v>166</v>
      </c>
      <c r="B173" s="55" t="s">
        <v>89</v>
      </c>
      <c r="C173" s="55">
        <v>19</v>
      </c>
      <c r="D173" s="55">
        <v>9</v>
      </c>
      <c r="E173" s="55">
        <v>112</v>
      </c>
      <c r="F173" s="55">
        <v>85</v>
      </c>
      <c r="G173" s="55">
        <v>111.11</v>
      </c>
      <c r="H173" s="55">
        <v>31.76</v>
      </c>
      <c r="I173" s="55">
        <v>7.0000000000000007E-2</v>
      </c>
      <c r="J173" s="55">
        <v>0.08</v>
      </c>
      <c r="K173" s="55">
        <v>0.03</v>
      </c>
      <c r="L173" s="55">
        <v>0.06</v>
      </c>
    </row>
    <row r="174" spans="1:12">
      <c r="A174" s="55">
        <v>167</v>
      </c>
      <c r="B174" s="55" t="s">
        <v>129</v>
      </c>
      <c r="C174" s="55">
        <v>12</v>
      </c>
      <c r="D174" s="55">
        <v>15</v>
      </c>
      <c r="E174" s="55">
        <v>109</v>
      </c>
      <c r="F174" s="55">
        <v>129</v>
      </c>
      <c r="G174" s="55">
        <v>-20</v>
      </c>
      <c r="H174" s="55">
        <v>-15.5</v>
      </c>
      <c r="I174" s="55">
        <v>0.04</v>
      </c>
      <c r="J174" s="55">
        <v>0.08</v>
      </c>
      <c r="K174" s="55">
        <v>0.06</v>
      </c>
      <c r="L174" s="55">
        <v>0.09</v>
      </c>
    </row>
    <row r="175" spans="1:12">
      <c r="A175" s="55">
        <v>168</v>
      </c>
      <c r="B175" s="55" t="s">
        <v>394</v>
      </c>
      <c r="C175" s="55">
        <v>7</v>
      </c>
      <c r="D175" s="55">
        <v>46</v>
      </c>
      <c r="E175" s="55">
        <v>108</v>
      </c>
      <c r="F175" s="55">
        <v>114</v>
      </c>
      <c r="G175" s="55">
        <v>-84.78</v>
      </c>
      <c r="H175" s="55">
        <v>-5.26</v>
      </c>
      <c r="I175" s="55">
        <v>0.02</v>
      </c>
      <c r="J175" s="55">
        <v>0.08</v>
      </c>
      <c r="K175" s="55">
        <v>0.18</v>
      </c>
      <c r="L175" s="55">
        <v>0.08</v>
      </c>
    </row>
    <row r="176" spans="1:12">
      <c r="A176" s="55">
        <v>169</v>
      </c>
      <c r="B176" s="55" t="s">
        <v>79</v>
      </c>
      <c r="C176" s="55">
        <v>3</v>
      </c>
      <c r="D176" s="55">
        <v>94</v>
      </c>
      <c r="E176" s="55">
        <v>106</v>
      </c>
      <c r="F176" s="55">
        <v>429</v>
      </c>
      <c r="G176" s="55">
        <v>-96.81</v>
      </c>
      <c r="H176" s="55">
        <v>-75.290000000000006</v>
      </c>
      <c r="I176" s="55">
        <v>0.01</v>
      </c>
      <c r="J176" s="55">
        <v>0.08</v>
      </c>
      <c r="K176" s="55">
        <v>0.36</v>
      </c>
      <c r="L176" s="55">
        <v>0.3</v>
      </c>
    </row>
    <row r="177" spans="1:12">
      <c r="A177" s="55">
        <v>170</v>
      </c>
      <c r="B177" s="55" t="s">
        <v>1082</v>
      </c>
      <c r="C177" s="55">
        <v>5</v>
      </c>
      <c r="D177" s="55">
        <v>0</v>
      </c>
      <c r="E177" s="55">
        <v>104</v>
      </c>
      <c r="F177" s="55">
        <v>0</v>
      </c>
      <c r="G177" s="55">
        <v>0</v>
      </c>
      <c r="H177" s="55">
        <v>0</v>
      </c>
      <c r="I177" s="55">
        <v>0.02</v>
      </c>
      <c r="J177" s="55">
        <v>7.0000000000000007E-2</v>
      </c>
      <c r="K177" s="55">
        <v>0</v>
      </c>
      <c r="L177" s="55">
        <v>0</v>
      </c>
    </row>
    <row r="178" spans="1:12">
      <c r="A178" s="55">
        <v>171</v>
      </c>
      <c r="B178" s="55" t="s">
        <v>223</v>
      </c>
      <c r="C178" s="55">
        <v>20</v>
      </c>
      <c r="D178" s="55">
        <v>12</v>
      </c>
      <c r="E178" s="55">
        <v>103</v>
      </c>
      <c r="F178" s="55">
        <v>39</v>
      </c>
      <c r="G178" s="55">
        <v>66.67</v>
      </c>
      <c r="H178" s="55">
        <v>164.1</v>
      </c>
      <c r="I178" s="55">
        <v>7.0000000000000007E-2</v>
      </c>
      <c r="J178" s="55">
        <v>7.0000000000000007E-2</v>
      </c>
      <c r="K178" s="55">
        <v>0.05</v>
      </c>
      <c r="L178" s="55">
        <v>0.03</v>
      </c>
    </row>
    <row r="179" spans="1:12">
      <c r="A179" s="55">
        <v>172</v>
      </c>
      <c r="B179" s="55" t="s">
        <v>629</v>
      </c>
      <c r="C179" s="55">
        <v>11</v>
      </c>
      <c r="D179" s="55">
        <v>17</v>
      </c>
      <c r="E179" s="55">
        <v>98</v>
      </c>
      <c r="F179" s="55">
        <v>105</v>
      </c>
      <c r="G179" s="55">
        <v>-35.29</v>
      </c>
      <c r="H179" s="55">
        <v>-6.67</v>
      </c>
      <c r="I179" s="55">
        <v>0.04</v>
      </c>
      <c r="J179" s="55">
        <v>7.0000000000000007E-2</v>
      </c>
      <c r="K179" s="55">
        <v>7.0000000000000007E-2</v>
      </c>
      <c r="L179" s="55">
        <v>7.0000000000000007E-2</v>
      </c>
    </row>
    <row r="180" spans="1:12">
      <c r="A180" s="55">
        <v>173</v>
      </c>
      <c r="B180" s="55" t="s">
        <v>121</v>
      </c>
      <c r="C180" s="55">
        <v>10</v>
      </c>
      <c r="D180" s="55">
        <v>21</v>
      </c>
      <c r="E180" s="55">
        <v>98</v>
      </c>
      <c r="F180" s="55">
        <v>97</v>
      </c>
      <c r="G180" s="55">
        <v>-52.38</v>
      </c>
      <c r="H180" s="55">
        <v>1.03</v>
      </c>
      <c r="I180" s="55">
        <v>0.04</v>
      </c>
      <c r="J180" s="55">
        <v>7.0000000000000007E-2</v>
      </c>
      <c r="K180" s="55">
        <v>0.08</v>
      </c>
      <c r="L180" s="55">
        <v>7.0000000000000007E-2</v>
      </c>
    </row>
    <row r="181" spans="1:12">
      <c r="A181" s="55">
        <v>174</v>
      </c>
      <c r="B181" s="55" t="s">
        <v>1037</v>
      </c>
      <c r="C181" s="55">
        <v>26</v>
      </c>
      <c r="D181" s="55">
        <v>0</v>
      </c>
      <c r="E181" s="55">
        <v>98</v>
      </c>
      <c r="F181" s="55">
        <v>0</v>
      </c>
      <c r="G181" s="55">
        <v>0</v>
      </c>
      <c r="H181" s="55">
        <v>0</v>
      </c>
      <c r="I181" s="55">
        <v>0.09</v>
      </c>
      <c r="J181" s="55">
        <v>7.0000000000000007E-2</v>
      </c>
      <c r="K181" s="55">
        <v>0</v>
      </c>
      <c r="L181" s="55">
        <v>0</v>
      </c>
    </row>
    <row r="182" spans="1:12">
      <c r="A182" s="55">
        <v>175</v>
      </c>
      <c r="B182" s="55" t="s">
        <v>560</v>
      </c>
      <c r="C182" s="55">
        <v>20</v>
      </c>
      <c r="D182" s="55">
        <v>8</v>
      </c>
      <c r="E182" s="55">
        <v>97</v>
      </c>
      <c r="F182" s="55">
        <v>161</v>
      </c>
      <c r="G182" s="55">
        <v>150</v>
      </c>
      <c r="H182" s="55">
        <v>-39.75</v>
      </c>
      <c r="I182" s="55">
        <v>7.0000000000000007E-2</v>
      </c>
      <c r="J182" s="55">
        <v>7.0000000000000007E-2</v>
      </c>
      <c r="K182" s="55">
        <v>0.03</v>
      </c>
      <c r="L182" s="55">
        <v>0.11</v>
      </c>
    </row>
    <row r="183" spans="1:12">
      <c r="A183" s="55">
        <v>176</v>
      </c>
      <c r="B183" s="55" t="s">
        <v>710</v>
      </c>
      <c r="C183" s="55">
        <v>16</v>
      </c>
      <c r="D183" s="55">
        <v>2</v>
      </c>
      <c r="E183" s="55">
        <v>94</v>
      </c>
      <c r="F183" s="55">
        <v>2</v>
      </c>
      <c r="G183" s="55">
        <v>700</v>
      </c>
      <c r="H183" s="55">
        <v>4600</v>
      </c>
      <c r="I183" s="55">
        <v>0.06</v>
      </c>
      <c r="J183" s="55">
        <v>7.0000000000000007E-2</v>
      </c>
      <c r="K183" s="55">
        <v>0.01</v>
      </c>
      <c r="L183" s="55">
        <v>0</v>
      </c>
    </row>
    <row r="184" spans="1:12">
      <c r="A184" s="55">
        <v>177</v>
      </c>
      <c r="B184" s="55" t="s">
        <v>209</v>
      </c>
      <c r="C184" s="55">
        <v>13</v>
      </c>
      <c r="D184" s="55">
        <v>21</v>
      </c>
      <c r="E184" s="55">
        <v>93</v>
      </c>
      <c r="F184" s="55">
        <v>98</v>
      </c>
      <c r="G184" s="55">
        <v>-38.1</v>
      </c>
      <c r="H184" s="55">
        <v>-5.0999999999999996</v>
      </c>
      <c r="I184" s="55">
        <v>0.05</v>
      </c>
      <c r="J184" s="55">
        <v>7.0000000000000007E-2</v>
      </c>
      <c r="K184" s="55">
        <v>0.08</v>
      </c>
      <c r="L184" s="55">
        <v>7.0000000000000007E-2</v>
      </c>
    </row>
    <row r="185" spans="1:12">
      <c r="A185" s="55">
        <v>178</v>
      </c>
      <c r="B185" s="55" t="s">
        <v>175</v>
      </c>
      <c r="C185" s="55">
        <v>49</v>
      </c>
      <c r="D185" s="55">
        <v>7</v>
      </c>
      <c r="E185" s="55">
        <v>93</v>
      </c>
      <c r="F185" s="55">
        <v>35</v>
      </c>
      <c r="G185" s="55">
        <v>600</v>
      </c>
      <c r="H185" s="55">
        <v>165.71</v>
      </c>
      <c r="I185" s="55">
        <v>0.17</v>
      </c>
      <c r="J185" s="55">
        <v>7.0000000000000007E-2</v>
      </c>
      <c r="K185" s="55">
        <v>0.03</v>
      </c>
      <c r="L185" s="55">
        <v>0.02</v>
      </c>
    </row>
    <row r="186" spans="1:12">
      <c r="A186" s="55">
        <v>179</v>
      </c>
      <c r="B186" s="55" t="s">
        <v>192</v>
      </c>
      <c r="C186" s="55">
        <v>10</v>
      </c>
      <c r="D186" s="55">
        <v>10</v>
      </c>
      <c r="E186" s="55">
        <v>92</v>
      </c>
      <c r="F186" s="55">
        <v>55</v>
      </c>
      <c r="G186" s="55">
        <v>0</v>
      </c>
      <c r="H186" s="55">
        <v>67.27</v>
      </c>
      <c r="I186" s="55">
        <v>0.04</v>
      </c>
      <c r="J186" s="55">
        <v>7.0000000000000007E-2</v>
      </c>
      <c r="K186" s="55">
        <v>0.04</v>
      </c>
      <c r="L186" s="55">
        <v>0.04</v>
      </c>
    </row>
    <row r="187" spans="1:12">
      <c r="A187" s="55">
        <v>180</v>
      </c>
      <c r="B187" s="55" t="s">
        <v>162</v>
      </c>
      <c r="C187" s="55">
        <v>12</v>
      </c>
      <c r="D187" s="55">
        <v>28</v>
      </c>
      <c r="E187" s="55">
        <v>90</v>
      </c>
      <c r="F187" s="55">
        <v>232</v>
      </c>
      <c r="G187" s="55">
        <v>-57.14</v>
      </c>
      <c r="H187" s="55">
        <v>-61.21</v>
      </c>
      <c r="I187" s="55">
        <v>0.04</v>
      </c>
      <c r="J187" s="55">
        <v>0.06</v>
      </c>
      <c r="K187" s="55">
        <v>0.11</v>
      </c>
      <c r="L187" s="55">
        <v>0.16</v>
      </c>
    </row>
    <row r="188" spans="1:12">
      <c r="A188" s="55">
        <v>181</v>
      </c>
      <c r="B188" s="55" t="s">
        <v>372</v>
      </c>
      <c r="C188" s="55">
        <v>22</v>
      </c>
      <c r="D188" s="55">
        <v>19</v>
      </c>
      <c r="E188" s="55">
        <v>89</v>
      </c>
      <c r="F188" s="55">
        <v>117</v>
      </c>
      <c r="G188" s="55">
        <v>15.79</v>
      </c>
      <c r="H188" s="55">
        <v>-23.93</v>
      </c>
      <c r="I188" s="55">
        <v>0.08</v>
      </c>
      <c r="J188" s="55">
        <v>0.06</v>
      </c>
      <c r="K188" s="55">
        <v>7.0000000000000007E-2</v>
      </c>
      <c r="L188" s="55">
        <v>0.08</v>
      </c>
    </row>
    <row r="189" spans="1:12">
      <c r="A189" s="55">
        <v>182</v>
      </c>
      <c r="B189" s="55" t="s">
        <v>187</v>
      </c>
      <c r="C189" s="55">
        <v>19</v>
      </c>
      <c r="D189" s="55">
        <v>22</v>
      </c>
      <c r="E189" s="55">
        <v>87</v>
      </c>
      <c r="F189" s="55">
        <v>87</v>
      </c>
      <c r="G189" s="55">
        <v>-13.64</v>
      </c>
      <c r="H189" s="55">
        <v>0</v>
      </c>
      <c r="I189" s="55">
        <v>7.0000000000000007E-2</v>
      </c>
      <c r="J189" s="55">
        <v>0.06</v>
      </c>
      <c r="K189" s="55">
        <v>0.08</v>
      </c>
      <c r="L189" s="55">
        <v>0.06</v>
      </c>
    </row>
    <row r="190" spans="1:12">
      <c r="A190" s="55">
        <v>183</v>
      </c>
      <c r="B190" s="55" t="s">
        <v>205</v>
      </c>
      <c r="C190" s="55">
        <v>80</v>
      </c>
      <c r="D190" s="55">
        <v>30</v>
      </c>
      <c r="E190" s="55">
        <v>86</v>
      </c>
      <c r="F190" s="55">
        <v>160</v>
      </c>
      <c r="G190" s="55">
        <v>166.67</v>
      </c>
      <c r="H190" s="55">
        <v>-46.25</v>
      </c>
      <c r="I190" s="55">
        <v>0.28000000000000003</v>
      </c>
      <c r="J190" s="55">
        <v>0.06</v>
      </c>
      <c r="K190" s="55">
        <v>0.11</v>
      </c>
      <c r="L190" s="55">
        <v>0.11</v>
      </c>
    </row>
    <row r="191" spans="1:12">
      <c r="A191" s="55">
        <v>184</v>
      </c>
      <c r="B191" s="55" t="s">
        <v>152</v>
      </c>
      <c r="C191" s="55">
        <v>11</v>
      </c>
      <c r="D191" s="55">
        <v>47</v>
      </c>
      <c r="E191" s="55">
        <v>83</v>
      </c>
      <c r="F191" s="55">
        <v>154</v>
      </c>
      <c r="G191" s="55">
        <v>-76.599999999999994</v>
      </c>
      <c r="H191" s="55">
        <v>-46.1</v>
      </c>
      <c r="I191" s="55">
        <v>0.04</v>
      </c>
      <c r="J191" s="55">
        <v>0.06</v>
      </c>
      <c r="K191" s="55">
        <v>0.18</v>
      </c>
      <c r="L191" s="55">
        <v>0.11</v>
      </c>
    </row>
    <row r="192" spans="1:12">
      <c r="A192" s="55">
        <v>185</v>
      </c>
      <c r="B192" s="55" t="s">
        <v>199</v>
      </c>
      <c r="C192" s="55">
        <v>16</v>
      </c>
      <c r="D192" s="55">
        <v>9</v>
      </c>
      <c r="E192" s="55">
        <v>82</v>
      </c>
      <c r="F192" s="55">
        <v>70</v>
      </c>
      <c r="G192" s="55">
        <v>77.78</v>
      </c>
      <c r="H192" s="55">
        <v>17.14</v>
      </c>
      <c r="I192" s="55">
        <v>0.06</v>
      </c>
      <c r="J192" s="55">
        <v>0.06</v>
      </c>
      <c r="K192" s="55">
        <v>0.03</v>
      </c>
      <c r="L192" s="55">
        <v>0.05</v>
      </c>
    </row>
    <row r="193" spans="1:12">
      <c r="A193" s="55">
        <v>186</v>
      </c>
      <c r="B193" s="55" t="s">
        <v>188</v>
      </c>
      <c r="C193" s="55">
        <v>12</v>
      </c>
      <c r="D193" s="55">
        <v>7</v>
      </c>
      <c r="E193" s="55">
        <v>81</v>
      </c>
      <c r="F193" s="55">
        <v>34</v>
      </c>
      <c r="G193" s="55">
        <v>71.430000000000007</v>
      </c>
      <c r="H193" s="55">
        <v>138.24</v>
      </c>
      <c r="I193" s="55">
        <v>0.04</v>
      </c>
      <c r="J193" s="55">
        <v>0.06</v>
      </c>
      <c r="K193" s="55">
        <v>0.03</v>
      </c>
      <c r="L193" s="55">
        <v>0.02</v>
      </c>
    </row>
    <row r="194" spans="1:12">
      <c r="A194" s="55">
        <v>187</v>
      </c>
      <c r="B194" s="55" t="s">
        <v>147</v>
      </c>
      <c r="C194" s="55">
        <v>23</v>
      </c>
      <c r="D194" s="55">
        <v>18</v>
      </c>
      <c r="E194" s="55">
        <v>79</v>
      </c>
      <c r="F194" s="55">
        <v>65</v>
      </c>
      <c r="G194" s="55">
        <v>27.78</v>
      </c>
      <c r="H194" s="55">
        <v>21.54</v>
      </c>
      <c r="I194" s="55">
        <v>0.08</v>
      </c>
      <c r="J194" s="55">
        <v>0.06</v>
      </c>
      <c r="K194" s="55">
        <v>7.0000000000000007E-2</v>
      </c>
      <c r="L194" s="55">
        <v>0.05</v>
      </c>
    </row>
    <row r="195" spans="1:12">
      <c r="A195" s="55">
        <v>188</v>
      </c>
      <c r="B195" s="55" t="s">
        <v>698</v>
      </c>
      <c r="C195" s="55">
        <v>33</v>
      </c>
      <c r="D195" s="55">
        <v>1</v>
      </c>
      <c r="E195" s="55">
        <v>79</v>
      </c>
      <c r="F195" s="55">
        <v>5</v>
      </c>
      <c r="G195" s="55">
        <v>3200</v>
      </c>
      <c r="H195" s="55">
        <v>1480</v>
      </c>
      <c r="I195" s="55">
        <v>0.12</v>
      </c>
      <c r="J195" s="55">
        <v>0.06</v>
      </c>
      <c r="K195" s="55">
        <v>0</v>
      </c>
      <c r="L195" s="55">
        <v>0</v>
      </c>
    </row>
    <row r="196" spans="1:12">
      <c r="A196" s="55">
        <v>189</v>
      </c>
      <c r="B196" s="55" t="s">
        <v>1186</v>
      </c>
      <c r="C196" s="55">
        <v>14</v>
      </c>
      <c r="D196" s="55">
        <v>0</v>
      </c>
      <c r="E196" s="55">
        <v>77</v>
      </c>
      <c r="F196" s="55">
        <v>0</v>
      </c>
      <c r="G196" s="55">
        <v>0</v>
      </c>
      <c r="H196" s="55">
        <v>0</v>
      </c>
      <c r="I196" s="55">
        <v>0.05</v>
      </c>
      <c r="J196" s="55">
        <v>0.05</v>
      </c>
      <c r="K196" s="55">
        <v>0</v>
      </c>
      <c r="L196" s="55">
        <v>0</v>
      </c>
    </row>
    <row r="197" spans="1:12">
      <c r="A197" s="55">
        <v>190</v>
      </c>
      <c r="B197" s="55" t="s">
        <v>1036</v>
      </c>
      <c r="C197" s="55">
        <v>29</v>
      </c>
      <c r="D197" s="55">
        <v>0</v>
      </c>
      <c r="E197" s="55">
        <v>76</v>
      </c>
      <c r="F197" s="55">
        <v>0</v>
      </c>
      <c r="G197" s="55">
        <v>0</v>
      </c>
      <c r="H197" s="55">
        <v>0</v>
      </c>
      <c r="I197" s="55">
        <v>0.1</v>
      </c>
      <c r="J197" s="55">
        <v>0.05</v>
      </c>
      <c r="K197" s="55">
        <v>0</v>
      </c>
      <c r="L197" s="55">
        <v>0</v>
      </c>
    </row>
    <row r="198" spans="1:12">
      <c r="A198" s="55">
        <v>191</v>
      </c>
      <c r="B198" s="55" t="s">
        <v>428</v>
      </c>
      <c r="C198" s="55">
        <v>4</v>
      </c>
      <c r="D198" s="55">
        <v>29</v>
      </c>
      <c r="E198" s="55">
        <v>73</v>
      </c>
      <c r="F198" s="55">
        <v>69</v>
      </c>
      <c r="G198" s="55">
        <v>-86.21</v>
      </c>
      <c r="H198" s="55">
        <v>5.8</v>
      </c>
      <c r="I198" s="55">
        <v>0.01</v>
      </c>
      <c r="J198" s="55">
        <v>0.05</v>
      </c>
      <c r="K198" s="55">
        <v>0.11</v>
      </c>
      <c r="L198" s="55">
        <v>0.05</v>
      </c>
    </row>
    <row r="199" spans="1:12">
      <c r="A199" s="55">
        <v>192</v>
      </c>
      <c r="B199" s="55" t="s">
        <v>210</v>
      </c>
      <c r="C199" s="55">
        <v>10</v>
      </c>
      <c r="D199" s="55">
        <v>12</v>
      </c>
      <c r="E199" s="55">
        <v>73</v>
      </c>
      <c r="F199" s="55">
        <v>45</v>
      </c>
      <c r="G199" s="55">
        <v>-16.670000000000002</v>
      </c>
      <c r="H199" s="55">
        <v>62.22</v>
      </c>
      <c r="I199" s="55">
        <v>0.04</v>
      </c>
      <c r="J199" s="55">
        <v>0.05</v>
      </c>
      <c r="K199" s="55">
        <v>0.05</v>
      </c>
      <c r="L199" s="55">
        <v>0.03</v>
      </c>
    </row>
    <row r="200" spans="1:12">
      <c r="A200" s="55">
        <v>193</v>
      </c>
      <c r="B200" s="55" t="s">
        <v>668</v>
      </c>
      <c r="C200" s="55">
        <v>13</v>
      </c>
      <c r="D200" s="55">
        <v>0</v>
      </c>
      <c r="E200" s="55">
        <v>73</v>
      </c>
      <c r="F200" s="55">
        <v>2</v>
      </c>
      <c r="G200" s="55">
        <v>0</v>
      </c>
      <c r="H200" s="55">
        <v>3550</v>
      </c>
      <c r="I200" s="55">
        <v>0.05</v>
      </c>
      <c r="J200" s="55">
        <v>0.05</v>
      </c>
      <c r="K200" s="55">
        <v>0</v>
      </c>
      <c r="L200" s="55">
        <v>0</v>
      </c>
    </row>
    <row r="201" spans="1:12">
      <c r="A201" s="55">
        <v>194</v>
      </c>
      <c r="B201" s="55" t="s">
        <v>176</v>
      </c>
      <c r="C201" s="55">
        <v>14</v>
      </c>
      <c r="D201" s="55">
        <v>25</v>
      </c>
      <c r="E201" s="55">
        <v>72</v>
      </c>
      <c r="F201" s="55">
        <v>172</v>
      </c>
      <c r="G201" s="55">
        <v>-44</v>
      </c>
      <c r="H201" s="55">
        <v>-58.14</v>
      </c>
      <c r="I201" s="55">
        <v>0.05</v>
      </c>
      <c r="J201" s="55">
        <v>0.05</v>
      </c>
      <c r="K201" s="55">
        <v>0.1</v>
      </c>
      <c r="L201" s="55">
        <v>0.12</v>
      </c>
    </row>
    <row r="202" spans="1:12">
      <c r="A202" s="55">
        <v>195</v>
      </c>
      <c r="B202" s="55" t="s">
        <v>1135</v>
      </c>
      <c r="C202" s="55">
        <v>20</v>
      </c>
      <c r="D202" s="55">
        <v>0</v>
      </c>
      <c r="E202" s="55">
        <v>72</v>
      </c>
      <c r="F202" s="55">
        <v>0</v>
      </c>
      <c r="G202" s="55">
        <v>0</v>
      </c>
      <c r="H202" s="55">
        <v>0</v>
      </c>
      <c r="I202" s="55">
        <v>7.0000000000000007E-2</v>
      </c>
      <c r="J202" s="55">
        <v>0.05</v>
      </c>
      <c r="K202" s="55">
        <v>0</v>
      </c>
      <c r="L202" s="55">
        <v>0</v>
      </c>
    </row>
    <row r="203" spans="1:12">
      <c r="A203" s="55">
        <v>196</v>
      </c>
      <c r="B203" s="55" t="s">
        <v>390</v>
      </c>
      <c r="C203" s="55">
        <v>4</v>
      </c>
      <c r="D203" s="55">
        <v>29</v>
      </c>
      <c r="E203" s="55">
        <v>71</v>
      </c>
      <c r="F203" s="55">
        <v>97</v>
      </c>
      <c r="G203" s="55">
        <v>-86.21</v>
      </c>
      <c r="H203" s="55">
        <v>-26.8</v>
      </c>
      <c r="I203" s="55">
        <v>0.01</v>
      </c>
      <c r="J203" s="55">
        <v>0.05</v>
      </c>
      <c r="K203" s="55">
        <v>0.11</v>
      </c>
      <c r="L203" s="55">
        <v>7.0000000000000007E-2</v>
      </c>
    </row>
    <row r="204" spans="1:12">
      <c r="A204" s="55">
        <v>197</v>
      </c>
      <c r="B204" s="55" t="s">
        <v>423</v>
      </c>
      <c r="C204" s="55">
        <v>1</v>
      </c>
      <c r="D204" s="55">
        <v>118</v>
      </c>
      <c r="E204" s="55">
        <v>66</v>
      </c>
      <c r="F204" s="55">
        <v>627</v>
      </c>
      <c r="G204" s="55">
        <v>-99.15</v>
      </c>
      <c r="H204" s="55">
        <v>-89.47</v>
      </c>
      <c r="I204" s="55">
        <v>0</v>
      </c>
      <c r="J204" s="55">
        <v>0.05</v>
      </c>
      <c r="K204" s="55">
        <v>0.45</v>
      </c>
      <c r="L204" s="55">
        <v>0.43</v>
      </c>
    </row>
    <row r="205" spans="1:12">
      <c r="A205" s="55">
        <v>198</v>
      </c>
      <c r="B205" s="55" t="s">
        <v>193</v>
      </c>
      <c r="C205" s="55">
        <v>13</v>
      </c>
      <c r="D205" s="55">
        <v>4</v>
      </c>
      <c r="E205" s="55">
        <v>66</v>
      </c>
      <c r="F205" s="55">
        <v>146</v>
      </c>
      <c r="G205" s="55">
        <v>225</v>
      </c>
      <c r="H205" s="55">
        <v>-54.79</v>
      </c>
      <c r="I205" s="55">
        <v>0.05</v>
      </c>
      <c r="J205" s="55">
        <v>0.05</v>
      </c>
      <c r="K205" s="55">
        <v>0.02</v>
      </c>
      <c r="L205" s="55">
        <v>0.1</v>
      </c>
    </row>
    <row r="206" spans="1:12">
      <c r="A206" s="55">
        <v>199</v>
      </c>
      <c r="B206" s="55" t="s">
        <v>186</v>
      </c>
      <c r="C206" s="55">
        <v>17</v>
      </c>
      <c r="D206" s="55">
        <v>11</v>
      </c>
      <c r="E206" s="55">
        <v>62</v>
      </c>
      <c r="F206" s="55">
        <v>50</v>
      </c>
      <c r="G206" s="55">
        <v>54.55</v>
      </c>
      <c r="H206" s="55">
        <v>24</v>
      </c>
      <c r="I206" s="55">
        <v>0.06</v>
      </c>
      <c r="J206" s="55">
        <v>0.04</v>
      </c>
      <c r="K206" s="55">
        <v>0.04</v>
      </c>
      <c r="L206" s="55">
        <v>0.03</v>
      </c>
    </row>
    <row r="207" spans="1:12">
      <c r="A207" s="55">
        <v>200</v>
      </c>
      <c r="B207" s="55" t="s">
        <v>637</v>
      </c>
      <c r="C207" s="55">
        <v>7</v>
      </c>
      <c r="D207" s="55">
        <v>171</v>
      </c>
      <c r="E207" s="55">
        <v>61</v>
      </c>
      <c r="F207" s="55">
        <v>613</v>
      </c>
      <c r="G207" s="55">
        <v>-95.91</v>
      </c>
      <c r="H207" s="55">
        <v>-90.05</v>
      </c>
      <c r="I207" s="55">
        <v>0.02</v>
      </c>
      <c r="J207" s="55">
        <v>0.04</v>
      </c>
      <c r="K207" s="55">
        <v>0.66</v>
      </c>
      <c r="L207" s="55">
        <v>0.43</v>
      </c>
    </row>
    <row r="208" spans="1:12">
      <c r="A208" s="55">
        <v>201</v>
      </c>
      <c r="B208" s="55" t="s">
        <v>145</v>
      </c>
      <c r="C208" s="55">
        <v>22</v>
      </c>
      <c r="D208" s="55">
        <v>28</v>
      </c>
      <c r="E208" s="55">
        <v>60</v>
      </c>
      <c r="F208" s="55">
        <v>378</v>
      </c>
      <c r="G208" s="55">
        <v>-21.43</v>
      </c>
      <c r="H208" s="55">
        <v>-84.13</v>
      </c>
      <c r="I208" s="55">
        <v>0.08</v>
      </c>
      <c r="J208" s="55">
        <v>0.04</v>
      </c>
      <c r="K208" s="55">
        <v>0.11</v>
      </c>
      <c r="L208" s="55">
        <v>0.26</v>
      </c>
    </row>
    <row r="209" spans="1:12">
      <c r="A209" s="55">
        <v>202</v>
      </c>
      <c r="B209" s="55" t="s">
        <v>200</v>
      </c>
      <c r="C209" s="55">
        <v>19</v>
      </c>
      <c r="D209" s="55">
        <v>11</v>
      </c>
      <c r="E209" s="55">
        <v>58</v>
      </c>
      <c r="F209" s="55">
        <v>76</v>
      </c>
      <c r="G209" s="55">
        <v>72.73</v>
      </c>
      <c r="H209" s="55">
        <v>-23.68</v>
      </c>
      <c r="I209" s="55">
        <v>7.0000000000000007E-2</v>
      </c>
      <c r="J209" s="55">
        <v>0.04</v>
      </c>
      <c r="K209" s="55">
        <v>0.04</v>
      </c>
      <c r="L209" s="55">
        <v>0.05</v>
      </c>
    </row>
    <row r="210" spans="1:12">
      <c r="A210" s="55">
        <v>203</v>
      </c>
      <c r="B210" s="55" t="s">
        <v>202</v>
      </c>
      <c r="C210" s="55">
        <v>14</v>
      </c>
      <c r="D210" s="55">
        <v>19</v>
      </c>
      <c r="E210" s="55">
        <v>57</v>
      </c>
      <c r="F210" s="55">
        <v>64</v>
      </c>
      <c r="G210" s="55">
        <v>-26.32</v>
      </c>
      <c r="H210" s="55">
        <v>-10.94</v>
      </c>
      <c r="I210" s="55">
        <v>0.05</v>
      </c>
      <c r="J210" s="55">
        <v>0.04</v>
      </c>
      <c r="K210" s="55">
        <v>7.0000000000000007E-2</v>
      </c>
      <c r="L210" s="55">
        <v>0.04</v>
      </c>
    </row>
    <row r="211" spans="1:12">
      <c r="A211" s="55">
        <v>204</v>
      </c>
      <c r="B211" s="55" t="s">
        <v>115</v>
      </c>
      <c r="C211" s="55">
        <v>9</v>
      </c>
      <c r="D211" s="55">
        <v>0</v>
      </c>
      <c r="E211" s="55">
        <v>55</v>
      </c>
      <c r="F211" s="55">
        <v>33</v>
      </c>
      <c r="G211" s="55">
        <v>0</v>
      </c>
      <c r="H211" s="55">
        <v>66.67</v>
      </c>
      <c r="I211" s="55">
        <v>0.03</v>
      </c>
      <c r="J211" s="55">
        <v>0.04</v>
      </c>
      <c r="K211" s="55">
        <v>0</v>
      </c>
      <c r="L211" s="55">
        <v>0.02</v>
      </c>
    </row>
    <row r="212" spans="1:12">
      <c r="A212" s="55">
        <v>205</v>
      </c>
      <c r="B212" s="55" t="s">
        <v>128</v>
      </c>
      <c r="C212" s="55">
        <v>32</v>
      </c>
      <c r="D212" s="55">
        <v>19</v>
      </c>
      <c r="E212" s="55">
        <v>54</v>
      </c>
      <c r="F212" s="55">
        <v>108</v>
      </c>
      <c r="G212" s="55">
        <v>68.42</v>
      </c>
      <c r="H212" s="55">
        <v>-50</v>
      </c>
      <c r="I212" s="55">
        <v>0.11</v>
      </c>
      <c r="J212" s="55">
        <v>0.04</v>
      </c>
      <c r="K212" s="55">
        <v>7.0000000000000007E-2</v>
      </c>
      <c r="L212" s="55">
        <v>7.0000000000000007E-2</v>
      </c>
    </row>
    <row r="213" spans="1:12">
      <c r="A213" s="55">
        <v>206</v>
      </c>
      <c r="B213" s="55" t="s">
        <v>207</v>
      </c>
      <c r="C213" s="55">
        <v>11</v>
      </c>
      <c r="D213" s="55">
        <v>27</v>
      </c>
      <c r="E213" s="55">
        <v>52</v>
      </c>
      <c r="F213" s="55">
        <v>61</v>
      </c>
      <c r="G213" s="55">
        <v>-59.26</v>
      </c>
      <c r="H213" s="55">
        <v>-14.75</v>
      </c>
      <c r="I213" s="55">
        <v>0.04</v>
      </c>
      <c r="J213" s="55">
        <v>0.04</v>
      </c>
      <c r="K213" s="55">
        <v>0.1</v>
      </c>
      <c r="L213" s="55">
        <v>0.04</v>
      </c>
    </row>
    <row r="214" spans="1:12">
      <c r="A214" s="55">
        <v>207</v>
      </c>
      <c r="B214" s="55" t="s">
        <v>111</v>
      </c>
      <c r="C214" s="55">
        <v>2</v>
      </c>
      <c r="D214" s="55">
        <v>3</v>
      </c>
      <c r="E214" s="55">
        <v>51</v>
      </c>
      <c r="F214" s="55">
        <v>45</v>
      </c>
      <c r="G214" s="55">
        <v>-33.33</v>
      </c>
      <c r="H214" s="55">
        <v>13.33</v>
      </c>
      <c r="I214" s="55">
        <v>0.01</v>
      </c>
      <c r="J214" s="55">
        <v>0.04</v>
      </c>
      <c r="K214" s="55">
        <v>0.01</v>
      </c>
      <c r="L214" s="55">
        <v>0.03</v>
      </c>
    </row>
    <row r="215" spans="1:12">
      <c r="A215" s="55">
        <v>208</v>
      </c>
      <c r="B215" s="55" t="s">
        <v>1063</v>
      </c>
      <c r="C215" s="55">
        <v>15</v>
      </c>
      <c r="D215" s="55">
        <v>0</v>
      </c>
      <c r="E215" s="55">
        <v>51</v>
      </c>
      <c r="F215" s="55">
        <v>0</v>
      </c>
      <c r="G215" s="55">
        <v>0</v>
      </c>
      <c r="H215" s="55">
        <v>0</v>
      </c>
      <c r="I215" s="55">
        <v>0.05</v>
      </c>
      <c r="J215" s="55">
        <v>0.04</v>
      </c>
      <c r="K215" s="55">
        <v>0</v>
      </c>
      <c r="L215" s="55">
        <v>0</v>
      </c>
    </row>
    <row r="216" spans="1:12">
      <c r="A216" s="55">
        <v>209</v>
      </c>
      <c r="B216" s="55" t="s">
        <v>182</v>
      </c>
      <c r="C216" s="55">
        <v>22</v>
      </c>
      <c r="D216" s="55">
        <v>2</v>
      </c>
      <c r="E216" s="55">
        <v>50</v>
      </c>
      <c r="F216" s="55">
        <v>40</v>
      </c>
      <c r="G216" s="55">
        <v>1000</v>
      </c>
      <c r="H216" s="55">
        <v>25</v>
      </c>
      <c r="I216" s="55">
        <v>0.08</v>
      </c>
      <c r="J216" s="55">
        <v>0.04</v>
      </c>
      <c r="K216" s="55">
        <v>0.01</v>
      </c>
      <c r="L216" s="55">
        <v>0.03</v>
      </c>
    </row>
    <row r="217" spans="1:12">
      <c r="A217" s="55">
        <v>210</v>
      </c>
      <c r="B217" s="55" t="s">
        <v>1026</v>
      </c>
      <c r="C217" s="55">
        <v>5</v>
      </c>
      <c r="D217" s="55">
        <v>0</v>
      </c>
      <c r="E217" s="55">
        <v>50</v>
      </c>
      <c r="F217" s="55">
        <v>0</v>
      </c>
      <c r="G217" s="55">
        <v>0</v>
      </c>
      <c r="H217" s="55">
        <v>0</v>
      </c>
      <c r="I217" s="55">
        <v>0.02</v>
      </c>
      <c r="J217" s="55">
        <v>0.04</v>
      </c>
      <c r="K217" s="55">
        <v>0</v>
      </c>
      <c r="L217" s="55">
        <v>0</v>
      </c>
    </row>
    <row r="218" spans="1:12">
      <c r="A218" s="55">
        <v>211</v>
      </c>
      <c r="B218" s="55" t="s">
        <v>198</v>
      </c>
      <c r="C218" s="55">
        <v>1</v>
      </c>
      <c r="D218" s="55">
        <v>22</v>
      </c>
      <c r="E218" s="55">
        <v>46</v>
      </c>
      <c r="F218" s="55">
        <v>58</v>
      </c>
      <c r="G218" s="55">
        <v>-95.45</v>
      </c>
      <c r="H218" s="55">
        <v>-20.69</v>
      </c>
      <c r="I218" s="55">
        <v>0</v>
      </c>
      <c r="J218" s="55">
        <v>0.03</v>
      </c>
      <c r="K218" s="55">
        <v>0.08</v>
      </c>
      <c r="L218" s="55">
        <v>0.04</v>
      </c>
    </row>
    <row r="219" spans="1:12">
      <c r="A219" s="55">
        <v>212</v>
      </c>
      <c r="B219" s="55" t="s">
        <v>1187</v>
      </c>
      <c r="C219" s="55">
        <v>18</v>
      </c>
      <c r="D219" s="55">
        <v>0</v>
      </c>
      <c r="E219" s="55">
        <v>46</v>
      </c>
      <c r="F219" s="55">
        <v>0</v>
      </c>
      <c r="G219" s="55">
        <v>0</v>
      </c>
      <c r="H219" s="55">
        <v>0</v>
      </c>
      <c r="I219" s="55">
        <v>0.06</v>
      </c>
      <c r="J219" s="55">
        <v>0.03</v>
      </c>
      <c r="K219" s="55">
        <v>0</v>
      </c>
      <c r="L219" s="55">
        <v>0</v>
      </c>
    </row>
    <row r="220" spans="1:12">
      <c r="A220" s="55">
        <v>213</v>
      </c>
      <c r="B220" s="55" t="s">
        <v>215</v>
      </c>
      <c r="C220" s="55">
        <v>4</v>
      </c>
      <c r="D220" s="55">
        <v>2</v>
      </c>
      <c r="E220" s="55">
        <v>44</v>
      </c>
      <c r="F220" s="55">
        <v>24</v>
      </c>
      <c r="G220" s="55">
        <v>100</v>
      </c>
      <c r="H220" s="55">
        <v>83.33</v>
      </c>
      <c r="I220" s="55">
        <v>0.01</v>
      </c>
      <c r="J220" s="55">
        <v>0.03</v>
      </c>
      <c r="K220" s="55">
        <v>0.01</v>
      </c>
      <c r="L220" s="55">
        <v>0.02</v>
      </c>
    </row>
    <row r="221" spans="1:12">
      <c r="A221" s="55">
        <v>214</v>
      </c>
      <c r="B221" s="55" t="s">
        <v>165</v>
      </c>
      <c r="C221" s="55">
        <v>7</v>
      </c>
      <c r="D221" s="55">
        <v>3</v>
      </c>
      <c r="E221" s="55">
        <v>44</v>
      </c>
      <c r="F221" s="55">
        <v>19</v>
      </c>
      <c r="G221" s="55">
        <v>133.33000000000001</v>
      </c>
      <c r="H221" s="55">
        <v>131.58000000000001</v>
      </c>
      <c r="I221" s="55">
        <v>0.02</v>
      </c>
      <c r="J221" s="55">
        <v>0.03</v>
      </c>
      <c r="K221" s="55">
        <v>0.01</v>
      </c>
      <c r="L221" s="55">
        <v>0.01</v>
      </c>
    </row>
    <row r="222" spans="1:12">
      <c r="A222" s="55">
        <v>215</v>
      </c>
      <c r="B222" s="55" t="s">
        <v>1084</v>
      </c>
      <c r="C222" s="55">
        <v>18</v>
      </c>
      <c r="D222" s="55">
        <v>0</v>
      </c>
      <c r="E222" s="55">
        <v>44</v>
      </c>
      <c r="F222" s="55">
        <v>0</v>
      </c>
      <c r="G222" s="55">
        <v>0</v>
      </c>
      <c r="H222" s="55">
        <v>0</v>
      </c>
      <c r="I222" s="55">
        <v>0.06</v>
      </c>
      <c r="J222" s="55">
        <v>0.03</v>
      </c>
      <c r="K222" s="55">
        <v>0</v>
      </c>
      <c r="L222" s="55">
        <v>0</v>
      </c>
    </row>
    <row r="223" spans="1:12">
      <c r="A223" s="55">
        <v>216</v>
      </c>
      <c r="B223" s="55" t="s">
        <v>167</v>
      </c>
      <c r="C223" s="55">
        <v>5</v>
      </c>
      <c r="D223" s="55">
        <v>8</v>
      </c>
      <c r="E223" s="55">
        <v>42</v>
      </c>
      <c r="F223" s="55">
        <v>40</v>
      </c>
      <c r="G223" s="55">
        <v>-37.5</v>
      </c>
      <c r="H223" s="55">
        <v>5</v>
      </c>
      <c r="I223" s="55">
        <v>0.02</v>
      </c>
      <c r="J223" s="55">
        <v>0.03</v>
      </c>
      <c r="K223" s="55">
        <v>0.03</v>
      </c>
      <c r="L223" s="55">
        <v>0.03</v>
      </c>
    </row>
    <row r="224" spans="1:12">
      <c r="A224" s="55">
        <v>217</v>
      </c>
      <c r="B224" s="55" t="s">
        <v>183</v>
      </c>
      <c r="C224" s="55">
        <v>7</v>
      </c>
      <c r="D224" s="55">
        <v>5</v>
      </c>
      <c r="E224" s="55">
        <v>41</v>
      </c>
      <c r="F224" s="55">
        <v>61</v>
      </c>
      <c r="G224" s="55">
        <v>40</v>
      </c>
      <c r="H224" s="55">
        <v>-32.79</v>
      </c>
      <c r="I224" s="55">
        <v>0.02</v>
      </c>
      <c r="J224" s="55">
        <v>0.03</v>
      </c>
      <c r="K224" s="55">
        <v>0.02</v>
      </c>
      <c r="L224" s="55">
        <v>0.04</v>
      </c>
    </row>
    <row r="225" spans="1:12">
      <c r="A225" s="55">
        <v>218</v>
      </c>
      <c r="B225" s="55" t="s">
        <v>197</v>
      </c>
      <c r="C225" s="55">
        <v>6</v>
      </c>
      <c r="D225" s="55">
        <v>12</v>
      </c>
      <c r="E225" s="55">
        <v>40</v>
      </c>
      <c r="F225" s="55">
        <v>47</v>
      </c>
      <c r="G225" s="55">
        <v>-50</v>
      </c>
      <c r="H225" s="55">
        <v>-14.89</v>
      </c>
      <c r="I225" s="55">
        <v>0.02</v>
      </c>
      <c r="J225" s="55">
        <v>0.03</v>
      </c>
      <c r="K225" s="55">
        <v>0.05</v>
      </c>
      <c r="L225" s="55">
        <v>0.03</v>
      </c>
    </row>
    <row r="226" spans="1:12">
      <c r="A226" s="55">
        <v>219</v>
      </c>
      <c r="B226" s="55" t="s">
        <v>1083</v>
      </c>
      <c r="C226" s="55">
        <v>11</v>
      </c>
      <c r="D226" s="55">
        <v>0</v>
      </c>
      <c r="E226" s="55">
        <v>40</v>
      </c>
      <c r="F226" s="55">
        <v>0</v>
      </c>
      <c r="G226" s="55">
        <v>0</v>
      </c>
      <c r="H226" s="55">
        <v>0</v>
      </c>
      <c r="I226" s="55">
        <v>0.04</v>
      </c>
      <c r="J226" s="55">
        <v>0.03</v>
      </c>
      <c r="K226" s="55">
        <v>0</v>
      </c>
      <c r="L226" s="55">
        <v>0</v>
      </c>
    </row>
    <row r="227" spans="1:12">
      <c r="A227" s="55">
        <v>220</v>
      </c>
      <c r="B227" s="55" t="s">
        <v>1060</v>
      </c>
      <c r="C227" s="55">
        <v>3</v>
      </c>
      <c r="D227" s="55">
        <v>0</v>
      </c>
      <c r="E227" s="55">
        <v>38</v>
      </c>
      <c r="F227" s="55">
        <v>0</v>
      </c>
      <c r="G227" s="55">
        <v>0</v>
      </c>
      <c r="H227" s="55">
        <v>0</v>
      </c>
      <c r="I227" s="55">
        <v>0.01</v>
      </c>
      <c r="J227" s="55">
        <v>0.03</v>
      </c>
      <c r="K227" s="55">
        <v>0</v>
      </c>
      <c r="L227" s="55">
        <v>0</v>
      </c>
    </row>
    <row r="228" spans="1:12">
      <c r="A228" s="55">
        <v>221</v>
      </c>
      <c r="B228" s="55" t="s">
        <v>191</v>
      </c>
      <c r="C228" s="55">
        <v>8</v>
      </c>
      <c r="D228" s="55">
        <v>20</v>
      </c>
      <c r="E228" s="55">
        <v>36</v>
      </c>
      <c r="F228" s="55">
        <v>150</v>
      </c>
      <c r="G228" s="55">
        <v>-60</v>
      </c>
      <c r="H228" s="55">
        <v>-76</v>
      </c>
      <c r="I228" s="55">
        <v>0.03</v>
      </c>
      <c r="J228" s="55">
        <v>0.03</v>
      </c>
      <c r="K228" s="55">
        <v>0.08</v>
      </c>
      <c r="L228" s="55">
        <v>0.1</v>
      </c>
    </row>
    <row r="229" spans="1:12">
      <c r="A229" s="55">
        <v>222</v>
      </c>
      <c r="B229" s="55" t="s">
        <v>220</v>
      </c>
      <c r="C229" s="55">
        <v>8</v>
      </c>
      <c r="D229" s="55">
        <v>5</v>
      </c>
      <c r="E229" s="55">
        <v>36</v>
      </c>
      <c r="F229" s="55">
        <v>30</v>
      </c>
      <c r="G229" s="55">
        <v>60</v>
      </c>
      <c r="H229" s="55">
        <v>20</v>
      </c>
      <c r="I229" s="55">
        <v>0.03</v>
      </c>
      <c r="J229" s="55">
        <v>0.03</v>
      </c>
      <c r="K229" s="55">
        <v>0.02</v>
      </c>
      <c r="L229" s="55">
        <v>0.02</v>
      </c>
    </row>
    <row r="230" spans="1:12">
      <c r="A230" s="55">
        <v>223</v>
      </c>
      <c r="B230" s="55" t="s">
        <v>706</v>
      </c>
      <c r="C230" s="55">
        <v>4</v>
      </c>
      <c r="D230" s="55">
        <v>1</v>
      </c>
      <c r="E230" s="55">
        <v>36</v>
      </c>
      <c r="F230" s="55">
        <v>4</v>
      </c>
      <c r="G230" s="55">
        <v>300</v>
      </c>
      <c r="H230" s="55">
        <v>800</v>
      </c>
      <c r="I230" s="55">
        <v>0.01</v>
      </c>
      <c r="J230" s="55">
        <v>0.03</v>
      </c>
      <c r="K230" s="55">
        <v>0</v>
      </c>
      <c r="L230" s="55">
        <v>0</v>
      </c>
    </row>
    <row r="231" spans="1:12">
      <c r="A231" s="55">
        <v>224</v>
      </c>
      <c r="B231" s="55" t="s">
        <v>180</v>
      </c>
      <c r="C231" s="55">
        <v>1</v>
      </c>
      <c r="D231" s="55">
        <v>6</v>
      </c>
      <c r="E231" s="55">
        <v>35</v>
      </c>
      <c r="F231" s="55">
        <v>38</v>
      </c>
      <c r="G231" s="55">
        <v>-83.33</v>
      </c>
      <c r="H231" s="55">
        <v>-7.89</v>
      </c>
      <c r="I231" s="55">
        <v>0</v>
      </c>
      <c r="J231" s="55">
        <v>0.02</v>
      </c>
      <c r="K231" s="55">
        <v>0.02</v>
      </c>
      <c r="L231" s="55">
        <v>0.03</v>
      </c>
    </row>
    <row r="232" spans="1:12">
      <c r="A232" s="55">
        <v>225</v>
      </c>
      <c r="B232" s="55" t="s">
        <v>559</v>
      </c>
      <c r="C232" s="55">
        <v>14</v>
      </c>
      <c r="D232" s="55">
        <v>31</v>
      </c>
      <c r="E232" s="55">
        <v>34</v>
      </c>
      <c r="F232" s="55">
        <v>113</v>
      </c>
      <c r="G232" s="55">
        <v>-54.84</v>
      </c>
      <c r="H232" s="55">
        <v>-69.91</v>
      </c>
      <c r="I232" s="55">
        <v>0.05</v>
      </c>
      <c r="J232" s="55">
        <v>0.02</v>
      </c>
      <c r="K232" s="55">
        <v>0.12</v>
      </c>
      <c r="L232" s="55">
        <v>0.08</v>
      </c>
    </row>
    <row r="233" spans="1:12">
      <c r="A233" s="55">
        <v>226</v>
      </c>
      <c r="B233" s="55" t="s">
        <v>184</v>
      </c>
      <c r="C233" s="55">
        <v>6</v>
      </c>
      <c r="D233" s="55">
        <v>2</v>
      </c>
      <c r="E233" s="55">
        <v>34</v>
      </c>
      <c r="F233" s="55">
        <v>21</v>
      </c>
      <c r="G233" s="55">
        <v>200</v>
      </c>
      <c r="H233" s="55">
        <v>61.9</v>
      </c>
      <c r="I233" s="55">
        <v>0.02</v>
      </c>
      <c r="J233" s="55">
        <v>0.02</v>
      </c>
      <c r="K233" s="55">
        <v>0.01</v>
      </c>
      <c r="L233" s="55">
        <v>0.01</v>
      </c>
    </row>
    <row r="234" spans="1:12">
      <c r="A234" s="55">
        <v>227</v>
      </c>
      <c r="B234" s="55" t="s">
        <v>174</v>
      </c>
      <c r="C234" s="55">
        <v>0</v>
      </c>
      <c r="D234" s="55">
        <v>0</v>
      </c>
      <c r="E234" s="55">
        <v>34</v>
      </c>
      <c r="F234" s="55">
        <v>18</v>
      </c>
      <c r="G234" s="55">
        <v>0</v>
      </c>
      <c r="H234" s="55">
        <v>88.89</v>
      </c>
      <c r="I234" s="55">
        <v>0</v>
      </c>
      <c r="J234" s="55">
        <v>0.02</v>
      </c>
      <c r="K234" s="55">
        <v>0</v>
      </c>
      <c r="L234" s="55">
        <v>0.01</v>
      </c>
    </row>
    <row r="235" spans="1:12">
      <c r="A235" s="55">
        <v>228</v>
      </c>
      <c r="B235" s="55" t="s">
        <v>106</v>
      </c>
      <c r="C235" s="55">
        <v>0</v>
      </c>
      <c r="D235" s="55">
        <v>41</v>
      </c>
      <c r="E235" s="55">
        <v>33</v>
      </c>
      <c r="F235" s="55">
        <v>103</v>
      </c>
      <c r="G235" s="55">
        <v>-100</v>
      </c>
      <c r="H235" s="55">
        <v>-67.959999999999994</v>
      </c>
      <c r="I235" s="55">
        <v>0</v>
      </c>
      <c r="J235" s="55">
        <v>0.02</v>
      </c>
      <c r="K235" s="55">
        <v>0.16</v>
      </c>
      <c r="L235" s="55">
        <v>7.0000000000000007E-2</v>
      </c>
    </row>
    <row r="236" spans="1:12">
      <c r="A236" s="55">
        <v>229</v>
      </c>
      <c r="B236" s="55" t="s">
        <v>382</v>
      </c>
      <c r="C236" s="55">
        <v>7</v>
      </c>
      <c r="D236" s="55">
        <v>0</v>
      </c>
      <c r="E236" s="55">
        <v>33</v>
      </c>
      <c r="F236" s="55">
        <v>15</v>
      </c>
      <c r="G236" s="55">
        <v>0</v>
      </c>
      <c r="H236" s="55">
        <v>120</v>
      </c>
      <c r="I236" s="55">
        <v>0.02</v>
      </c>
      <c r="J236" s="55">
        <v>0.02</v>
      </c>
      <c r="K236" s="55">
        <v>0</v>
      </c>
      <c r="L236" s="55">
        <v>0.01</v>
      </c>
    </row>
    <row r="237" spans="1:12">
      <c r="A237" s="55">
        <v>230</v>
      </c>
      <c r="B237" s="55" t="s">
        <v>1081</v>
      </c>
      <c r="C237" s="55">
        <v>0</v>
      </c>
      <c r="D237" s="55">
        <v>1</v>
      </c>
      <c r="E237" s="55">
        <v>32</v>
      </c>
      <c r="F237" s="55">
        <v>14</v>
      </c>
      <c r="G237" s="55">
        <v>-100</v>
      </c>
      <c r="H237" s="55">
        <v>128.57</v>
      </c>
      <c r="I237" s="55">
        <v>0</v>
      </c>
      <c r="J237" s="55">
        <v>0.02</v>
      </c>
      <c r="K237" s="55">
        <v>0</v>
      </c>
      <c r="L237" s="55">
        <v>0.01</v>
      </c>
    </row>
    <row r="238" spans="1:12">
      <c r="A238" s="55">
        <v>231</v>
      </c>
      <c r="B238" s="55" t="s">
        <v>1154</v>
      </c>
      <c r="C238" s="55">
        <v>13</v>
      </c>
      <c r="D238" s="55">
        <v>0</v>
      </c>
      <c r="E238" s="55">
        <v>32</v>
      </c>
      <c r="F238" s="55">
        <v>0</v>
      </c>
      <c r="G238" s="55">
        <v>0</v>
      </c>
      <c r="H238" s="55">
        <v>0</v>
      </c>
      <c r="I238" s="55">
        <v>0.05</v>
      </c>
      <c r="J238" s="55">
        <v>0.02</v>
      </c>
      <c r="K238" s="55">
        <v>0</v>
      </c>
      <c r="L238" s="55">
        <v>0</v>
      </c>
    </row>
    <row r="239" spans="1:12">
      <c r="A239" s="55">
        <v>232</v>
      </c>
      <c r="B239" s="55" t="s">
        <v>107</v>
      </c>
      <c r="C239" s="55">
        <v>2</v>
      </c>
      <c r="D239" s="55">
        <v>11</v>
      </c>
      <c r="E239" s="55">
        <v>31</v>
      </c>
      <c r="F239" s="55">
        <v>130</v>
      </c>
      <c r="G239" s="55">
        <v>-81.819999999999993</v>
      </c>
      <c r="H239" s="55">
        <v>-76.150000000000006</v>
      </c>
      <c r="I239" s="55">
        <v>0.01</v>
      </c>
      <c r="J239" s="55">
        <v>0.02</v>
      </c>
      <c r="K239" s="55">
        <v>0.04</v>
      </c>
      <c r="L239" s="55">
        <v>0.09</v>
      </c>
    </row>
    <row r="240" spans="1:12">
      <c r="A240" s="55">
        <v>233</v>
      </c>
      <c r="B240" s="55" t="s">
        <v>116</v>
      </c>
      <c r="C240" s="55">
        <v>5</v>
      </c>
      <c r="D240" s="55">
        <v>12</v>
      </c>
      <c r="E240" s="55">
        <v>31</v>
      </c>
      <c r="F240" s="55">
        <v>93</v>
      </c>
      <c r="G240" s="55">
        <v>-58.33</v>
      </c>
      <c r="H240" s="55">
        <v>-66.67</v>
      </c>
      <c r="I240" s="55">
        <v>0.02</v>
      </c>
      <c r="J240" s="55">
        <v>0.02</v>
      </c>
      <c r="K240" s="55">
        <v>0.05</v>
      </c>
      <c r="L240" s="55">
        <v>0.06</v>
      </c>
    </row>
    <row r="241" spans="1:12">
      <c r="A241" s="55">
        <v>234</v>
      </c>
      <c r="B241" s="55" t="s">
        <v>216</v>
      </c>
      <c r="C241" s="55">
        <v>12</v>
      </c>
      <c r="D241" s="55">
        <v>2</v>
      </c>
      <c r="E241" s="55">
        <v>31</v>
      </c>
      <c r="F241" s="55">
        <v>82</v>
      </c>
      <c r="G241" s="55">
        <v>500</v>
      </c>
      <c r="H241" s="55">
        <v>-62.2</v>
      </c>
      <c r="I241" s="55">
        <v>0.04</v>
      </c>
      <c r="J241" s="55">
        <v>0.02</v>
      </c>
      <c r="K241" s="55">
        <v>0.01</v>
      </c>
      <c r="L241" s="55">
        <v>0.06</v>
      </c>
    </row>
    <row r="242" spans="1:12">
      <c r="A242" s="55">
        <v>235</v>
      </c>
      <c r="B242" s="55" t="s">
        <v>196</v>
      </c>
      <c r="C242" s="55">
        <v>6</v>
      </c>
      <c r="D242" s="55">
        <v>1</v>
      </c>
      <c r="E242" s="55">
        <v>31</v>
      </c>
      <c r="F242" s="55">
        <v>29</v>
      </c>
      <c r="G242" s="55">
        <v>500</v>
      </c>
      <c r="H242" s="55">
        <v>6.9</v>
      </c>
      <c r="I242" s="55">
        <v>0.02</v>
      </c>
      <c r="J242" s="55">
        <v>0.02</v>
      </c>
      <c r="K242" s="55">
        <v>0</v>
      </c>
      <c r="L242" s="55">
        <v>0.02</v>
      </c>
    </row>
    <row r="243" spans="1:12">
      <c r="A243" s="55">
        <v>236</v>
      </c>
      <c r="B243" s="55" t="s">
        <v>1080</v>
      </c>
      <c r="C243" s="55">
        <v>6</v>
      </c>
      <c r="D243" s="55">
        <v>0</v>
      </c>
      <c r="E243" s="55">
        <v>31</v>
      </c>
      <c r="F243" s="55">
        <v>0</v>
      </c>
      <c r="G243" s="55">
        <v>0</v>
      </c>
      <c r="H243" s="55">
        <v>0</v>
      </c>
      <c r="I243" s="55">
        <v>0.02</v>
      </c>
      <c r="J243" s="55">
        <v>0.02</v>
      </c>
      <c r="K243" s="55">
        <v>0</v>
      </c>
      <c r="L243" s="55">
        <v>0</v>
      </c>
    </row>
    <row r="244" spans="1:12">
      <c r="A244" s="55">
        <v>237</v>
      </c>
      <c r="B244" s="55" t="s">
        <v>110</v>
      </c>
      <c r="C244" s="55">
        <v>3</v>
      </c>
      <c r="D244" s="55">
        <v>0</v>
      </c>
      <c r="E244" s="55">
        <v>30</v>
      </c>
      <c r="F244" s="55">
        <v>9</v>
      </c>
      <c r="G244" s="55">
        <v>0</v>
      </c>
      <c r="H244" s="55">
        <v>233.33</v>
      </c>
      <c r="I244" s="55">
        <v>0.01</v>
      </c>
      <c r="J244" s="55">
        <v>0.02</v>
      </c>
      <c r="K244" s="55">
        <v>0</v>
      </c>
      <c r="L244" s="55">
        <v>0.01</v>
      </c>
    </row>
    <row r="245" spans="1:12">
      <c r="A245" s="55">
        <v>238</v>
      </c>
      <c r="B245" s="55" t="s">
        <v>1062</v>
      </c>
      <c r="C245" s="55">
        <v>1</v>
      </c>
      <c r="D245" s="55">
        <v>0</v>
      </c>
      <c r="E245" s="55">
        <v>30</v>
      </c>
      <c r="F245" s="55">
        <v>0</v>
      </c>
      <c r="G245" s="55">
        <v>0</v>
      </c>
      <c r="H245" s="55">
        <v>0</v>
      </c>
      <c r="I245" s="55">
        <v>0</v>
      </c>
      <c r="J245" s="55">
        <v>0.02</v>
      </c>
      <c r="K245" s="55">
        <v>0</v>
      </c>
      <c r="L245" s="55">
        <v>0</v>
      </c>
    </row>
    <row r="246" spans="1:12">
      <c r="A246" s="55">
        <v>239</v>
      </c>
      <c r="B246" s="55" t="s">
        <v>204</v>
      </c>
      <c r="C246" s="55">
        <v>4</v>
      </c>
      <c r="D246" s="55">
        <v>2</v>
      </c>
      <c r="E246" s="55">
        <v>29</v>
      </c>
      <c r="F246" s="55">
        <v>33</v>
      </c>
      <c r="G246" s="55">
        <v>100</v>
      </c>
      <c r="H246" s="55">
        <v>-12.12</v>
      </c>
      <c r="I246" s="55">
        <v>0.01</v>
      </c>
      <c r="J246" s="55">
        <v>0.02</v>
      </c>
      <c r="K246" s="55">
        <v>0.01</v>
      </c>
      <c r="L246" s="55">
        <v>0.02</v>
      </c>
    </row>
    <row r="247" spans="1:12">
      <c r="A247" s="55">
        <v>240</v>
      </c>
      <c r="B247" s="55" t="s">
        <v>666</v>
      </c>
      <c r="C247" s="55">
        <v>2</v>
      </c>
      <c r="D247" s="55">
        <v>8</v>
      </c>
      <c r="E247" s="55">
        <v>28</v>
      </c>
      <c r="F247" s="55">
        <v>27</v>
      </c>
      <c r="G247" s="55">
        <v>-75</v>
      </c>
      <c r="H247" s="55">
        <v>3.7</v>
      </c>
      <c r="I247" s="55">
        <v>0.01</v>
      </c>
      <c r="J247" s="55">
        <v>0.02</v>
      </c>
      <c r="K247" s="55">
        <v>0.03</v>
      </c>
      <c r="L247" s="55">
        <v>0.02</v>
      </c>
    </row>
    <row r="248" spans="1:12">
      <c r="A248" s="55">
        <v>241</v>
      </c>
      <c r="B248" s="55" t="s">
        <v>705</v>
      </c>
      <c r="C248" s="55">
        <v>2</v>
      </c>
      <c r="D248" s="55">
        <v>4</v>
      </c>
      <c r="E248" s="55">
        <v>27</v>
      </c>
      <c r="F248" s="55">
        <v>57</v>
      </c>
      <c r="G248" s="55">
        <v>-50</v>
      </c>
      <c r="H248" s="55">
        <v>-52.63</v>
      </c>
      <c r="I248" s="55">
        <v>0.01</v>
      </c>
      <c r="J248" s="55">
        <v>0.02</v>
      </c>
      <c r="K248" s="55">
        <v>0.02</v>
      </c>
      <c r="L248" s="55">
        <v>0.04</v>
      </c>
    </row>
    <row r="249" spans="1:12">
      <c r="A249" s="55">
        <v>242</v>
      </c>
      <c r="B249" s="55" t="s">
        <v>201</v>
      </c>
      <c r="C249" s="55">
        <v>8</v>
      </c>
      <c r="D249" s="55">
        <v>8</v>
      </c>
      <c r="E249" s="55">
        <v>25</v>
      </c>
      <c r="F249" s="55">
        <v>37</v>
      </c>
      <c r="G249" s="55">
        <v>0</v>
      </c>
      <c r="H249" s="55">
        <v>-32.43</v>
      </c>
      <c r="I249" s="55">
        <v>0.03</v>
      </c>
      <c r="J249" s="55">
        <v>0.02</v>
      </c>
      <c r="K249" s="55">
        <v>0.03</v>
      </c>
      <c r="L249" s="55">
        <v>0.03</v>
      </c>
    </row>
    <row r="250" spans="1:12">
      <c r="A250" s="55">
        <v>243</v>
      </c>
      <c r="B250" s="55" t="s">
        <v>206</v>
      </c>
      <c r="C250" s="55">
        <v>4</v>
      </c>
      <c r="D250" s="55">
        <v>2</v>
      </c>
      <c r="E250" s="55">
        <v>24</v>
      </c>
      <c r="F250" s="55">
        <v>49</v>
      </c>
      <c r="G250" s="55">
        <v>100</v>
      </c>
      <c r="H250" s="55">
        <v>-51.02</v>
      </c>
      <c r="I250" s="55">
        <v>0.01</v>
      </c>
      <c r="J250" s="55">
        <v>0.02</v>
      </c>
      <c r="K250" s="55">
        <v>0.01</v>
      </c>
      <c r="L250" s="55">
        <v>0.03</v>
      </c>
    </row>
    <row r="251" spans="1:12">
      <c r="A251" s="55">
        <v>244</v>
      </c>
      <c r="B251" s="55" t="s">
        <v>217</v>
      </c>
      <c r="C251" s="55">
        <v>5</v>
      </c>
      <c r="D251" s="55">
        <v>8</v>
      </c>
      <c r="E251" s="55">
        <v>24</v>
      </c>
      <c r="F251" s="55">
        <v>30</v>
      </c>
      <c r="G251" s="55">
        <v>-37.5</v>
      </c>
      <c r="H251" s="55">
        <v>-20</v>
      </c>
      <c r="I251" s="55">
        <v>0.02</v>
      </c>
      <c r="J251" s="55">
        <v>0.02</v>
      </c>
      <c r="K251" s="55">
        <v>0.03</v>
      </c>
      <c r="L251" s="55">
        <v>0.02</v>
      </c>
    </row>
    <row r="252" spans="1:12">
      <c r="A252" s="55">
        <v>245</v>
      </c>
      <c r="B252" s="55" t="s">
        <v>368</v>
      </c>
      <c r="C252" s="55">
        <v>7</v>
      </c>
      <c r="D252" s="55">
        <v>1</v>
      </c>
      <c r="E252" s="55">
        <v>24</v>
      </c>
      <c r="F252" s="55">
        <v>16</v>
      </c>
      <c r="G252" s="55">
        <v>600</v>
      </c>
      <c r="H252" s="55">
        <v>50</v>
      </c>
      <c r="I252" s="55">
        <v>0.02</v>
      </c>
      <c r="J252" s="55">
        <v>0.02</v>
      </c>
      <c r="K252" s="55">
        <v>0</v>
      </c>
      <c r="L252" s="55">
        <v>0.01</v>
      </c>
    </row>
    <row r="253" spans="1:12">
      <c r="A253" s="55">
        <v>246</v>
      </c>
      <c r="B253" s="55" t="s">
        <v>608</v>
      </c>
      <c r="C253" s="55">
        <v>2</v>
      </c>
      <c r="D253" s="55">
        <v>17</v>
      </c>
      <c r="E253" s="55">
        <v>23</v>
      </c>
      <c r="F253" s="55">
        <v>94</v>
      </c>
      <c r="G253" s="55">
        <v>-88.24</v>
      </c>
      <c r="H253" s="55">
        <v>-75.53</v>
      </c>
      <c r="I253" s="55">
        <v>0.01</v>
      </c>
      <c r="J253" s="55">
        <v>0.02</v>
      </c>
      <c r="K253" s="55">
        <v>7.0000000000000007E-2</v>
      </c>
      <c r="L253" s="55">
        <v>7.0000000000000007E-2</v>
      </c>
    </row>
    <row r="254" spans="1:12">
      <c r="A254" s="55">
        <v>247</v>
      </c>
      <c r="B254" s="55" t="s">
        <v>161</v>
      </c>
      <c r="C254" s="55">
        <v>4</v>
      </c>
      <c r="D254" s="55">
        <v>9</v>
      </c>
      <c r="E254" s="55">
        <v>23</v>
      </c>
      <c r="F254" s="55">
        <v>61</v>
      </c>
      <c r="G254" s="55">
        <v>-55.56</v>
      </c>
      <c r="H254" s="55">
        <v>-62.3</v>
      </c>
      <c r="I254" s="55">
        <v>0.01</v>
      </c>
      <c r="J254" s="55">
        <v>0.02</v>
      </c>
      <c r="K254" s="55">
        <v>0.03</v>
      </c>
      <c r="L254" s="55">
        <v>0.04</v>
      </c>
    </row>
    <row r="255" spans="1:12">
      <c r="A255" s="55">
        <v>248</v>
      </c>
      <c r="B255" s="55" t="s">
        <v>365</v>
      </c>
      <c r="C255" s="55">
        <v>6</v>
      </c>
      <c r="D255" s="55">
        <v>6</v>
      </c>
      <c r="E255" s="55">
        <v>23</v>
      </c>
      <c r="F255" s="55">
        <v>23</v>
      </c>
      <c r="G255" s="55">
        <v>0</v>
      </c>
      <c r="H255" s="55">
        <v>0</v>
      </c>
      <c r="I255" s="55">
        <v>0.02</v>
      </c>
      <c r="J255" s="55">
        <v>0.02</v>
      </c>
      <c r="K255" s="55">
        <v>0.02</v>
      </c>
      <c r="L255" s="55">
        <v>0.02</v>
      </c>
    </row>
    <row r="256" spans="1:12">
      <c r="A256" s="55">
        <v>249</v>
      </c>
      <c r="B256" s="55" t="s">
        <v>185</v>
      </c>
      <c r="C256" s="55">
        <v>1</v>
      </c>
      <c r="D256" s="55">
        <v>18</v>
      </c>
      <c r="E256" s="55">
        <v>22</v>
      </c>
      <c r="F256" s="55">
        <v>46</v>
      </c>
      <c r="G256" s="55">
        <v>-94.44</v>
      </c>
      <c r="H256" s="55">
        <v>-52.17</v>
      </c>
      <c r="I256" s="55">
        <v>0</v>
      </c>
      <c r="J256" s="55">
        <v>0.02</v>
      </c>
      <c r="K256" s="55">
        <v>7.0000000000000007E-2</v>
      </c>
      <c r="L256" s="55">
        <v>0.03</v>
      </c>
    </row>
    <row r="257" spans="1:12">
      <c r="A257" s="55">
        <v>250</v>
      </c>
      <c r="B257" s="55" t="s">
        <v>91</v>
      </c>
      <c r="C257" s="55">
        <v>1</v>
      </c>
      <c r="D257" s="55">
        <v>51</v>
      </c>
      <c r="E257" s="55">
        <v>20</v>
      </c>
      <c r="F257" s="55">
        <v>326</v>
      </c>
      <c r="G257" s="55">
        <v>-98.04</v>
      </c>
      <c r="H257" s="55">
        <v>-93.87</v>
      </c>
      <c r="I257" s="55">
        <v>0</v>
      </c>
      <c r="J257" s="55">
        <v>0.01</v>
      </c>
      <c r="K257" s="55">
        <v>0.2</v>
      </c>
      <c r="L257" s="55">
        <v>0.23</v>
      </c>
    </row>
    <row r="258" spans="1:12">
      <c r="A258" s="55">
        <v>251</v>
      </c>
      <c r="B258" s="55" t="s">
        <v>130</v>
      </c>
      <c r="C258" s="55">
        <v>6</v>
      </c>
      <c r="D258" s="55">
        <v>9</v>
      </c>
      <c r="E258" s="55">
        <v>20</v>
      </c>
      <c r="F258" s="55">
        <v>93</v>
      </c>
      <c r="G258" s="55">
        <v>-33.33</v>
      </c>
      <c r="H258" s="55">
        <v>-78.489999999999995</v>
      </c>
      <c r="I258" s="55">
        <v>0.02</v>
      </c>
      <c r="J258" s="55">
        <v>0.01</v>
      </c>
      <c r="K258" s="55">
        <v>0.03</v>
      </c>
      <c r="L258" s="55">
        <v>0.06</v>
      </c>
    </row>
    <row r="259" spans="1:12">
      <c r="A259" s="55">
        <v>252</v>
      </c>
      <c r="B259" s="55" t="s">
        <v>437</v>
      </c>
      <c r="C259" s="55">
        <v>3</v>
      </c>
      <c r="D259" s="55">
        <v>18</v>
      </c>
      <c r="E259" s="55">
        <v>20</v>
      </c>
      <c r="F259" s="55">
        <v>67</v>
      </c>
      <c r="G259" s="55">
        <v>-83.33</v>
      </c>
      <c r="H259" s="55">
        <v>-70.150000000000006</v>
      </c>
      <c r="I259" s="55">
        <v>0.01</v>
      </c>
      <c r="J259" s="55">
        <v>0.01</v>
      </c>
      <c r="K259" s="55">
        <v>7.0000000000000007E-2</v>
      </c>
      <c r="L259" s="55">
        <v>0.05</v>
      </c>
    </row>
    <row r="260" spans="1:12">
      <c r="A260" s="55">
        <v>253</v>
      </c>
      <c r="B260" s="55" t="s">
        <v>688</v>
      </c>
      <c r="C260" s="55">
        <v>3</v>
      </c>
      <c r="D260" s="55">
        <v>7</v>
      </c>
      <c r="E260" s="55">
        <v>20</v>
      </c>
      <c r="F260" s="55">
        <v>14</v>
      </c>
      <c r="G260" s="55">
        <v>-57.14</v>
      </c>
      <c r="H260" s="55">
        <v>42.86</v>
      </c>
      <c r="I260" s="55">
        <v>0.01</v>
      </c>
      <c r="J260" s="55">
        <v>0.01</v>
      </c>
      <c r="K260" s="55">
        <v>0.03</v>
      </c>
      <c r="L260" s="55">
        <v>0.01</v>
      </c>
    </row>
    <row r="261" spans="1:12">
      <c r="A261" s="55">
        <v>254</v>
      </c>
      <c r="B261" s="55" t="s">
        <v>211</v>
      </c>
      <c r="C261" s="55">
        <v>3</v>
      </c>
      <c r="D261" s="55">
        <v>4</v>
      </c>
      <c r="E261" s="55">
        <v>19</v>
      </c>
      <c r="F261" s="55">
        <v>25</v>
      </c>
      <c r="G261" s="55">
        <v>-25</v>
      </c>
      <c r="H261" s="55">
        <v>-24</v>
      </c>
      <c r="I261" s="55">
        <v>0.01</v>
      </c>
      <c r="J261" s="55">
        <v>0.01</v>
      </c>
      <c r="K261" s="55">
        <v>0.02</v>
      </c>
      <c r="L261" s="55">
        <v>0.02</v>
      </c>
    </row>
    <row r="262" spans="1:12">
      <c r="A262" s="55">
        <v>255</v>
      </c>
      <c r="B262" s="55" t="s">
        <v>1236</v>
      </c>
      <c r="C262" s="55">
        <v>7</v>
      </c>
      <c r="D262" s="55">
        <v>0</v>
      </c>
      <c r="E262" s="55">
        <v>19</v>
      </c>
      <c r="F262" s="55">
        <v>0</v>
      </c>
      <c r="G262" s="55">
        <v>0</v>
      </c>
      <c r="H262" s="55">
        <v>0</v>
      </c>
      <c r="I262" s="55">
        <v>0.02</v>
      </c>
      <c r="J262" s="55">
        <v>0.01</v>
      </c>
      <c r="K262" s="55">
        <v>0</v>
      </c>
      <c r="L262" s="55">
        <v>0</v>
      </c>
    </row>
    <row r="263" spans="1:12">
      <c r="A263" s="55">
        <v>256</v>
      </c>
      <c r="B263" s="55" t="s">
        <v>178</v>
      </c>
      <c r="C263" s="55">
        <v>7</v>
      </c>
      <c r="D263" s="55">
        <v>1</v>
      </c>
      <c r="E263" s="55">
        <v>17</v>
      </c>
      <c r="F263" s="55">
        <v>45</v>
      </c>
      <c r="G263" s="55">
        <v>600</v>
      </c>
      <c r="H263" s="55">
        <v>-62.22</v>
      </c>
      <c r="I263" s="55">
        <v>0.02</v>
      </c>
      <c r="J263" s="55">
        <v>0.01</v>
      </c>
      <c r="K263" s="55">
        <v>0</v>
      </c>
      <c r="L263" s="55">
        <v>0.03</v>
      </c>
    </row>
    <row r="264" spans="1:12">
      <c r="A264" s="55">
        <v>257</v>
      </c>
      <c r="B264" s="55" t="s">
        <v>212</v>
      </c>
      <c r="C264" s="55">
        <v>3</v>
      </c>
      <c r="D264" s="55">
        <v>8</v>
      </c>
      <c r="E264" s="55">
        <v>17</v>
      </c>
      <c r="F264" s="55">
        <v>22</v>
      </c>
      <c r="G264" s="55">
        <v>-62.5</v>
      </c>
      <c r="H264" s="55">
        <v>-22.73</v>
      </c>
      <c r="I264" s="55">
        <v>0.01</v>
      </c>
      <c r="J264" s="55">
        <v>0.01</v>
      </c>
      <c r="K264" s="55">
        <v>0.03</v>
      </c>
      <c r="L264" s="55">
        <v>0.02</v>
      </c>
    </row>
    <row r="265" spans="1:12">
      <c r="A265" s="55">
        <v>258</v>
      </c>
      <c r="B265" s="55" t="s">
        <v>985</v>
      </c>
      <c r="C265" s="55">
        <v>2</v>
      </c>
      <c r="D265" s="55">
        <v>0</v>
      </c>
      <c r="E265" s="55">
        <v>17</v>
      </c>
      <c r="F265" s="55">
        <v>0</v>
      </c>
      <c r="G265" s="55">
        <v>0</v>
      </c>
      <c r="H265" s="55">
        <v>0</v>
      </c>
      <c r="I265" s="55">
        <v>0.01</v>
      </c>
      <c r="J265" s="55">
        <v>0.01</v>
      </c>
      <c r="K265" s="55">
        <v>0</v>
      </c>
      <c r="L265" s="55">
        <v>0</v>
      </c>
    </row>
    <row r="266" spans="1:12">
      <c r="A266" s="55">
        <v>259</v>
      </c>
      <c r="B266" s="55" t="s">
        <v>1133</v>
      </c>
      <c r="C266" s="55">
        <v>3</v>
      </c>
      <c r="D266" s="55">
        <v>0</v>
      </c>
      <c r="E266" s="55">
        <v>17</v>
      </c>
      <c r="F266" s="55">
        <v>0</v>
      </c>
      <c r="G266" s="55">
        <v>0</v>
      </c>
      <c r="H266" s="55">
        <v>0</v>
      </c>
      <c r="I266" s="55">
        <v>0.01</v>
      </c>
      <c r="J266" s="55">
        <v>0.01</v>
      </c>
      <c r="K266" s="55">
        <v>0</v>
      </c>
      <c r="L266" s="55">
        <v>0</v>
      </c>
    </row>
    <row r="267" spans="1:12">
      <c r="A267" s="55">
        <v>260</v>
      </c>
      <c r="B267" s="55" t="s">
        <v>172</v>
      </c>
      <c r="C267" s="55">
        <v>3</v>
      </c>
      <c r="D267" s="55">
        <v>11</v>
      </c>
      <c r="E267" s="55">
        <v>16</v>
      </c>
      <c r="F267" s="55">
        <v>49</v>
      </c>
      <c r="G267" s="62">
        <v>-72.73</v>
      </c>
      <c r="H267" s="62">
        <v>-67.349999999999994</v>
      </c>
      <c r="I267" s="55">
        <v>0.01</v>
      </c>
      <c r="J267" s="55">
        <v>0.01</v>
      </c>
      <c r="K267" s="55">
        <v>0.04</v>
      </c>
      <c r="L267" s="55">
        <v>0.03</v>
      </c>
    </row>
    <row r="268" spans="1:12">
      <c r="A268" s="55">
        <v>261</v>
      </c>
      <c r="B268" s="55" t="s">
        <v>367</v>
      </c>
      <c r="C268" s="55">
        <v>3</v>
      </c>
      <c r="D268" s="55">
        <v>4</v>
      </c>
      <c r="E268" s="55">
        <v>15</v>
      </c>
      <c r="F268" s="55">
        <v>16</v>
      </c>
      <c r="G268" s="55">
        <v>-25</v>
      </c>
      <c r="H268" s="55">
        <v>-6.25</v>
      </c>
      <c r="I268" s="55">
        <v>0.01</v>
      </c>
      <c r="J268" s="55">
        <v>0.01</v>
      </c>
      <c r="K268" s="55">
        <v>0.02</v>
      </c>
      <c r="L268" s="55">
        <v>0.01</v>
      </c>
    </row>
    <row r="269" spans="1:12">
      <c r="A269" s="55">
        <v>262</v>
      </c>
      <c r="B269" s="55" t="s">
        <v>122</v>
      </c>
      <c r="C269" s="55">
        <v>0</v>
      </c>
      <c r="D269" s="55">
        <v>15</v>
      </c>
      <c r="E269" s="55">
        <v>14</v>
      </c>
      <c r="F269" s="55">
        <v>71</v>
      </c>
      <c r="G269" s="55">
        <v>-100</v>
      </c>
      <c r="H269" s="55">
        <v>-80.28</v>
      </c>
      <c r="I269" s="55">
        <v>0</v>
      </c>
      <c r="J269" s="55">
        <v>0.01</v>
      </c>
      <c r="K269" s="55">
        <v>0.06</v>
      </c>
      <c r="L269" s="55">
        <v>0.05</v>
      </c>
    </row>
    <row r="270" spans="1:12">
      <c r="A270" s="55">
        <v>263</v>
      </c>
      <c r="B270" s="55" t="s">
        <v>551</v>
      </c>
      <c r="C270" s="55">
        <v>2</v>
      </c>
      <c r="D270" s="55">
        <v>1</v>
      </c>
      <c r="E270" s="55">
        <v>14</v>
      </c>
      <c r="F270" s="55">
        <v>5</v>
      </c>
      <c r="G270" s="55">
        <v>100</v>
      </c>
      <c r="H270" s="55">
        <v>180</v>
      </c>
      <c r="I270" s="55">
        <v>0.01</v>
      </c>
      <c r="J270" s="55">
        <v>0.01</v>
      </c>
      <c r="K270" s="55">
        <v>0</v>
      </c>
      <c r="L270" s="55">
        <v>0</v>
      </c>
    </row>
    <row r="271" spans="1:12">
      <c r="A271" s="55">
        <v>264</v>
      </c>
      <c r="B271" s="55" t="s">
        <v>214</v>
      </c>
      <c r="C271" s="55">
        <v>3</v>
      </c>
      <c r="D271" s="55">
        <v>1</v>
      </c>
      <c r="E271" s="55">
        <v>13</v>
      </c>
      <c r="F271" s="55">
        <v>13</v>
      </c>
      <c r="G271" s="55">
        <v>200</v>
      </c>
      <c r="H271" s="55">
        <v>0</v>
      </c>
      <c r="I271" s="55">
        <v>0.01</v>
      </c>
      <c r="J271" s="55">
        <v>0.01</v>
      </c>
      <c r="K271" s="55">
        <v>0</v>
      </c>
      <c r="L271" s="55">
        <v>0.01</v>
      </c>
    </row>
    <row r="272" spans="1:12">
      <c r="A272" s="55">
        <v>265</v>
      </c>
      <c r="B272" s="55" t="s">
        <v>488</v>
      </c>
      <c r="C272" s="55">
        <v>4</v>
      </c>
      <c r="D272" s="55">
        <v>1</v>
      </c>
      <c r="E272" s="55">
        <v>13</v>
      </c>
      <c r="F272" s="55">
        <v>13</v>
      </c>
      <c r="G272" s="55">
        <v>300</v>
      </c>
      <c r="H272" s="55">
        <v>0</v>
      </c>
      <c r="I272" s="55">
        <v>0.01</v>
      </c>
      <c r="J272" s="55">
        <v>0.01</v>
      </c>
      <c r="K272" s="55">
        <v>0</v>
      </c>
      <c r="L272" s="55">
        <v>0.01</v>
      </c>
    </row>
    <row r="273" spans="1:12">
      <c r="A273" s="55">
        <v>266</v>
      </c>
      <c r="B273" s="55" t="s">
        <v>486</v>
      </c>
      <c r="C273" s="55">
        <v>2</v>
      </c>
      <c r="D273" s="55">
        <v>1</v>
      </c>
      <c r="E273" s="55">
        <v>13</v>
      </c>
      <c r="F273" s="55">
        <v>11</v>
      </c>
      <c r="G273" s="55">
        <v>100</v>
      </c>
      <c r="H273" s="55">
        <v>18.18</v>
      </c>
      <c r="I273" s="55">
        <v>0.01</v>
      </c>
      <c r="J273" s="55">
        <v>0.01</v>
      </c>
      <c r="K273" s="55">
        <v>0</v>
      </c>
      <c r="L273" s="55">
        <v>0.01</v>
      </c>
    </row>
    <row r="274" spans="1:12">
      <c r="A274" s="55">
        <v>267</v>
      </c>
      <c r="B274" s="55" t="s">
        <v>1088</v>
      </c>
      <c r="C274" s="55">
        <v>4</v>
      </c>
      <c r="D274" s="55">
        <v>0</v>
      </c>
      <c r="E274" s="55">
        <v>13</v>
      </c>
      <c r="F274" s="55">
        <v>0</v>
      </c>
      <c r="G274" s="62">
        <v>0</v>
      </c>
      <c r="H274" s="55">
        <v>0</v>
      </c>
      <c r="I274" s="55">
        <v>0.01</v>
      </c>
      <c r="J274" s="55">
        <v>0.01</v>
      </c>
      <c r="K274" s="55">
        <v>0</v>
      </c>
      <c r="L274" s="55">
        <v>0</v>
      </c>
    </row>
    <row r="275" spans="1:12">
      <c r="A275" s="55">
        <v>268</v>
      </c>
      <c r="B275" s="55" t="s">
        <v>1012</v>
      </c>
      <c r="C275" s="22">
        <v>1</v>
      </c>
      <c r="D275" s="22">
        <v>0</v>
      </c>
      <c r="E275" s="22">
        <v>13</v>
      </c>
      <c r="F275" s="22">
        <v>0</v>
      </c>
      <c r="G275" s="62">
        <v>0</v>
      </c>
      <c r="H275" s="62">
        <v>0</v>
      </c>
      <c r="I275" s="55">
        <v>0</v>
      </c>
      <c r="J275" s="55">
        <v>0.01</v>
      </c>
      <c r="K275" s="55">
        <v>0</v>
      </c>
      <c r="L275" s="55">
        <v>0</v>
      </c>
    </row>
    <row r="276" spans="1:12">
      <c r="A276" s="55">
        <v>269</v>
      </c>
      <c r="B276" s="55" t="s">
        <v>672</v>
      </c>
      <c r="C276" s="22">
        <v>4</v>
      </c>
      <c r="D276" s="55">
        <v>1</v>
      </c>
      <c r="E276" s="22">
        <v>12</v>
      </c>
      <c r="F276" s="55">
        <v>2</v>
      </c>
      <c r="G276" s="55">
        <v>300</v>
      </c>
      <c r="H276" s="55">
        <v>500</v>
      </c>
      <c r="I276" s="55">
        <v>0.01</v>
      </c>
      <c r="J276" s="55">
        <v>0.01</v>
      </c>
      <c r="K276" s="55">
        <v>0</v>
      </c>
      <c r="L276" s="55">
        <v>0</v>
      </c>
    </row>
    <row r="277" spans="1:12">
      <c r="A277" s="55">
        <v>270</v>
      </c>
      <c r="B277" s="55" t="s">
        <v>203</v>
      </c>
      <c r="C277" s="55">
        <v>1</v>
      </c>
      <c r="D277" s="55">
        <v>3</v>
      </c>
      <c r="E277" s="55">
        <v>11</v>
      </c>
      <c r="F277" s="55">
        <v>39</v>
      </c>
      <c r="G277" s="55">
        <v>-66.67</v>
      </c>
      <c r="H277" s="55">
        <v>-71.790000000000006</v>
      </c>
      <c r="I277" s="55">
        <v>0</v>
      </c>
      <c r="J277" s="55">
        <v>0.01</v>
      </c>
      <c r="K277" s="55">
        <v>0.01</v>
      </c>
      <c r="L277" s="55">
        <v>0.03</v>
      </c>
    </row>
    <row r="278" spans="1:12">
      <c r="A278" s="55">
        <v>271</v>
      </c>
      <c r="B278" s="55" t="s">
        <v>671</v>
      </c>
      <c r="C278" s="55">
        <v>3</v>
      </c>
      <c r="D278" s="55">
        <v>1</v>
      </c>
      <c r="E278" s="55">
        <v>10</v>
      </c>
      <c r="F278" s="55">
        <v>4</v>
      </c>
      <c r="G278" s="55">
        <v>200</v>
      </c>
      <c r="H278" s="55">
        <v>150</v>
      </c>
      <c r="I278" s="55">
        <v>0.01</v>
      </c>
      <c r="J278" s="55">
        <v>0.01</v>
      </c>
      <c r="K278" s="55">
        <v>0</v>
      </c>
      <c r="L278" s="55">
        <v>0</v>
      </c>
    </row>
    <row r="279" spans="1:12">
      <c r="A279" s="55">
        <v>272</v>
      </c>
      <c r="B279" s="55" t="s">
        <v>389</v>
      </c>
      <c r="C279" s="55">
        <v>3</v>
      </c>
      <c r="D279" s="55">
        <v>11</v>
      </c>
      <c r="E279" s="55">
        <v>9</v>
      </c>
      <c r="F279" s="55">
        <v>79</v>
      </c>
      <c r="G279" s="55">
        <v>-72.73</v>
      </c>
      <c r="H279" s="55">
        <v>-88.61</v>
      </c>
      <c r="I279" s="55">
        <v>0.01</v>
      </c>
      <c r="J279" s="55">
        <v>0.01</v>
      </c>
      <c r="K279" s="55">
        <v>0.04</v>
      </c>
      <c r="L279" s="55">
        <v>0.05</v>
      </c>
    </row>
    <row r="280" spans="1:12">
      <c r="A280" s="55">
        <v>273</v>
      </c>
      <c r="B280" s="55" t="s">
        <v>181</v>
      </c>
      <c r="C280" s="55">
        <v>1</v>
      </c>
      <c r="D280" s="55">
        <v>6</v>
      </c>
      <c r="E280" s="55">
        <v>9</v>
      </c>
      <c r="F280" s="55">
        <v>46</v>
      </c>
      <c r="G280" s="55">
        <v>-83.33</v>
      </c>
      <c r="H280" s="55">
        <v>-80.430000000000007</v>
      </c>
      <c r="I280" s="55">
        <v>0</v>
      </c>
      <c r="J280" s="55">
        <v>0.01</v>
      </c>
      <c r="K280" s="55">
        <v>0.02</v>
      </c>
      <c r="L280" s="55">
        <v>0.03</v>
      </c>
    </row>
    <row r="281" spans="1:12">
      <c r="A281" s="55">
        <v>274</v>
      </c>
      <c r="B281" s="55" t="s">
        <v>689</v>
      </c>
      <c r="C281" s="55">
        <v>2</v>
      </c>
      <c r="D281" s="55">
        <v>4</v>
      </c>
      <c r="E281" s="55">
        <v>9</v>
      </c>
      <c r="F281" s="55">
        <v>5</v>
      </c>
      <c r="G281" s="55">
        <v>-50</v>
      </c>
      <c r="H281" s="55">
        <v>80</v>
      </c>
      <c r="I281" s="55">
        <v>0.01</v>
      </c>
      <c r="J281" s="55">
        <v>0.01</v>
      </c>
      <c r="K281" s="55">
        <v>0.02</v>
      </c>
      <c r="L281" s="55">
        <v>0</v>
      </c>
    </row>
    <row r="282" spans="1:12">
      <c r="A282" s="55">
        <v>275</v>
      </c>
      <c r="B282" s="55" t="s">
        <v>1015</v>
      </c>
      <c r="C282" s="55">
        <v>2</v>
      </c>
      <c r="D282" s="55">
        <v>0</v>
      </c>
      <c r="E282" s="55">
        <v>9</v>
      </c>
      <c r="F282" s="55">
        <v>0</v>
      </c>
      <c r="G282" s="55">
        <v>0</v>
      </c>
      <c r="H282" s="55">
        <v>0</v>
      </c>
      <c r="I282" s="55">
        <v>0.01</v>
      </c>
      <c r="J282" s="55">
        <v>0.01</v>
      </c>
      <c r="K282" s="55">
        <v>0</v>
      </c>
      <c r="L282" s="55">
        <v>0</v>
      </c>
    </row>
    <row r="283" spans="1:12">
      <c r="A283" s="55">
        <v>276</v>
      </c>
      <c r="B283" s="55" t="s">
        <v>139</v>
      </c>
      <c r="C283" s="55">
        <v>6</v>
      </c>
      <c r="D283" s="55">
        <v>13</v>
      </c>
      <c r="E283" s="55">
        <v>8</v>
      </c>
      <c r="F283" s="55">
        <v>104</v>
      </c>
      <c r="G283" s="55">
        <v>-53.85</v>
      </c>
      <c r="H283" s="55">
        <v>-92.31</v>
      </c>
      <c r="I283" s="55">
        <v>0.02</v>
      </c>
      <c r="J283" s="55">
        <v>0.01</v>
      </c>
      <c r="K283" s="55">
        <v>0.05</v>
      </c>
      <c r="L283" s="55">
        <v>7.0000000000000007E-2</v>
      </c>
    </row>
    <row r="284" spans="1:12">
      <c r="A284" s="55">
        <v>277</v>
      </c>
      <c r="B284" s="55" t="s">
        <v>221</v>
      </c>
      <c r="C284" s="55">
        <v>2</v>
      </c>
      <c r="D284" s="55">
        <v>0</v>
      </c>
      <c r="E284" s="55">
        <v>8</v>
      </c>
      <c r="F284" s="55">
        <v>7</v>
      </c>
      <c r="G284" s="55">
        <v>0</v>
      </c>
      <c r="H284" s="55">
        <v>14.29</v>
      </c>
      <c r="I284" s="55">
        <v>0.01</v>
      </c>
      <c r="J284" s="55">
        <v>0.01</v>
      </c>
      <c r="K284" s="55">
        <v>0</v>
      </c>
      <c r="L284" s="55">
        <v>0</v>
      </c>
    </row>
    <row r="285" spans="1:12">
      <c r="A285" s="55">
        <v>278</v>
      </c>
      <c r="B285" s="55" t="s">
        <v>1086</v>
      </c>
      <c r="C285" s="55">
        <v>2</v>
      </c>
      <c r="D285" s="55">
        <v>0</v>
      </c>
      <c r="E285" s="55">
        <v>8</v>
      </c>
      <c r="F285" s="55">
        <v>6</v>
      </c>
      <c r="G285" s="62">
        <v>0</v>
      </c>
      <c r="H285" s="62">
        <v>33.33</v>
      </c>
      <c r="I285" s="55">
        <v>0.01</v>
      </c>
      <c r="J285" s="55">
        <v>0.01</v>
      </c>
      <c r="K285" s="55">
        <v>0</v>
      </c>
      <c r="L285" s="55">
        <v>0</v>
      </c>
    </row>
    <row r="286" spans="1:12">
      <c r="A286" s="55">
        <v>279</v>
      </c>
      <c r="B286" s="55" t="s">
        <v>573</v>
      </c>
      <c r="C286" s="55">
        <v>3</v>
      </c>
      <c r="D286" s="55">
        <v>0</v>
      </c>
      <c r="E286" s="55">
        <v>7</v>
      </c>
      <c r="F286" s="55">
        <v>10</v>
      </c>
      <c r="G286" s="55">
        <v>0</v>
      </c>
      <c r="H286" s="55">
        <v>-30</v>
      </c>
      <c r="I286" s="55">
        <v>0.01</v>
      </c>
      <c r="J286" s="55">
        <v>0</v>
      </c>
      <c r="K286" s="55">
        <v>0</v>
      </c>
      <c r="L286" s="55">
        <v>0.01</v>
      </c>
    </row>
    <row r="287" spans="1:12">
      <c r="A287" s="55">
        <v>280</v>
      </c>
      <c r="B287" s="55" t="s">
        <v>1093</v>
      </c>
      <c r="C287" s="55">
        <v>3</v>
      </c>
      <c r="D287" s="55">
        <v>1</v>
      </c>
      <c r="E287" s="55">
        <v>7</v>
      </c>
      <c r="F287" s="55">
        <v>7</v>
      </c>
      <c r="G287" s="55">
        <v>200</v>
      </c>
      <c r="H287" s="55">
        <v>0</v>
      </c>
      <c r="I287" s="55">
        <v>0.01</v>
      </c>
      <c r="J287" s="55">
        <v>0</v>
      </c>
      <c r="K287" s="55">
        <v>0</v>
      </c>
      <c r="L287" s="55">
        <v>0</v>
      </c>
    </row>
    <row r="288" spans="1:12">
      <c r="A288" s="55">
        <v>281</v>
      </c>
      <c r="B288" s="55" t="s">
        <v>670</v>
      </c>
      <c r="C288" s="55">
        <v>0</v>
      </c>
      <c r="D288" s="55">
        <v>2</v>
      </c>
      <c r="E288" s="55">
        <v>7</v>
      </c>
      <c r="F288" s="55">
        <v>3</v>
      </c>
      <c r="G288" s="55">
        <v>-100</v>
      </c>
      <c r="H288" s="55">
        <v>133.33000000000001</v>
      </c>
      <c r="I288" s="55">
        <v>0</v>
      </c>
      <c r="J288" s="55">
        <v>0</v>
      </c>
      <c r="K288" s="55">
        <v>0.01</v>
      </c>
      <c r="L288" s="55">
        <v>0</v>
      </c>
    </row>
    <row r="289" spans="1:12">
      <c r="A289" s="55">
        <v>282</v>
      </c>
      <c r="B289" s="55" t="s">
        <v>1085</v>
      </c>
      <c r="C289" s="55">
        <v>0</v>
      </c>
      <c r="D289" s="55">
        <v>1</v>
      </c>
      <c r="E289" s="55">
        <v>6</v>
      </c>
      <c r="F289" s="55">
        <v>14</v>
      </c>
      <c r="G289" s="55">
        <v>-100</v>
      </c>
      <c r="H289" s="55">
        <v>-57.14</v>
      </c>
      <c r="I289" s="55">
        <v>0</v>
      </c>
      <c r="J289" s="55">
        <v>0</v>
      </c>
      <c r="K289" s="55">
        <v>0</v>
      </c>
      <c r="L289" s="55">
        <v>0.01</v>
      </c>
    </row>
    <row r="290" spans="1:12">
      <c r="A290" s="55">
        <v>283</v>
      </c>
      <c r="B290" s="55" t="s">
        <v>1188</v>
      </c>
      <c r="C290" s="55">
        <v>0</v>
      </c>
      <c r="D290" s="55">
        <v>1</v>
      </c>
      <c r="E290" s="55">
        <v>6</v>
      </c>
      <c r="F290" s="55">
        <v>2</v>
      </c>
      <c r="G290" s="55">
        <v>-100</v>
      </c>
      <c r="H290" s="55">
        <v>200</v>
      </c>
      <c r="I290" s="55">
        <v>0</v>
      </c>
      <c r="J290" s="55">
        <v>0</v>
      </c>
      <c r="K290" s="55">
        <v>0</v>
      </c>
      <c r="L290" s="55">
        <v>0</v>
      </c>
    </row>
    <row r="291" spans="1:12">
      <c r="A291" s="55">
        <v>284</v>
      </c>
      <c r="B291" s="55" t="s">
        <v>485</v>
      </c>
      <c r="C291" s="55">
        <v>0</v>
      </c>
      <c r="D291" s="55">
        <v>2</v>
      </c>
      <c r="E291" s="55">
        <v>5</v>
      </c>
      <c r="F291" s="55">
        <v>10</v>
      </c>
      <c r="G291" s="55">
        <v>-100</v>
      </c>
      <c r="H291" s="55">
        <v>-50</v>
      </c>
      <c r="I291" s="55">
        <v>0</v>
      </c>
      <c r="J291" s="55">
        <v>0</v>
      </c>
      <c r="K291" s="55">
        <v>0.01</v>
      </c>
      <c r="L291" s="55">
        <v>0.01</v>
      </c>
    </row>
    <row r="292" spans="1:12">
      <c r="A292" s="55">
        <v>285</v>
      </c>
      <c r="B292" s="55" t="s">
        <v>219</v>
      </c>
      <c r="C292" s="55">
        <v>1</v>
      </c>
      <c r="D292" s="55">
        <v>0</v>
      </c>
      <c r="E292" s="55">
        <v>5</v>
      </c>
      <c r="F292" s="55">
        <v>3</v>
      </c>
      <c r="G292" s="55">
        <v>0</v>
      </c>
      <c r="H292" s="55">
        <v>66.67</v>
      </c>
      <c r="I292" s="55">
        <v>0</v>
      </c>
      <c r="J292" s="55">
        <v>0</v>
      </c>
      <c r="K292" s="55">
        <v>0</v>
      </c>
      <c r="L292" s="55">
        <v>0</v>
      </c>
    </row>
    <row r="293" spans="1:12">
      <c r="A293" s="55">
        <v>286</v>
      </c>
      <c r="B293" s="55" t="s">
        <v>1087</v>
      </c>
      <c r="C293" s="55">
        <v>0</v>
      </c>
      <c r="D293" s="55">
        <v>0</v>
      </c>
      <c r="E293" s="55">
        <v>5</v>
      </c>
      <c r="F293" s="55">
        <v>0</v>
      </c>
      <c r="G293" s="55">
        <v>0</v>
      </c>
      <c r="H293" s="55">
        <v>0</v>
      </c>
      <c r="I293" s="55">
        <v>0</v>
      </c>
      <c r="J293" s="55">
        <v>0</v>
      </c>
      <c r="K293" s="55">
        <v>0</v>
      </c>
      <c r="L293" s="55">
        <v>0</v>
      </c>
    </row>
    <row r="294" spans="1:12">
      <c r="A294" s="55">
        <v>287</v>
      </c>
      <c r="B294" s="55" t="s">
        <v>213</v>
      </c>
      <c r="C294" s="55">
        <v>0</v>
      </c>
      <c r="D294" s="55">
        <v>1</v>
      </c>
      <c r="E294" s="55">
        <v>4</v>
      </c>
      <c r="F294" s="55">
        <v>11</v>
      </c>
      <c r="G294" s="55">
        <v>-100</v>
      </c>
      <c r="H294" s="55">
        <v>-63.64</v>
      </c>
      <c r="I294" s="55">
        <v>0</v>
      </c>
      <c r="J294" s="55">
        <v>0</v>
      </c>
      <c r="K294" s="55">
        <v>0</v>
      </c>
      <c r="L294" s="55">
        <v>0.01</v>
      </c>
    </row>
    <row r="295" spans="1:12">
      <c r="A295" s="55">
        <v>288</v>
      </c>
      <c r="B295" s="55" t="s">
        <v>552</v>
      </c>
      <c r="C295" s="55">
        <v>2</v>
      </c>
      <c r="D295" s="55">
        <v>2</v>
      </c>
      <c r="E295" s="55">
        <v>4</v>
      </c>
      <c r="F295" s="55">
        <v>8</v>
      </c>
      <c r="G295" s="55">
        <v>0</v>
      </c>
      <c r="H295" s="55">
        <v>-50</v>
      </c>
      <c r="I295" s="55">
        <v>0.01</v>
      </c>
      <c r="J295" s="55">
        <v>0</v>
      </c>
      <c r="K295" s="55">
        <v>0.01</v>
      </c>
      <c r="L295" s="55">
        <v>0.01</v>
      </c>
    </row>
    <row r="296" spans="1:12">
      <c r="A296" s="55">
        <v>289</v>
      </c>
      <c r="B296" s="55" t="s">
        <v>1237</v>
      </c>
      <c r="C296" s="55">
        <v>4</v>
      </c>
      <c r="D296" s="55">
        <v>0</v>
      </c>
      <c r="E296" s="55">
        <v>4</v>
      </c>
      <c r="F296" s="55">
        <v>0</v>
      </c>
      <c r="G296" s="55">
        <v>0</v>
      </c>
      <c r="H296" s="55">
        <v>0</v>
      </c>
      <c r="I296" s="55">
        <v>0.01</v>
      </c>
      <c r="J296" s="55">
        <v>0</v>
      </c>
      <c r="K296" s="55">
        <v>0</v>
      </c>
      <c r="L296" s="55">
        <v>0</v>
      </c>
    </row>
    <row r="297" spans="1:12">
      <c r="A297" s="55">
        <v>290</v>
      </c>
      <c r="B297" s="55" t="s">
        <v>638</v>
      </c>
      <c r="C297" s="55">
        <v>4</v>
      </c>
      <c r="D297" s="55">
        <v>0</v>
      </c>
      <c r="E297" s="55">
        <v>4</v>
      </c>
      <c r="F297" s="55">
        <v>0</v>
      </c>
      <c r="G297" s="55">
        <v>0</v>
      </c>
      <c r="H297" s="55">
        <v>0</v>
      </c>
      <c r="I297" s="55">
        <v>0.01</v>
      </c>
      <c r="J297" s="55">
        <v>0</v>
      </c>
      <c r="K297" s="55">
        <v>0</v>
      </c>
      <c r="L297" s="55">
        <v>0</v>
      </c>
    </row>
    <row r="298" spans="1:12">
      <c r="A298" s="55">
        <v>291</v>
      </c>
      <c r="B298" s="55" t="s">
        <v>480</v>
      </c>
      <c r="C298" s="55">
        <v>0</v>
      </c>
      <c r="D298" s="55">
        <v>3</v>
      </c>
      <c r="E298" s="55">
        <v>3</v>
      </c>
      <c r="F298" s="55">
        <v>9</v>
      </c>
      <c r="G298" s="55">
        <v>-100</v>
      </c>
      <c r="H298" s="55">
        <v>-66.67</v>
      </c>
      <c r="I298" s="55">
        <v>0</v>
      </c>
      <c r="J298" s="55">
        <v>0</v>
      </c>
      <c r="K298" s="55">
        <v>0.01</v>
      </c>
      <c r="L298" s="55">
        <v>0.01</v>
      </c>
    </row>
    <row r="299" spans="1:12">
      <c r="A299" s="55">
        <v>292</v>
      </c>
      <c r="B299" s="55" t="s">
        <v>105</v>
      </c>
      <c r="C299" s="55">
        <v>0</v>
      </c>
      <c r="D299" s="55">
        <v>29</v>
      </c>
      <c r="E299" s="55">
        <v>2</v>
      </c>
      <c r="F299" s="55">
        <v>1308</v>
      </c>
      <c r="G299" s="55">
        <v>-100</v>
      </c>
      <c r="H299" s="55">
        <v>-99.85</v>
      </c>
      <c r="I299" s="55">
        <v>0</v>
      </c>
      <c r="J299" s="55">
        <v>0</v>
      </c>
      <c r="K299" s="55">
        <v>0.11</v>
      </c>
      <c r="L299" s="55">
        <v>0.91</v>
      </c>
    </row>
    <row r="300" spans="1:12">
      <c r="A300" s="135">
        <v>293</v>
      </c>
      <c r="B300" s="135" t="s">
        <v>131</v>
      </c>
      <c r="C300" s="135">
        <v>0</v>
      </c>
      <c r="D300" s="135">
        <v>0</v>
      </c>
      <c r="E300" s="135">
        <v>2</v>
      </c>
      <c r="F300" s="135">
        <v>14</v>
      </c>
      <c r="G300" s="135">
        <v>0</v>
      </c>
      <c r="H300" s="135">
        <v>-85.71</v>
      </c>
      <c r="I300" s="135">
        <v>0</v>
      </c>
      <c r="J300" s="135">
        <v>0</v>
      </c>
      <c r="K300" s="135">
        <v>0</v>
      </c>
      <c r="L300" s="135">
        <v>0.01</v>
      </c>
    </row>
    <row r="301" spans="1:12">
      <c r="A301" s="135">
        <v>294</v>
      </c>
      <c r="B301" s="135" t="s">
        <v>669</v>
      </c>
      <c r="C301" s="135">
        <v>1</v>
      </c>
      <c r="D301" s="135">
        <v>5</v>
      </c>
      <c r="E301" s="135">
        <v>2</v>
      </c>
      <c r="F301" s="135">
        <v>6</v>
      </c>
      <c r="G301" s="135">
        <v>-80</v>
      </c>
      <c r="H301" s="135">
        <v>-66.67</v>
      </c>
      <c r="I301" s="135">
        <v>0</v>
      </c>
      <c r="J301" s="135">
        <v>0</v>
      </c>
      <c r="K301" s="135">
        <v>0.02</v>
      </c>
      <c r="L301" s="135">
        <v>0</v>
      </c>
    </row>
    <row r="302" spans="1:12">
      <c r="A302" s="135">
        <v>295</v>
      </c>
      <c r="B302" s="135" t="s">
        <v>391</v>
      </c>
      <c r="C302" s="135">
        <v>1</v>
      </c>
      <c r="D302" s="135">
        <v>0</v>
      </c>
      <c r="E302" s="135">
        <v>2</v>
      </c>
      <c r="F302" s="135">
        <v>4</v>
      </c>
      <c r="G302" s="137">
        <v>0</v>
      </c>
      <c r="H302" s="137">
        <v>-50</v>
      </c>
      <c r="I302" s="135">
        <v>0</v>
      </c>
      <c r="J302" s="135">
        <v>0</v>
      </c>
      <c r="K302" s="135">
        <v>0</v>
      </c>
      <c r="L302" s="135">
        <v>0</v>
      </c>
    </row>
    <row r="303" spans="1:12">
      <c r="A303" s="135">
        <v>296</v>
      </c>
      <c r="B303" s="135" t="s">
        <v>489</v>
      </c>
      <c r="C303" s="135">
        <v>0</v>
      </c>
      <c r="D303" s="135">
        <v>0</v>
      </c>
      <c r="E303" s="135">
        <v>2</v>
      </c>
      <c r="F303" s="135">
        <v>2</v>
      </c>
      <c r="G303" s="135">
        <v>0</v>
      </c>
      <c r="H303" s="135">
        <v>0</v>
      </c>
      <c r="I303" s="135">
        <v>0</v>
      </c>
      <c r="J303" s="135">
        <v>0</v>
      </c>
      <c r="K303" s="135">
        <v>0</v>
      </c>
      <c r="L303" s="135">
        <v>0</v>
      </c>
    </row>
    <row r="304" spans="1:12">
      <c r="A304" s="135">
        <v>297</v>
      </c>
      <c r="B304" s="135" t="s">
        <v>1156</v>
      </c>
      <c r="C304" s="135">
        <v>0</v>
      </c>
      <c r="D304" s="135">
        <v>0</v>
      </c>
      <c r="E304" s="135">
        <v>2</v>
      </c>
      <c r="F304" s="135">
        <v>1</v>
      </c>
      <c r="G304" s="135">
        <v>0</v>
      </c>
      <c r="H304" s="135">
        <v>100</v>
      </c>
      <c r="I304" s="135">
        <v>0</v>
      </c>
      <c r="J304" s="135">
        <v>0</v>
      </c>
      <c r="K304" s="135">
        <v>0</v>
      </c>
      <c r="L304" s="135">
        <v>0</v>
      </c>
    </row>
    <row r="305" spans="1:12">
      <c r="A305" s="135">
        <v>298</v>
      </c>
      <c r="B305" s="135" t="s">
        <v>1189</v>
      </c>
      <c r="C305" s="135">
        <v>0</v>
      </c>
      <c r="D305" s="135">
        <v>0</v>
      </c>
      <c r="E305" s="135">
        <v>2</v>
      </c>
      <c r="F305" s="135">
        <v>0</v>
      </c>
      <c r="G305" s="135">
        <v>0</v>
      </c>
      <c r="H305" s="135">
        <v>0</v>
      </c>
      <c r="I305" s="135">
        <v>0</v>
      </c>
      <c r="J305" s="135">
        <v>0</v>
      </c>
      <c r="K305" s="135">
        <v>0</v>
      </c>
      <c r="L305" s="135">
        <v>0</v>
      </c>
    </row>
    <row r="306" spans="1:12">
      <c r="A306" s="135">
        <v>299</v>
      </c>
      <c r="B306" s="135" t="s">
        <v>1190</v>
      </c>
      <c r="C306" s="135">
        <v>1</v>
      </c>
      <c r="D306" s="135">
        <v>0</v>
      </c>
      <c r="E306" s="135">
        <v>2</v>
      </c>
      <c r="F306" s="135">
        <v>0</v>
      </c>
      <c r="G306" s="135">
        <v>0</v>
      </c>
      <c r="H306" s="135">
        <v>0</v>
      </c>
      <c r="I306" s="135">
        <v>0</v>
      </c>
      <c r="J306" s="135">
        <v>0</v>
      </c>
      <c r="K306" s="135">
        <v>0</v>
      </c>
      <c r="L306" s="135">
        <v>0</v>
      </c>
    </row>
    <row r="307" spans="1:12">
      <c r="A307" s="135">
        <v>300</v>
      </c>
      <c r="B307" s="135" t="s">
        <v>1155</v>
      </c>
      <c r="C307" s="135">
        <v>0</v>
      </c>
      <c r="D307" s="135">
        <v>0</v>
      </c>
      <c r="E307" s="135">
        <v>2</v>
      </c>
      <c r="F307" s="135">
        <v>0</v>
      </c>
      <c r="G307" s="135">
        <v>0</v>
      </c>
      <c r="H307" s="135">
        <v>0</v>
      </c>
      <c r="I307" s="135">
        <v>0</v>
      </c>
      <c r="J307" s="135">
        <v>0</v>
      </c>
      <c r="K307" s="135">
        <v>0</v>
      </c>
      <c r="L307" s="135">
        <v>0</v>
      </c>
    </row>
    <row r="308" spans="1:12">
      <c r="A308" s="135">
        <v>301</v>
      </c>
      <c r="B308" s="135" t="s">
        <v>1092</v>
      </c>
      <c r="C308" s="135">
        <v>0</v>
      </c>
      <c r="D308" s="135">
        <v>2</v>
      </c>
      <c r="E308" s="135">
        <v>1</v>
      </c>
      <c r="F308" s="135">
        <v>34</v>
      </c>
      <c r="G308" s="135">
        <v>-100</v>
      </c>
      <c r="H308" s="135">
        <v>-97.06</v>
      </c>
      <c r="I308" s="135">
        <v>0</v>
      </c>
      <c r="J308" s="135">
        <v>0</v>
      </c>
      <c r="K308" s="135">
        <v>0.01</v>
      </c>
      <c r="L308" s="135">
        <v>0.02</v>
      </c>
    </row>
    <row r="309" spans="1:12">
      <c r="A309" s="135">
        <v>302</v>
      </c>
      <c r="B309" s="135" t="s">
        <v>1134</v>
      </c>
      <c r="C309" s="135">
        <v>0</v>
      </c>
      <c r="D309" s="135">
        <v>2</v>
      </c>
      <c r="E309" s="135">
        <v>1</v>
      </c>
      <c r="F309" s="135">
        <v>5</v>
      </c>
      <c r="G309" s="135">
        <v>-100</v>
      </c>
      <c r="H309" s="135">
        <v>-80</v>
      </c>
      <c r="I309" s="135">
        <v>0</v>
      </c>
      <c r="J309" s="135">
        <v>0</v>
      </c>
      <c r="K309" s="135">
        <v>0.01</v>
      </c>
      <c r="L309" s="135">
        <v>0</v>
      </c>
    </row>
    <row r="310" spans="1:12">
      <c r="A310" s="135">
        <v>303</v>
      </c>
      <c r="B310" s="135" t="s">
        <v>596</v>
      </c>
      <c r="C310" s="135">
        <v>0</v>
      </c>
      <c r="D310" s="135">
        <v>0</v>
      </c>
      <c r="E310" s="135">
        <v>1</v>
      </c>
      <c r="F310" s="135">
        <v>3</v>
      </c>
      <c r="G310" s="135">
        <v>0</v>
      </c>
      <c r="H310" s="135">
        <v>-66.67</v>
      </c>
      <c r="I310" s="135">
        <v>0</v>
      </c>
      <c r="J310" s="135">
        <v>0</v>
      </c>
      <c r="K310" s="135">
        <v>0</v>
      </c>
      <c r="L310" s="135">
        <v>0</v>
      </c>
    </row>
    <row r="311" spans="1:12">
      <c r="A311" s="135">
        <v>304</v>
      </c>
      <c r="B311" s="135" t="s">
        <v>171</v>
      </c>
      <c r="C311" s="135">
        <v>0</v>
      </c>
      <c r="D311" s="135">
        <v>0</v>
      </c>
      <c r="E311" s="135">
        <v>1</v>
      </c>
      <c r="F311" s="135">
        <v>2</v>
      </c>
      <c r="G311" s="135">
        <v>0</v>
      </c>
      <c r="H311" s="135">
        <v>-50</v>
      </c>
      <c r="I311" s="135">
        <v>0</v>
      </c>
      <c r="J311" s="135">
        <v>0</v>
      </c>
      <c r="K311" s="135">
        <v>0</v>
      </c>
      <c r="L311" s="135">
        <v>0</v>
      </c>
    </row>
    <row r="312" spans="1:12">
      <c r="A312" s="135">
        <v>305</v>
      </c>
      <c r="B312" s="135" t="s">
        <v>1090</v>
      </c>
      <c r="C312" s="135">
        <v>0</v>
      </c>
      <c r="D312" s="135">
        <v>0</v>
      </c>
      <c r="E312" s="135">
        <v>1</v>
      </c>
      <c r="F312" s="135">
        <v>1</v>
      </c>
      <c r="G312" s="135">
        <v>0</v>
      </c>
      <c r="H312" s="135">
        <v>0</v>
      </c>
      <c r="I312" s="135">
        <v>0</v>
      </c>
      <c r="J312" s="135">
        <v>0</v>
      </c>
      <c r="K312" s="135">
        <v>0</v>
      </c>
      <c r="L312" s="135">
        <v>0</v>
      </c>
    </row>
    <row r="313" spans="1:12">
      <c r="A313" s="135">
        <v>306</v>
      </c>
      <c r="B313" s="135" t="s">
        <v>410</v>
      </c>
      <c r="C313" s="135">
        <v>0</v>
      </c>
      <c r="D313" s="135">
        <v>0</v>
      </c>
      <c r="E313" s="135">
        <v>1</v>
      </c>
      <c r="F313" s="135">
        <v>1</v>
      </c>
      <c r="G313" s="135">
        <v>0</v>
      </c>
      <c r="H313" s="135">
        <v>0</v>
      </c>
      <c r="I313" s="135">
        <v>0</v>
      </c>
      <c r="J313" s="135">
        <v>0</v>
      </c>
      <c r="K313" s="135">
        <v>0</v>
      </c>
      <c r="L313" s="135">
        <v>0</v>
      </c>
    </row>
    <row r="314" spans="1:12">
      <c r="A314" s="135">
        <v>307</v>
      </c>
      <c r="B314" s="135" t="s">
        <v>1089</v>
      </c>
      <c r="C314" s="135">
        <v>0</v>
      </c>
      <c r="D314" s="135">
        <v>0</v>
      </c>
      <c r="E314" s="135">
        <v>1</v>
      </c>
      <c r="F314" s="135">
        <v>1</v>
      </c>
      <c r="G314" s="135">
        <v>0</v>
      </c>
      <c r="H314" s="135">
        <v>0</v>
      </c>
      <c r="I314" s="135">
        <v>0</v>
      </c>
      <c r="J314" s="135">
        <v>0</v>
      </c>
      <c r="K314" s="135">
        <v>0</v>
      </c>
      <c r="L314" s="135">
        <v>0</v>
      </c>
    </row>
    <row r="315" spans="1:12" s="10" customFormat="1" ht="16">
      <c r="A315" s="135">
        <v>308</v>
      </c>
      <c r="B315" s="135" t="s">
        <v>1137</v>
      </c>
      <c r="C315" s="135">
        <v>1</v>
      </c>
      <c r="D315" s="135">
        <v>0</v>
      </c>
      <c r="E315" s="135">
        <v>1</v>
      </c>
      <c r="F315" s="135">
        <v>1</v>
      </c>
      <c r="G315" s="135">
        <v>0</v>
      </c>
      <c r="H315" s="135">
        <v>0</v>
      </c>
      <c r="I315" s="135">
        <v>0</v>
      </c>
      <c r="J315" s="135">
        <v>0</v>
      </c>
      <c r="K315" s="135">
        <v>0</v>
      </c>
      <c r="L315" s="135">
        <v>0</v>
      </c>
    </row>
    <row r="316" spans="1:12">
      <c r="A316" s="135">
        <v>309</v>
      </c>
      <c r="B316" s="135" t="s">
        <v>1191</v>
      </c>
      <c r="C316" s="135">
        <v>0</v>
      </c>
      <c r="D316" s="135">
        <v>0</v>
      </c>
      <c r="E316" s="135">
        <v>1</v>
      </c>
      <c r="F316" s="135">
        <v>0</v>
      </c>
      <c r="G316" s="135">
        <v>0</v>
      </c>
      <c r="H316" s="135">
        <v>0</v>
      </c>
      <c r="I316" s="135">
        <v>0</v>
      </c>
      <c r="J316" s="135">
        <v>0</v>
      </c>
      <c r="K316" s="135">
        <v>0</v>
      </c>
      <c r="L316" s="135">
        <v>0</v>
      </c>
    </row>
    <row r="317" spans="1:12">
      <c r="A317" s="135">
        <v>310</v>
      </c>
      <c r="B317" s="135" t="s">
        <v>1192</v>
      </c>
      <c r="C317" s="135">
        <v>0</v>
      </c>
      <c r="D317" s="135">
        <v>0</v>
      </c>
      <c r="E317" s="135">
        <v>1</v>
      </c>
      <c r="F317" s="135">
        <v>0</v>
      </c>
      <c r="G317" s="135">
        <v>0</v>
      </c>
      <c r="H317" s="135">
        <v>0</v>
      </c>
      <c r="I317" s="135">
        <v>0</v>
      </c>
      <c r="J317" s="135">
        <v>0</v>
      </c>
      <c r="K317" s="135">
        <v>0</v>
      </c>
      <c r="L317" s="135">
        <v>0</v>
      </c>
    </row>
    <row r="318" spans="1:12">
      <c r="A318" s="135">
        <v>311</v>
      </c>
      <c r="B318" s="135" t="s">
        <v>134</v>
      </c>
      <c r="C318" s="135">
        <v>0</v>
      </c>
      <c r="D318" s="135">
        <v>27</v>
      </c>
      <c r="E318" s="135">
        <v>0</v>
      </c>
      <c r="F318" s="135">
        <v>332</v>
      </c>
      <c r="G318" s="135">
        <v>-100</v>
      </c>
      <c r="H318" s="135">
        <v>-100</v>
      </c>
      <c r="I318" s="135">
        <v>0</v>
      </c>
      <c r="J318" s="135">
        <v>0</v>
      </c>
      <c r="K318" s="135">
        <v>0.1</v>
      </c>
      <c r="L318" s="135">
        <v>0.23</v>
      </c>
    </row>
    <row r="319" spans="1:12">
      <c r="A319" s="135">
        <v>312</v>
      </c>
      <c r="B319" s="135" t="s">
        <v>194</v>
      </c>
      <c r="C319" s="135">
        <v>0</v>
      </c>
      <c r="D319" s="135">
        <v>68</v>
      </c>
      <c r="E319" s="135">
        <v>0</v>
      </c>
      <c r="F319" s="135">
        <v>214</v>
      </c>
      <c r="G319" s="135">
        <v>-100</v>
      </c>
      <c r="H319" s="135">
        <v>-100</v>
      </c>
      <c r="I319" s="135">
        <v>0</v>
      </c>
      <c r="J319" s="135">
        <v>0</v>
      </c>
      <c r="K319" s="135">
        <v>0.26</v>
      </c>
      <c r="L319" s="135">
        <v>0.15</v>
      </c>
    </row>
    <row r="320" spans="1:12">
      <c r="A320" s="135">
        <v>313</v>
      </c>
      <c r="B320" s="135" t="s">
        <v>133</v>
      </c>
      <c r="C320" s="135">
        <v>0</v>
      </c>
      <c r="D320" s="135">
        <v>26</v>
      </c>
      <c r="E320" s="135">
        <v>0</v>
      </c>
      <c r="F320" s="135">
        <v>112</v>
      </c>
      <c r="G320" s="135">
        <v>-100</v>
      </c>
      <c r="H320" s="135">
        <v>-100</v>
      </c>
      <c r="I320" s="135">
        <v>0</v>
      </c>
      <c r="J320" s="135">
        <v>0</v>
      </c>
      <c r="K320" s="135">
        <v>0.1</v>
      </c>
      <c r="L320" s="135">
        <v>0.08</v>
      </c>
    </row>
    <row r="321" spans="1:12">
      <c r="A321" s="135">
        <v>314</v>
      </c>
      <c r="B321" s="135" t="s">
        <v>153</v>
      </c>
      <c r="C321" s="135">
        <v>0</v>
      </c>
      <c r="D321" s="135">
        <v>1</v>
      </c>
      <c r="E321" s="135">
        <v>0</v>
      </c>
      <c r="F321" s="135">
        <v>49</v>
      </c>
      <c r="G321" s="135">
        <v>-100</v>
      </c>
      <c r="H321" s="135">
        <v>-100</v>
      </c>
      <c r="I321" s="135">
        <v>0</v>
      </c>
      <c r="J321" s="135">
        <v>0</v>
      </c>
      <c r="K321" s="135">
        <v>0</v>
      </c>
      <c r="L321" s="135">
        <v>0.03</v>
      </c>
    </row>
    <row r="322" spans="1:12">
      <c r="A322" s="135">
        <v>315</v>
      </c>
      <c r="B322" s="135" t="s">
        <v>366</v>
      </c>
      <c r="C322" s="135">
        <v>0</v>
      </c>
      <c r="D322" s="135">
        <v>4</v>
      </c>
      <c r="E322" s="135">
        <v>0</v>
      </c>
      <c r="F322" s="135">
        <v>43</v>
      </c>
      <c r="G322" s="135">
        <v>-100</v>
      </c>
      <c r="H322" s="135">
        <v>-100</v>
      </c>
      <c r="I322" s="135">
        <v>0</v>
      </c>
      <c r="J322" s="135">
        <v>0</v>
      </c>
      <c r="K322" s="135">
        <v>0.02</v>
      </c>
      <c r="L322" s="135">
        <v>0.03</v>
      </c>
    </row>
    <row r="323" spans="1:12">
      <c r="A323" s="135">
        <v>316</v>
      </c>
      <c r="B323" s="135" t="s">
        <v>558</v>
      </c>
      <c r="C323" s="135">
        <v>0</v>
      </c>
      <c r="D323" s="135">
        <v>8</v>
      </c>
      <c r="E323" s="135">
        <v>0</v>
      </c>
      <c r="F323" s="135">
        <v>41</v>
      </c>
      <c r="G323" s="135">
        <v>-100</v>
      </c>
      <c r="H323" s="135">
        <v>-100</v>
      </c>
      <c r="I323" s="135">
        <v>0</v>
      </c>
      <c r="J323" s="135">
        <v>0</v>
      </c>
      <c r="K323" s="135">
        <v>0.03</v>
      </c>
      <c r="L323" s="135">
        <v>0.03</v>
      </c>
    </row>
    <row r="324" spans="1:12">
      <c r="A324" s="135">
        <v>317</v>
      </c>
      <c r="B324" s="135" t="s">
        <v>1136</v>
      </c>
      <c r="C324" s="135">
        <v>0</v>
      </c>
      <c r="D324" s="135">
        <v>7</v>
      </c>
      <c r="E324" s="135">
        <v>0</v>
      </c>
      <c r="F324" s="135">
        <v>34</v>
      </c>
      <c r="G324" s="135">
        <v>-100</v>
      </c>
      <c r="H324" s="135">
        <v>-100</v>
      </c>
      <c r="I324" s="135">
        <v>0</v>
      </c>
      <c r="J324" s="135">
        <v>0</v>
      </c>
      <c r="K324" s="135">
        <v>0.03</v>
      </c>
      <c r="L324" s="135">
        <v>0.02</v>
      </c>
    </row>
    <row r="325" spans="1:12">
      <c r="A325" s="135">
        <v>318</v>
      </c>
      <c r="B325" s="135" t="s">
        <v>222</v>
      </c>
      <c r="C325" s="135">
        <v>0</v>
      </c>
      <c r="D325" s="135">
        <v>0</v>
      </c>
      <c r="E325" s="135">
        <v>0</v>
      </c>
      <c r="F325" s="135">
        <v>22</v>
      </c>
      <c r="G325" s="135">
        <v>0</v>
      </c>
      <c r="H325" s="135">
        <v>-100</v>
      </c>
      <c r="I325" s="135">
        <v>0</v>
      </c>
      <c r="J325" s="135">
        <v>0</v>
      </c>
      <c r="K325" s="135">
        <v>0</v>
      </c>
      <c r="L325" s="135">
        <v>0.02</v>
      </c>
    </row>
    <row r="326" spans="1:12">
      <c r="A326" s="135">
        <v>319</v>
      </c>
      <c r="B326" s="135" t="s">
        <v>189</v>
      </c>
      <c r="C326" s="135">
        <v>0</v>
      </c>
      <c r="D326" s="135">
        <v>0</v>
      </c>
      <c r="E326" s="135">
        <v>0</v>
      </c>
      <c r="F326" s="135">
        <v>19</v>
      </c>
      <c r="G326" s="135">
        <v>0</v>
      </c>
      <c r="H326" s="135">
        <v>-100</v>
      </c>
      <c r="I326" s="135">
        <v>0</v>
      </c>
      <c r="J326" s="135">
        <v>0</v>
      </c>
      <c r="K326" s="135">
        <v>0</v>
      </c>
      <c r="L326" s="135">
        <v>0.01</v>
      </c>
    </row>
    <row r="327" spans="1:12">
      <c r="A327" s="135">
        <v>320</v>
      </c>
      <c r="B327" s="135" t="s">
        <v>158</v>
      </c>
      <c r="C327" s="135">
        <v>0</v>
      </c>
      <c r="D327" s="135">
        <v>1</v>
      </c>
      <c r="E327" s="135">
        <v>0</v>
      </c>
      <c r="F327" s="135">
        <v>17</v>
      </c>
      <c r="G327" s="135">
        <v>-100</v>
      </c>
      <c r="H327" s="135">
        <v>-100</v>
      </c>
      <c r="I327" s="135">
        <v>0</v>
      </c>
      <c r="J327" s="135">
        <v>0</v>
      </c>
      <c r="K327" s="135">
        <v>0</v>
      </c>
      <c r="L327" s="135">
        <v>0.01</v>
      </c>
    </row>
    <row r="328" spans="1:12">
      <c r="A328" s="135">
        <v>321</v>
      </c>
      <c r="B328" s="135" t="s">
        <v>124</v>
      </c>
      <c r="C328" s="135">
        <v>0</v>
      </c>
      <c r="D328" s="135">
        <v>0</v>
      </c>
      <c r="E328" s="135">
        <v>0</v>
      </c>
      <c r="F328" s="135">
        <v>15</v>
      </c>
      <c r="G328" s="135">
        <v>0</v>
      </c>
      <c r="H328" s="135">
        <v>-100</v>
      </c>
      <c r="I328" s="135">
        <v>0</v>
      </c>
      <c r="J328" s="135">
        <v>0</v>
      </c>
      <c r="K328" s="135">
        <v>0</v>
      </c>
      <c r="L328" s="135">
        <v>0.01</v>
      </c>
    </row>
    <row r="329" spans="1:12">
      <c r="A329" s="135">
        <v>322</v>
      </c>
      <c r="B329" s="135" t="s">
        <v>1091</v>
      </c>
      <c r="C329" s="135">
        <v>0</v>
      </c>
      <c r="D329" s="135">
        <v>2</v>
      </c>
      <c r="E329" s="135">
        <v>0</v>
      </c>
      <c r="F329" s="135">
        <v>9</v>
      </c>
      <c r="G329" s="135">
        <v>-100</v>
      </c>
      <c r="H329" s="135">
        <v>-100</v>
      </c>
      <c r="I329" s="135">
        <v>0</v>
      </c>
      <c r="J329" s="135">
        <v>0</v>
      </c>
      <c r="K329" s="135">
        <v>0.01</v>
      </c>
      <c r="L329" s="135">
        <v>0.01</v>
      </c>
    </row>
    <row r="330" spans="1:12">
      <c r="A330" s="135">
        <v>323</v>
      </c>
      <c r="B330" s="135" t="s">
        <v>487</v>
      </c>
      <c r="C330" s="135">
        <v>0</v>
      </c>
      <c r="D330" s="135">
        <v>2</v>
      </c>
      <c r="E330" s="135">
        <v>0</v>
      </c>
      <c r="F330" s="135">
        <v>7</v>
      </c>
      <c r="G330" s="135">
        <v>-100</v>
      </c>
      <c r="H330" s="135">
        <v>-100</v>
      </c>
      <c r="I330" s="135">
        <v>0</v>
      </c>
      <c r="J330" s="135">
        <v>0</v>
      </c>
      <c r="K330" s="135">
        <v>0.01</v>
      </c>
      <c r="L330" s="135">
        <v>0</v>
      </c>
    </row>
    <row r="331" spans="1:12">
      <c r="A331" s="135">
        <v>324</v>
      </c>
      <c r="B331" s="135" t="s">
        <v>1157</v>
      </c>
      <c r="C331" s="135">
        <v>0</v>
      </c>
      <c r="D331" s="135">
        <v>2</v>
      </c>
      <c r="E331" s="135">
        <v>0</v>
      </c>
      <c r="F331" s="135">
        <v>7</v>
      </c>
      <c r="G331" s="135">
        <v>-100</v>
      </c>
      <c r="H331" s="135">
        <v>-100</v>
      </c>
      <c r="I331" s="135">
        <v>0</v>
      </c>
      <c r="J331" s="135">
        <v>0</v>
      </c>
      <c r="K331" s="135">
        <v>0.01</v>
      </c>
      <c r="L331" s="135">
        <v>0</v>
      </c>
    </row>
    <row r="332" spans="1:12">
      <c r="A332" s="135">
        <v>325</v>
      </c>
      <c r="B332" s="135" t="s">
        <v>96</v>
      </c>
      <c r="C332" s="135">
        <v>0</v>
      </c>
      <c r="D332" s="135">
        <v>0</v>
      </c>
      <c r="E332" s="135">
        <v>0</v>
      </c>
      <c r="F332" s="135">
        <v>4</v>
      </c>
      <c r="G332" s="135">
        <v>0</v>
      </c>
      <c r="H332" s="135">
        <v>-100</v>
      </c>
      <c r="I332" s="135">
        <v>0</v>
      </c>
      <c r="J332" s="135">
        <v>0</v>
      </c>
      <c r="K332" s="135">
        <v>0</v>
      </c>
      <c r="L332" s="135">
        <v>0</v>
      </c>
    </row>
    <row r="333" spans="1:12">
      <c r="A333" s="135">
        <v>326</v>
      </c>
      <c r="B333" s="135" t="s">
        <v>218</v>
      </c>
      <c r="C333" s="135">
        <v>0</v>
      </c>
      <c r="D333" s="135">
        <v>0</v>
      </c>
      <c r="E333" s="135">
        <v>0</v>
      </c>
      <c r="F333" s="135">
        <v>3</v>
      </c>
      <c r="G333" s="135">
        <v>0</v>
      </c>
      <c r="H333" s="135">
        <v>-100</v>
      </c>
      <c r="I333" s="135">
        <v>0</v>
      </c>
      <c r="J333" s="135">
        <v>0</v>
      </c>
      <c r="K333" s="135">
        <v>0</v>
      </c>
      <c r="L333" s="135">
        <v>0</v>
      </c>
    </row>
    <row r="334" spans="1:12">
      <c r="A334" s="135">
        <v>327</v>
      </c>
      <c r="B334" s="135" t="s">
        <v>1158</v>
      </c>
      <c r="C334" s="135">
        <v>0</v>
      </c>
      <c r="D334" s="135">
        <v>1</v>
      </c>
      <c r="E334" s="135">
        <v>0</v>
      </c>
      <c r="F334" s="135">
        <v>3</v>
      </c>
      <c r="G334" s="135">
        <v>-100</v>
      </c>
      <c r="H334" s="135">
        <v>-100</v>
      </c>
      <c r="I334" s="135">
        <v>0</v>
      </c>
      <c r="J334" s="135">
        <v>0</v>
      </c>
      <c r="K334" s="135">
        <v>0</v>
      </c>
      <c r="L334" s="135">
        <v>0</v>
      </c>
    </row>
    <row r="335" spans="1:12">
      <c r="A335" s="135">
        <v>328</v>
      </c>
      <c r="B335" s="135" t="s">
        <v>1160</v>
      </c>
      <c r="C335" s="135">
        <v>0</v>
      </c>
      <c r="D335" s="135">
        <v>0</v>
      </c>
      <c r="E335" s="135">
        <v>0</v>
      </c>
      <c r="F335" s="135">
        <v>2</v>
      </c>
      <c r="G335" s="135">
        <v>0</v>
      </c>
      <c r="H335" s="135">
        <v>-100</v>
      </c>
      <c r="I335" s="135">
        <v>0</v>
      </c>
      <c r="J335" s="135">
        <v>0</v>
      </c>
      <c r="K335" s="135">
        <v>0</v>
      </c>
      <c r="L335" s="135">
        <v>0</v>
      </c>
    </row>
    <row r="336" spans="1:12">
      <c r="A336" s="135">
        <v>329</v>
      </c>
      <c r="B336" s="135" t="s">
        <v>1159</v>
      </c>
      <c r="C336" s="135">
        <v>0</v>
      </c>
      <c r="D336" s="135">
        <v>0</v>
      </c>
      <c r="E336" s="135">
        <v>0</v>
      </c>
      <c r="F336" s="135">
        <v>1</v>
      </c>
      <c r="G336" s="135">
        <v>0</v>
      </c>
      <c r="H336" s="135">
        <v>-100</v>
      </c>
      <c r="I336" s="135">
        <v>0</v>
      </c>
      <c r="J336" s="135">
        <v>0</v>
      </c>
      <c r="K336" s="135">
        <v>0</v>
      </c>
      <c r="L336" s="135">
        <v>0</v>
      </c>
    </row>
    <row r="337" spans="1:12">
      <c r="A337" s="135">
        <v>330</v>
      </c>
      <c r="B337" s="135" t="s">
        <v>1194</v>
      </c>
      <c r="C337" s="135">
        <v>0</v>
      </c>
      <c r="D337" s="135">
        <v>0</v>
      </c>
      <c r="E337" s="135">
        <v>0</v>
      </c>
      <c r="F337" s="135">
        <v>1</v>
      </c>
      <c r="G337" s="135">
        <v>0</v>
      </c>
      <c r="H337" s="135">
        <v>-100</v>
      </c>
      <c r="I337" s="135">
        <v>0</v>
      </c>
      <c r="J337" s="135">
        <v>0</v>
      </c>
      <c r="K337" s="135">
        <v>0</v>
      </c>
      <c r="L337" s="135">
        <v>0</v>
      </c>
    </row>
    <row r="338" spans="1:12">
      <c r="A338" s="135">
        <v>331</v>
      </c>
      <c r="B338" s="135" t="s">
        <v>1138</v>
      </c>
      <c r="C338" s="135">
        <v>0</v>
      </c>
      <c r="D338" s="135">
        <v>0</v>
      </c>
      <c r="E338" s="135">
        <v>0</v>
      </c>
      <c r="F338" s="135">
        <v>1</v>
      </c>
      <c r="G338" s="135">
        <v>0</v>
      </c>
      <c r="H338" s="135">
        <v>-100</v>
      </c>
      <c r="I338" s="135">
        <v>0</v>
      </c>
      <c r="J338" s="135">
        <v>0</v>
      </c>
      <c r="K338" s="135">
        <v>0</v>
      </c>
      <c r="L338" s="135">
        <v>0</v>
      </c>
    </row>
    <row r="339" spans="1:12">
      <c r="A339" s="135">
        <v>332</v>
      </c>
      <c r="B339" s="135" t="s">
        <v>1193</v>
      </c>
      <c r="C339" s="135">
        <v>0</v>
      </c>
      <c r="D339" s="135">
        <v>0</v>
      </c>
      <c r="E339" s="135">
        <v>0</v>
      </c>
      <c r="F339" s="135">
        <v>1</v>
      </c>
      <c r="G339" s="135">
        <v>0</v>
      </c>
      <c r="H339" s="135">
        <v>-100</v>
      </c>
      <c r="I339" s="135">
        <v>0</v>
      </c>
      <c r="J339" s="135">
        <v>0</v>
      </c>
      <c r="K339" s="135">
        <v>0</v>
      </c>
      <c r="L339" s="135">
        <v>0</v>
      </c>
    </row>
    <row r="340" spans="1:12">
      <c r="A340" s="135">
        <v>333</v>
      </c>
      <c r="B340" s="135" t="s">
        <v>1196</v>
      </c>
      <c r="C340" s="135">
        <v>0</v>
      </c>
      <c r="D340" s="135">
        <v>0</v>
      </c>
      <c r="E340" s="135">
        <v>0</v>
      </c>
      <c r="F340" s="135">
        <v>1</v>
      </c>
      <c r="G340" s="135">
        <v>0</v>
      </c>
      <c r="H340" s="135">
        <v>-100</v>
      </c>
      <c r="I340" s="135">
        <v>0</v>
      </c>
      <c r="J340" s="135">
        <v>0</v>
      </c>
      <c r="K340" s="135">
        <v>0</v>
      </c>
      <c r="L340" s="135">
        <v>0</v>
      </c>
    </row>
    <row r="341" spans="1:12">
      <c r="A341" s="135">
        <v>334</v>
      </c>
      <c r="B341" s="135" t="s">
        <v>1195</v>
      </c>
      <c r="C341" s="135">
        <v>0</v>
      </c>
      <c r="D341" s="135">
        <v>0</v>
      </c>
      <c r="E341" s="135">
        <v>0</v>
      </c>
      <c r="F341" s="135">
        <v>1</v>
      </c>
      <c r="G341" s="135">
        <v>0</v>
      </c>
      <c r="H341" s="135">
        <v>-100</v>
      </c>
      <c r="I341" s="135">
        <v>0</v>
      </c>
      <c r="J341" s="135">
        <v>0</v>
      </c>
      <c r="K341" s="135">
        <v>0</v>
      </c>
      <c r="L341" s="135">
        <v>0</v>
      </c>
    </row>
    <row r="342" spans="1:12">
      <c r="A342" s="135">
        <v>335</v>
      </c>
      <c r="B342" s="135" t="s">
        <v>1094</v>
      </c>
      <c r="C342" s="135">
        <v>0</v>
      </c>
      <c r="D342" s="135">
        <v>0</v>
      </c>
      <c r="E342" s="135">
        <v>0</v>
      </c>
      <c r="F342" s="135">
        <v>1</v>
      </c>
      <c r="G342" s="135">
        <v>0</v>
      </c>
      <c r="H342" s="135">
        <v>-100</v>
      </c>
      <c r="I342" s="135">
        <v>0</v>
      </c>
      <c r="J342" s="135">
        <v>0</v>
      </c>
      <c r="K342" s="135">
        <v>0</v>
      </c>
      <c r="L342" s="135">
        <v>0</v>
      </c>
    </row>
    <row r="343" spans="1:12">
      <c r="A343" s="135">
        <v>336</v>
      </c>
      <c r="B343" s="135" t="s">
        <v>208</v>
      </c>
      <c r="C343" s="135">
        <v>46</v>
      </c>
      <c r="D343" s="135">
        <v>36</v>
      </c>
      <c r="E343" s="135">
        <v>144</v>
      </c>
      <c r="F343" s="135">
        <v>122</v>
      </c>
      <c r="G343" s="135">
        <v>27.78</v>
      </c>
      <c r="H343" s="135">
        <v>18.03</v>
      </c>
      <c r="I343" s="135">
        <v>0.16</v>
      </c>
      <c r="J343" s="135">
        <v>0.1</v>
      </c>
      <c r="K343" s="135">
        <v>0.14000000000000001</v>
      </c>
      <c r="L343" s="135">
        <v>0.08</v>
      </c>
    </row>
    <row r="344" spans="1:12">
      <c r="A344" s="135"/>
      <c r="B344" s="136" t="s">
        <v>457</v>
      </c>
      <c r="C344" s="135">
        <f>SUBTOTAL(109,getAggModelsPB[antalPerioden])</f>
        <v>28283</v>
      </c>
      <c r="D344" s="135">
        <f>SUBTOTAL(109,getAggModelsPB[antalFGPeriod])</f>
        <v>26088</v>
      </c>
      <c r="E344" s="135">
        <f>SUBTOTAL(109,getAggModelsPB[antalÅret])</f>
        <v>140663</v>
      </c>
      <c r="F344" s="135">
        <f>SUBTOTAL(109,getAggModelsPB[antalFGAr])</f>
        <v>144182</v>
      </c>
      <c r="G344" s="137">
        <f>IF(getAggModelsPB[[#Totals],[antalFGPeriod]] &gt; 0,(getAggModelsPB[[#Totals],[antalPerioden]] - getAggModelsPB[[#Totals],[antalFGPeriod]] ) / getAggModelsPB[[#Totals],[antalFGPeriod]] * 100,0)</f>
        <v>8.4138301134621294</v>
      </c>
      <c r="H344" s="137">
        <f>IF(getAggModelsPB[[#Totals],[antalFGAr]] &gt; 0,(getAggModelsPB[[#Totals],[antalÅret]] - getAggModelsPB[[#Totals],[antalFGAr]]) / getAggModelsPB[[#Totals],[antalFGAr]] * 100,0)</f>
        <v>-2.4406652702833918</v>
      </c>
      <c r="I344" s="138" t="str">
        <f>TEXT(100,"0,00")</f>
        <v>100,00</v>
      </c>
      <c r="J344" s="138" t="str">
        <f>TEXT(100,"0,00")</f>
        <v>100,00</v>
      </c>
      <c r="K344" s="138" t="str">
        <f>TEXT(100,"0,00")</f>
        <v>100,00</v>
      </c>
      <c r="L344" s="138" t="str">
        <f>TEXT(100,"0,00")</f>
        <v>100,00</v>
      </c>
    </row>
    <row r="345" spans="1:12">
      <c r="A345" s="135"/>
      <c r="B345" s="135"/>
      <c r="C345" s="135"/>
      <c r="D345" s="135"/>
      <c r="E345" s="135"/>
      <c r="F345" s="135"/>
      <c r="G345" s="135"/>
      <c r="H345" s="135"/>
      <c r="I345" s="135"/>
      <c r="J345" s="135"/>
      <c r="K345" s="135"/>
      <c r="L345" s="135"/>
    </row>
    <row r="346" spans="1:12">
      <c r="A346" s="135"/>
      <c r="B346" s="135"/>
      <c r="C346" s="135"/>
      <c r="D346" s="135"/>
      <c r="E346" s="135"/>
      <c r="F346" s="135"/>
      <c r="G346" s="135"/>
      <c r="H346" s="135"/>
      <c r="I346" s="135"/>
      <c r="J346" s="135"/>
      <c r="K346" s="135"/>
      <c r="L346" s="135"/>
    </row>
    <row r="347" spans="1:12">
      <c r="A347" s="135" t="s">
        <v>681</v>
      </c>
      <c r="B347" s="135"/>
      <c r="C347" s="135"/>
      <c r="D347" s="135"/>
      <c r="E347" s="135"/>
      <c r="F347" s="135"/>
      <c r="G347" s="135"/>
      <c r="H347" s="135"/>
      <c r="I347" s="135"/>
      <c r="J347" s="135"/>
      <c r="K347" s="135"/>
      <c r="L347" s="135"/>
    </row>
    <row r="348" spans="1:12">
      <c r="A348" s="135"/>
      <c r="B348" s="135"/>
      <c r="C348" s="135"/>
      <c r="D348" s="135"/>
      <c r="E348" s="135"/>
      <c r="F348" s="135"/>
      <c r="G348" s="135"/>
      <c r="H348" s="135"/>
      <c r="I348" s="135"/>
      <c r="J348" s="135"/>
      <c r="K348" s="135"/>
      <c r="L348" s="135"/>
    </row>
    <row r="349" spans="1:12">
      <c r="A349" s="135"/>
      <c r="B349" s="135"/>
      <c r="C349" s="135"/>
      <c r="D349" s="135"/>
      <c r="E349" s="135"/>
      <c r="F349" s="135"/>
      <c r="G349" s="135"/>
      <c r="H349" s="135"/>
      <c r="I349" s="135"/>
      <c r="J349" s="135"/>
      <c r="K349" s="135"/>
      <c r="L349" s="135"/>
    </row>
    <row r="350" spans="1:12">
      <c r="A350" s="135"/>
      <c r="B350" s="135"/>
      <c r="C350" s="135"/>
      <c r="D350" s="135"/>
      <c r="E350" s="135"/>
      <c r="F350" s="135"/>
      <c r="G350" s="135"/>
      <c r="H350" s="135"/>
      <c r="I350" s="135"/>
      <c r="J350" s="135"/>
      <c r="K350" s="135"/>
      <c r="L350" s="135"/>
    </row>
    <row r="351" spans="1:12">
      <c r="A351" s="135"/>
      <c r="B351" s="135"/>
      <c r="C351" s="135"/>
      <c r="D351" s="135"/>
      <c r="E351" s="135"/>
      <c r="F351" s="135"/>
      <c r="G351" s="135"/>
      <c r="H351" s="135"/>
      <c r="I351" s="135"/>
      <c r="J351" s="135"/>
      <c r="K351" s="135"/>
      <c r="L351" s="135"/>
    </row>
    <row r="352" spans="1:12">
      <c r="A352" s="135"/>
      <c r="B352" s="135"/>
      <c r="C352" s="135"/>
      <c r="D352" s="135"/>
      <c r="E352" s="135"/>
      <c r="F352" s="135"/>
      <c r="G352" s="135"/>
      <c r="H352" s="135"/>
      <c r="I352" s="135"/>
      <c r="J352" s="135"/>
      <c r="K352" s="135"/>
      <c r="L352" s="135"/>
    </row>
    <row r="353" spans="1:12">
      <c r="A353" s="135"/>
      <c r="B353" s="135"/>
      <c r="C353" s="135"/>
      <c r="D353" s="135"/>
      <c r="E353" s="135"/>
      <c r="F353" s="135"/>
      <c r="G353" s="135"/>
      <c r="H353" s="135"/>
      <c r="I353" s="135"/>
      <c r="J353" s="135"/>
      <c r="K353" s="135"/>
      <c r="L353" s="135"/>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14"/>
  <sheetViews>
    <sheetView zoomScaleNormal="100" workbookViewId="0">
      <pane ySplit="9" topLeftCell="A10" activePane="bottomLeft" state="frozen"/>
      <selection pane="bottomLeft" activeCell="P10" sqref="P10"/>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4" t="s">
        <v>1249</v>
      </c>
      <c r="F1" s="234"/>
      <c r="G1" s="234"/>
      <c r="H1" s="234"/>
      <c r="I1" s="234"/>
      <c r="J1" s="234"/>
      <c r="K1" s="234"/>
      <c r="L1" s="234"/>
      <c r="M1" s="234"/>
      <c r="N1" s="234"/>
    </row>
    <row r="2" spans="1:19" ht="3.75" customHeight="1">
      <c r="E2" s="172"/>
      <c r="F2" s="172"/>
      <c r="G2" s="172"/>
    </row>
    <row r="3" spans="1:19">
      <c r="G3" s="173" t="s">
        <v>713</v>
      </c>
      <c r="H3" s="174">
        <f>CntPeriod/RegDagar</f>
        <v>1414.15</v>
      </c>
      <c r="J3" s="175" t="s">
        <v>714</v>
      </c>
      <c r="K3" s="176">
        <v>20</v>
      </c>
      <c r="L3" s="176"/>
    </row>
    <row r="4" spans="1:19">
      <c r="G4" s="173" t="s">
        <v>715</v>
      </c>
      <c r="H4" s="175">
        <f>CntPeriod</f>
        <v>28283</v>
      </c>
      <c r="J4" s="175"/>
      <c r="K4" s="175"/>
      <c r="L4" s="175"/>
      <c r="M4" s="175"/>
    </row>
    <row r="5" spans="1:19" ht="13.25" customHeight="1">
      <c r="B5" s="175"/>
      <c r="C5" s="177"/>
      <c r="E5" s="178"/>
      <c r="F5" s="175"/>
      <c r="G5" s="175"/>
      <c r="H5" s="175"/>
      <c r="I5" s="175"/>
      <c r="J5" s="175"/>
      <c r="K5" s="175"/>
      <c r="L5" s="175"/>
    </row>
    <row r="6" spans="1:19">
      <c r="E6" s="235" t="s">
        <v>716</v>
      </c>
      <c r="F6" s="236"/>
      <c r="G6" s="236"/>
      <c r="H6" s="236"/>
      <c r="I6" s="237"/>
      <c r="J6" s="235" t="s">
        <v>717</v>
      </c>
      <c r="K6" s="236"/>
      <c r="L6" s="236"/>
      <c r="M6" s="236"/>
      <c r="N6" s="237"/>
      <c r="R6" s="179"/>
      <c r="S6" s="179"/>
    </row>
    <row r="7" spans="1:19">
      <c r="A7" s="227" t="s">
        <v>718</v>
      </c>
      <c r="B7" s="227"/>
      <c r="C7" s="227"/>
      <c r="D7" s="238"/>
      <c r="E7" s="239" t="s">
        <v>1250</v>
      </c>
      <c r="F7" s="240"/>
      <c r="G7" s="240"/>
      <c r="H7" s="240"/>
      <c r="I7" s="241"/>
      <c r="J7" s="242" t="s">
        <v>719</v>
      </c>
      <c r="K7" s="243"/>
      <c r="L7" s="243"/>
      <c r="M7" s="243"/>
      <c r="N7" s="244"/>
    </row>
    <row r="8" spans="1:19" ht="13.25" customHeight="1">
      <c r="A8" s="180" t="s">
        <v>720</v>
      </c>
      <c r="E8" s="245" t="s">
        <v>721</v>
      </c>
      <c r="F8" s="246"/>
      <c r="G8" s="225" t="s">
        <v>722</v>
      </c>
      <c r="H8" s="245" t="s">
        <v>540</v>
      </c>
      <c r="I8" s="247"/>
      <c r="J8" s="245" t="s">
        <v>721</v>
      </c>
      <c r="K8" s="246"/>
      <c r="L8" s="225" t="s">
        <v>722</v>
      </c>
      <c r="M8" s="245" t="s">
        <v>540</v>
      </c>
      <c r="N8" s="247"/>
    </row>
    <row r="9" spans="1:19">
      <c r="A9" s="180" t="s">
        <v>723</v>
      </c>
      <c r="B9" s="179" t="s">
        <v>456</v>
      </c>
      <c r="C9" s="181"/>
      <c r="E9" s="182">
        <v>2023</v>
      </c>
      <c r="F9" s="183">
        <v>2022</v>
      </c>
      <c r="G9" s="184" t="s">
        <v>724</v>
      </c>
      <c r="H9" s="183">
        <v>2023</v>
      </c>
      <c r="I9" s="185">
        <v>2022</v>
      </c>
      <c r="J9" s="182">
        <v>2023</v>
      </c>
      <c r="K9" s="183">
        <v>2022</v>
      </c>
      <c r="L9" s="184" t="s">
        <v>724</v>
      </c>
      <c r="M9" s="183">
        <v>2023</v>
      </c>
      <c r="N9" s="185">
        <v>2022</v>
      </c>
    </row>
    <row r="10" spans="1:19" collapsed="1">
      <c r="A10" s="180" t="s">
        <v>725</v>
      </c>
      <c r="B10" s="179" t="s">
        <v>295</v>
      </c>
      <c r="C10" s="186">
        <f t="shared" ref="C10:C73" si="0">IF(K10=0,"",SUM(((J10-K10)/K10)*100))</f>
        <v>-10.391339071789867</v>
      </c>
      <c r="E10" s="182">
        <v>3271</v>
      </c>
      <c r="F10" s="183">
        <v>3105</v>
      </c>
      <c r="G10" s="187">
        <f t="shared" ref="G10:G73" si="1">IF(F10=0,"",SUM(((E10-F10)/F10)*100))</f>
        <v>5.3462157809983895</v>
      </c>
      <c r="H10" s="188">
        <f t="shared" ref="H10:H73" si="2">IF(E10=0,"",SUM((E10/CntPeriod)*100))</f>
        <v>11.56525121097479</v>
      </c>
      <c r="I10" s="188">
        <f t="shared" ref="I10:I73" si="3">IF(F10=0,"",SUM((F10/CntPeriodPrevYear)*100))</f>
        <v>11.902023919043238</v>
      </c>
      <c r="J10" s="182">
        <v>20196</v>
      </c>
      <c r="K10" s="183">
        <v>22538</v>
      </c>
      <c r="L10" s="187">
        <f t="shared" ref="L10:L73" si="4">IF(K10=0,"",SUM(((J10-K10)/K10)*100))</f>
        <v>-10.391339071789867</v>
      </c>
      <c r="M10" s="188">
        <f t="shared" ref="M10:M73" si="5">IF(J10=0,"",SUM((J10/CntYearAck)*100))</f>
        <v>14.357720224934772</v>
      </c>
      <c r="N10" s="189">
        <f t="shared" ref="N10:N73" si="6">IF(K10=0,"",SUM((K10/CntPrevYearAck)*100))</f>
        <v>15.631632242582292</v>
      </c>
    </row>
    <row r="11" spans="1:19" hidden="1" outlineLevel="1">
      <c r="A11" s="180"/>
      <c r="B11" s="190" t="s">
        <v>726</v>
      </c>
      <c r="C11" s="186">
        <f t="shared" si="0"/>
        <v>-6.7220764071157779</v>
      </c>
      <c r="E11" s="182">
        <v>807</v>
      </c>
      <c r="F11" s="183">
        <v>722</v>
      </c>
      <c r="G11" s="191">
        <f t="shared" si="1"/>
        <v>11.772853185595569</v>
      </c>
      <c r="H11" s="188">
        <f t="shared" si="2"/>
        <v>2.853304104939363</v>
      </c>
      <c r="I11" s="188">
        <f t="shared" si="3"/>
        <v>2.7675559644280896</v>
      </c>
      <c r="J11" s="182">
        <v>6397</v>
      </c>
      <c r="K11" s="183">
        <v>6858</v>
      </c>
      <c r="L11" s="191">
        <f t="shared" si="4"/>
        <v>-6.7220764071157779</v>
      </c>
      <c r="M11" s="188">
        <f t="shared" si="5"/>
        <v>4.547748874970674</v>
      </c>
      <c r="N11" s="189">
        <f t="shared" si="6"/>
        <v>4.7564883272530549</v>
      </c>
    </row>
    <row r="12" spans="1:19" hidden="1" outlineLevel="1">
      <c r="A12" s="180"/>
      <c r="B12" s="190" t="s">
        <v>727</v>
      </c>
      <c r="C12" s="186">
        <f t="shared" si="0"/>
        <v>-6.0391363022941968</v>
      </c>
      <c r="E12" s="182">
        <v>1065</v>
      </c>
      <c r="F12" s="183">
        <v>1243</v>
      </c>
      <c r="G12" s="191">
        <f t="shared" si="1"/>
        <v>-14.320193081255027</v>
      </c>
      <c r="H12" s="188">
        <f t="shared" si="2"/>
        <v>3.7655128522433974</v>
      </c>
      <c r="I12" s="188">
        <f t="shared" si="3"/>
        <v>4.7646427476234283</v>
      </c>
      <c r="J12" s="182">
        <v>5570</v>
      </c>
      <c r="K12" s="183">
        <v>5928</v>
      </c>
      <c r="L12" s="191">
        <f t="shared" si="4"/>
        <v>-6.0391363022941968</v>
      </c>
      <c r="M12" s="188">
        <f t="shared" si="5"/>
        <v>3.9598188578375262</v>
      </c>
      <c r="N12" s="189">
        <f t="shared" si="6"/>
        <v>4.1114702251321242</v>
      </c>
    </row>
    <row r="13" spans="1:19" hidden="1" outlineLevel="1">
      <c r="A13" s="180"/>
      <c r="B13" s="190" t="s">
        <v>728</v>
      </c>
      <c r="C13" s="186">
        <f t="shared" si="0"/>
        <v>-41.89909762100082</v>
      </c>
      <c r="E13" s="182">
        <v>495</v>
      </c>
      <c r="F13" s="183">
        <v>488</v>
      </c>
      <c r="G13" s="191">
        <f t="shared" si="1"/>
        <v>1.4344262295081966</v>
      </c>
      <c r="H13" s="188">
        <f t="shared" si="2"/>
        <v>1.750167945408903</v>
      </c>
      <c r="I13" s="188">
        <f t="shared" si="3"/>
        <v>1.8705918429929469</v>
      </c>
      <c r="J13" s="182">
        <v>2833</v>
      </c>
      <c r="K13" s="183">
        <v>4876</v>
      </c>
      <c r="L13" s="191">
        <f t="shared" si="4"/>
        <v>-41.89909762100082</v>
      </c>
      <c r="M13" s="188">
        <f t="shared" si="5"/>
        <v>2.0140335411586561</v>
      </c>
      <c r="N13" s="189">
        <f t="shared" si="6"/>
        <v>3.3818368450985563</v>
      </c>
    </row>
    <row r="14" spans="1:19" hidden="1" outlineLevel="1">
      <c r="A14" s="180"/>
      <c r="B14" s="190" t="s">
        <v>729</v>
      </c>
      <c r="C14" s="186">
        <f t="shared" si="0"/>
        <v>-36.366528794145722</v>
      </c>
      <c r="E14" s="182">
        <v>437</v>
      </c>
      <c r="F14" s="183">
        <v>374</v>
      </c>
      <c r="G14" s="191">
        <f t="shared" si="1"/>
        <v>16.844919786096256</v>
      </c>
      <c r="H14" s="188">
        <f t="shared" si="2"/>
        <v>1.5450977619064454</v>
      </c>
      <c r="I14" s="188">
        <f t="shared" si="3"/>
        <v>1.4336093222937749</v>
      </c>
      <c r="J14" s="182">
        <v>2000</v>
      </c>
      <c r="K14" s="183">
        <v>3143</v>
      </c>
      <c r="L14" s="191">
        <f t="shared" si="4"/>
        <v>-36.366528794145722</v>
      </c>
      <c r="M14" s="188">
        <f t="shared" si="5"/>
        <v>1.4218380099955212</v>
      </c>
      <c r="N14" s="189">
        <f t="shared" si="6"/>
        <v>2.1798837580280477</v>
      </c>
    </row>
    <row r="15" spans="1:19" hidden="1" outlineLevel="1">
      <c r="A15" s="180"/>
      <c r="B15" s="190" t="s">
        <v>731</v>
      </c>
      <c r="C15" s="186">
        <f t="shared" si="0"/>
        <v>428.0555555555556</v>
      </c>
      <c r="E15" s="182">
        <v>243</v>
      </c>
      <c r="F15" s="183">
        <v>17</v>
      </c>
      <c r="G15" s="191">
        <f t="shared" si="1"/>
        <v>1329.4117647058824</v>
      </c>
      <c r="H15" s="188">
        <f t="shared" si="2"/>
        <v>0.8591733550189159</v>
      </c>
      <c r="I15" s="188">
        <f t="shared" si="3"/>
        <v>6.5164060104262497E-2</v>
      </c>
      <c r="J15" s="182">
        <v>1901</v>
      </c>
      <c r="K15" s="183">
        <v>360</v>
      </c>
      <c r="L15" s="191">
        <f t="shared" si="4"/>
        <v>428.0555555555556</v>
      </c>
      <c r="M15" s="188">
        <f t="shared" si="5"/>
        <v>1.351457028500743</v>
      </c>
      <c r="N15" s="189">
        <f t="shared" si="6"/>
        <v>0.24968442662745693</v>
      </c>
    </row>
    <row r="16" spans="1:19" hidden="1" outlineLevel="1">
      <c r="A16" s="180"/>
      <c r="B16" s="190" t="s">
        <v>730</v>
      </c>
      <c r="C16" s="186">
        <f t="shared" si="0"/>
        <v>7.0113935144609991</v>
      </c>
      <c r="E16" s="182">
        <v>173</v>
      </c>
      <c r="F16" s="183">
        <v>226</v>
      </c>
      <c r="G16" s="191">
        <f t="shared" si="1"/>
        <v>-23.451327433628318</v>
      </c>
      <c r="H16" s="188">
        <f t="shared" si="2"/>
        <v>0.61167485768836405</v>
      </c>
      <c r="I16" s="188">
        <f t="shared" si="3"/>
        <v>0.8662986813860778</v>
      </c>
      <c r="J16" s="182">
        <v>1221</v>
      </c>
      <c r="K16" s="183">
        <v>1141</v>
      </c>
      <c r="L16" s="191">
        <f t="shared" si="4"/>
        <v>7.0113935144609991</v>
      </c>
      <c r="M16" s="188">
        <f t="shared" si="5"/>
        <v>0.86803210510226581</v>
      </c>
      <c r="N16" s="189">
        <f t="shared" si="6"/>
        <v>0.79136091883868998</v>
      </c>
    </row>
    <row r="17" spans="1:14" hidden="1" outlineLevel="1">
      <c r="A17" s="180"/>
      <c r="B17" s="190" t="s">
        <v>732</v>
      </c>
      <c r="C17" s="186">
        <f t="shared" si="0"/>
        <v>18.614718614718615</v>
      </c>
      <c r="E17" s="182">
        <v>51</v>
      </c>
      <c r="F17" s="183">
        <v>35</v>
      </c>
      <c r="G17" s="191">
        <f t="shared" si="1"/>
        <v>45.714285714285715</v>
      </c>
      <c r="H17" s="188">
        <f t="shared" si="2"/>
        <v>0.18032033376940212</v>
      </c>
      <c r="I17" s="188">
        <f t="shared" si="3"/>
        <v>0.13416130021465808</v>
      </c>
      <c r="J17" s="182">
        <v>274</v>
      </c>
      <c r="K17" s="183">
        <v>231</v>
      </c>
      <c r="L17" s="191">
        <f t="shared" si="4"/>
        <v>18.614718614718615</v>
      </c>
      <c r="M17" s="188">
        <f t="shared" si="5"/>
        <v>0.19479180736938639</v>
      </c>
      <c r="N17" s="189">
        <f t="shared" si="6"/>
        <v>0.16021417375261821</v>
      </c>
    </row>
    <row r="18" spans="1:14" hidden="1" outlineLevel="1">
      <c r="A18" s="180"/>
      <c r="B18" s="190" t="s">
        <v>1146</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6.9356785174293602E-4</v>
      </c>
    </row>
    <row r="19" spans="1:14" collapsed="1">
      <c r="A19" s="180" t="s">
        <v>1112</v>
      </c>
      <c r="B19" s="179" t="s">
        <v>743</v>
      </c>
      <c r="C19" s="186">
        <f t="shared" si="0"/>
        <v>-3.8532813598312989</v>
      </c>
      <c r="E19" s="182">
        <v>3489</v>
      </c>
      <c r="F19" s="183">
        <v>2979</v>
      </c>
      <c r="G19" s="191">
        <f t="shared" si="1"/>
        <v>17.119838872104733</v>
      </c>
      <c r="H19" s="188">
        <f t="shared" si="2"/>
        <v>12.33603224551851</v>
      </c>
      <c r="I19" s="188">
        <f t="shared" si="3"/>
        <v>11.41904323827047</v>
      </c>
      <c r="J19" s="182">
        <v>15046</v>
      </c>
      <c r="K19" s="183">
        <v>15649</v>
      </c>
      <c r="L19" s="191">
        <f t="shared" si="4"/>
        <v>-3.8532813598312989</v>
      </c>
      <c r="M19" s="188">
        <f t="shared" si="5"/>
        <v>10.696487349196305</v>
      </c>
      <c r="N19" s="189">
        <f t="shared" si="6"/>
        <v>10.853643311925206</v>
      </c>
    </row>
    <row r="20" spans="1:14" hidden="1" outlineLevel="1">
      <c r="A20" s="180"/>
      <c r="B20" s="190" t="s">
        <v>744</v>
      </c>
      <c r="C20" s="186">
        <f t="shared" si="0"/>
        <v>13.034464887276497</v>
      </c>
      <c r="E20" s="182">
        <v>972</v>
      </c>
      <c r="F20" s="183">
        <v>759</v>
      </c>
      <c r="G20" s="191">
        <f t="shared" si="1"/>
        <v>28.063241106719367</v>
      </c>
      <c r="H20" s="188">
        <f t="shared" si="2"/>
        <v>3.4366934200756636</v>
      </c>
      <c r="I20" s="188">
        <f t="shared" si="3"/>
        <v>2.909383624655014</v>
      </c>
      <c r="J20" s="182">
        <v>4362</v>
      </c>
      <c r="K20" s="183">
        <v>3859</v>
      </c>
      <c r="L20" s="191">
        <f t="shared" si="4"/>
        <v>13.034464887276497</v>
      </c>
      <c r="M20" s="188">
        <f t="shared" si="5"/>
        <v>3.1010286998002319</v>
      </c>
      <c r="N20" s="189">
        <f t="shared" si="6"/>
        <v>2.6764783398759899</v>
      </c>
    </row>
    <row r="21" spans="1:14" hidden="1" outlineLevel="1">
      <c r="A21" s="180"/>
      <c r="B21" s="190" t="s">
        <v>751</v>
      </c>
      <c r="C21" s="186">
        <f t="shared" si="0"/>
        <v>99.314128943758575</v>
      </c>
      <c r="E21" s="182">
        <v>224</v>
      </c>
      <c r="F21" s="183">
        <v>108</v>
      </c>
      <c r="G21" s="191">
        <f t="shared" si="1"/>
        <v>107.40740740740742</v>
      </c>
      <c r="H21" s="188">
        <f t="shared" si="2"/>
        <v>0.7919951914577662</v>
      </c>
      <c r="I21" s="188">
        <f t="shared" si="3"/>
        <v>0.41398344066237347</v>
      </c>
      <c r="J21" s="182">
        <v>1453</v>
      </c>
      <c r="K21" s="183">
        <v>729</v>
      </c>
      <c r="L21" s="191">
        <f t="shared" si="4"/>
        <v>99.314128943758575</v>
      </c>
      <c r="M21" s="188">
        <f t="shared" si="5"/>
        <v>1.0329653142617463</v>
      </c>
      <c r="N21" s="189">
        <f t="shared" si="6"/>
        <v>0.50561096392060034</v>
      </c>
    </row>
    <row r="22" spans="1:14" hidden="1" outlineLevel="1">
      <c r="A22" s="180"/>
      <c r="B22" s="190" t="s">
        <v>746</v>
      </c>
      <c r="C22" s="186">
        <f t="shared" si="0"/>
        <v>-26.979324256177513</v>
      </c>
      <c r="E22" s="182">
        <v>412</v>
      </c>
      <c r="F22" s="183">
        <v>352</v>
      </c>
      <c r="G22" s="191">
        <f t="shared" si="1"/>
        <v>17.045454545454543</v>
      </c>
      <c r="H22" s="188">
        <f t="shared" si="2"/>
        <v>1.4567054414312486</v>
      </c>
      <c r="I22" s="188">
        <f t="shared" si="3"/>
        <v>1.349279362158847</v>
      </c>
      <c r="J22" s="182">
        <v>1448</v>
      </c>
      <c r="K22" s="183">
        <v>1983</v>
      </c>
      <c r="L22" s="191">
        <f t="shared" si="4"/>
        <v>-26.979324256177513</v>
      </c>
      <c r="M22" s="188">
        <f t="shared" si="5"/>
        <v>1.0294107192367574</v>
      </c>
      <c r="N22" s="189">
        <f t="shared" si="6"/>
        <v>1.3753450500062421</v>
      </c>
    </row>
    <row r="23" spans="1:14" hidden="1" outlineLevel="1">
      <c r="A23" s="180"/>
      <c r="B23" s="190" t="s">
        <v>748</v>
      </c>
      <c r="C23" s="186">
        <f t="shared" si="0"/>
        <v>-5.0331125827814569</v>
      </c>
      <c r="E23" s="182">
        <v>277</v>
      </c>
      <c r="F23" s="183">
        <v>376</v>
      </c>
      <c r="G23" s="191">
        <f t="shared" si="1"/>
        <v>-26.329787234042552</v>
      </c>
      <c r="H23" s="188">
        <f t="shared" si="2"/>
        <v>0.97938691086518415</v>
      </c>
      <c r="I23" s="188">
        <f t="shared" si="3"/>
        <v>1.4412756823060411</v>
      </c>
      <c r="J23" s="182">
        <v>1434</v>
      </c>
      <c r="K23" s="183">
        <v>1510</v>
      </c>
      <c r="L23" s="191">
        <f t="shared" si="4"/>
        <v>-5.0331125827814569</v>
      </c>
      <c r="M23" s="188">
        <f t="shared" si="5"/>
        <v>1.0194578531667888</v>
      </c>
      <c r="N23" s="189">
        <f t="shared" si="6"/>
        <v>1.0472874561318335</v>
      </c>
    </row>
    <row r="24" spans="1:14" hidden="1" outlineLevel="1">
      <c r="A24" s="180"/>
      <c r="B24" s="190" t="s">
        <v>745</v>
      </c>
      <c r="C24" s="186">
        <f t="shared" si="0"/>
        <v>-49.731958762886599</v>
      </c>
      <c r="E24" s="182">
        <v>275</v>
      </c>
      <c r="F24" s="183">
        <v>342</v>
      </c>
      <c r="G24" s="191">
        <f t="shared" si="1"/>
        <v>-19.5906432748538</v>
      </c>
      <c r="H24" s="188">
        <f t="shared" si="2"/>
        <v>0.97231552522716835</v>
      </c>
      <c r="I24" s="188">
        <f t="shared" si="3"/>
        <v>1.3109475620975162</v>
      </c>
      <c r="J24" s="182">
        <v>1219</v>
      </c>
      <c r="K24" s="183">
        <v>2425</v>
      </c>
      <c r="L24" s="191">
        <f t="shared" si="4"/>
        <v>-49.731958762886599</v>
      </c>
      <c r="M24" s="188">
        <f t="shared" si="5"/>
        <v>0.86661026709227018</v>
      </c>
      <c r="N24" s="189">
        <f t="shared" si="6"/>
        <v>1.6819020404766196</v>
      </c>
    </row>
    <row r="25" spans="1:14" hidden="1" outlineLevel="1">
      <c r="A25" s="180"/>
      <c r="B25" s="190" t="s">
        <v>747</v>
      </c>
      <c r="C25" s="186">
        <f t="shared" si="0"/>
        <v>-48.148148148148145</v>
      </c>
      <c r="E25" s="182">
        <v>246</v>
      </c>
      <c r="F25" s="183">
        <v>333</v>
      </c>
      <c r="G25" s="191">
        <f t="shared" si="1"/>
        <v>-26.126126126126124</v>
      </c>
      <c r="H25" s="188">
        <f t="shared" si="2"/>
        <v>0.86978043347593959</v>
      </c>
      <c r="I25" s="188">
        <f t="shared" si="3"/>
        <v>1.2764489420423182</v>
      </c>
      <c r="J25" s="182">
        <v>994</v>
      </c>
      <c r="K25" s="183">
        <v>1917</v>
      </c>
      <c r="L25" s="191">
        <f t="shared" si="4"/>
        <v>-48.148148148148145</v>
      </c>
      <c r="M25" s="188">
        <f t="shared" si="5"/>
        <v>0.70665349096777408</v>
      </c>
      <c r="N25" s="189">
        <f t="shared" si="6"/>
        <v>1.3295695717912084</v>
      </c>
    </row>
    <row r="26" spans="1:14" hidden="1" outlineLevel="1">
      <c r="A26" s="180"/>
      <c r="B26" s="190" t="s">
        <v>750</v>
      </c>
      <c r="C26" s="186">
        <f t="shared" si="0"/>
        <v>13.299232736572892</v>
      </c>
      <c r="E26" s="182">
        <v>254</v>
      </c>
      <c r="F26" s="183">
        <v>162</v>
      </c>
      <c r="G26" s="191">
        <f t="shared" si="1"/>
        <v>56.79012345679012</v>
      </c>
      <c r="H26" s="188">
        <f t="shared" si="2"/>
        <v>0.89806597602800264</v>
      </c>
      <c r="I26" s="188">
        <f t="shared" si="3"/>
        <v>0.6209751609935602</v>
      </c>
      <c r="J26" s="182">
        <v>886</v>
      </c>
      <c r="K26" s="183">
        <v>782</v>
      </c>
      <c r="L26" s="191">
        <f t="shared" si="4"/>
        <v>13.299232736572892</v>
      </c>
      <c r="M26" s="188">
        <f t="shared" si="5"/>
        <v>0.62987423842801593</v>
      </c>
      <c r="N26" s="189">
        <f t="shared" si="6"/>
        <v>0.54237006006297594</v>
      </c>
    </row>
    <row r="27" spans="1:14" hidden="1" outlineLevel="1">
      <c r="A27" s="180"/>
      <c r="B27" s="190" t="s">
        <v>754</v>
      </c>
      <c r="C27" s="186">
        <f t="shared" si="0"/>
        <v>405.4545454545455</v>
      </c>
      <c r="E27" s="182">
        <v>280</v>
      </c>
      <c r="F27" s="183">
        <v>92</v>
      </c>
      <c r="G27" s="191">
        <f t="shared" si="1"/>
        <v>204.34782608695653</v>
      </c>
      <c r="H27" s="188">
        <f t="shared" si="2"/>
        <v>0.98999398932220761</v>
      </c>
      <c r="I27" s="188">
        <f t="shared" si="3"/>
        <v>0.3526525605642441</v>
      </c>
      <c r="J27" s="182">
        <v>834</v>
      </c>
      <c r="K27" s="183">
        <v>165</v>
      </c>
      <c r="L27" s="191">
        <f t="shared" si="4"/>
        <v>405.4545454545455</v>
      </c>
      <c r="M27" s="188">
        <f t="shared" si="5"/>
        <v>0.59290645016813237</v>
      </c>
      <c r="N27" s="189">
        <f t="shared" si="6"/>
        <v>0.11443869553758444</v>
      </c>
    </row>
    <row r="28" spans="1:14" hidden="1" outlineLevel="1">
      <c r="A28" s="180"/>
      <c r="B28" s="190" t="s">
        <v>749</v>
      </c>
      <c r="C28" s="186">
        <f t="shared" si="0"/>
        <v>-24.875</v>
      </c>
      <c r="E28" s="182">
        <v>165</v>
      </c>
      <c r="F28" s="183">
        <v>87</v>
      </c>
      <c r="G28" s="191">
        <f t="shared" si="1"/>
        <v>89.65517241379311</v>
      </c>
      <c r="H28" s="188">
        <f t="shared" si="2"/>
        <v>0.58338931513630099</v>
      </c>
      <c r="I28" s="188">
        <f t="shared" si="3"/>
        <v>0.33348666053357862</v>
      </c>
      <c r="J28" s="182">
        <v>601</v>
      </c>
      <c r="K28" s="183">
        <v>800</v>
      </c>
      <c r="L28" s="191">
        <f t="shared" si="4"/>
        <v>-24.875</v>
      </c>
      <c r="M28" s="188">
        <f t="shared" si="5"/>
        <v>0.42726232200365416</v>
      </c>
      <c r="N28" s="189">
        <f t="shared" si="6"/>
        <v>0.55485428139434878</v>
      </c>
    </row>
    <row r="29" spans="1:14" hidden="1" outlineLevel="1">
      <c r="A29" s="180"/>
      <c r="B29" s="190" t="s">
        <v>1020</v>
      </c>
      <c r="C29" s="186" t="str">
        <f t="shared" si="0"/>
        <v/>
      </c>
      <c r="E29" s="182">
        <v>86</v>
      </c>
      <c r="F29" s="183">
        <v>0</v>
      </c>
      <c r="G29" s="191" t="str">
        <f t="shared" si="1"/>
        <v/>
      </c>
      <c r="H29" s="188">
        <f t="shared" si="2"/>
        <v>0.30406958243467808</v>
      </c>
      <c r="I29" s="188" t="str">
        <f t="shared" si="3"/>
        <v/>
      </c>
      <c r="J29" s="182">
        <v>445</v>
      </c>
      <c r="K29" s="183">
        <v>0</v>
      </c>
      <c r="L29" s="191" t="str">
        <f t="shared" si="4"/>
        <v/>
      </c>
      <c r="M29" s="188">
        <f t="shared" si="5"/>
        <v>0.31635895722400342</v>
      </c>
      <c r="N29" s="189" t="str">
        <f t="shared" si="6"/>
        <v/>
      </c>
    </row>
    <row r="30" spans="1:14" hidden="1" outlineLevel="1">
      <c r="A30" s="180"/>
      <c r="B30" s="190" t="s">
        <v>753</v>
      </c>
      <c r="C30" s="186">
        <f t="shared" si="0"/>
        <v>-7.8048780487804876</v>
      </c>
      <c r="E30" s="182">
        <v>59</v>
      </c>
      <c r="F30" s="183">
        <v>93</v>
      </c>
      <c r="G30" s="191">
        <f t="shared" si="1"/>
        <v>-36.55913978494624</v>
      </c>
      <c r="H30" s="188">
        <f t="shared" si="2"/>
        <v>0.20860587632146521</v>
      </c>
      <c r="I30" s="188">
        <f t="shared" si="3"/>
        <v>0.35648574057037719</v>
      </c>
      <c r="J30" s="182">
        <v>378</v>
      </c>
      <c r="K30" s="183">
        <v>410</v>
      </c>
      <c r="L30" s="191">
        <f t="shared" si="4"/>
        <v>-7.8048780487804876</v>
      </c>
      <c r="M30" s="188">
        <f t="shared" si="5"/>
        <v>0.26872738388915351</v>
      </c>
      <c r="N30" s="189">
        <f t="shared" si="6"/>
        <v>0.28436281921460377</v>
      </c>
    </row>
    <row r="31" spans="1:14" hidden="1" outlineLevel="1">
      <c r="A31" s="180"/>
      <c r="B31" s="190" t="s">
        <v>758</v>
      </c>
      <c r="C31" s="186">
        <f t="shared" si="0"/>
        <v>198.64864864864865</v>
      </c>
      <c r="E31" s="182">
        <v>44</v>
      </c>
      <c r="F31" s="183">
        <v>21</v>
      </c>
      <c r="G31" s="191">
        <f t="shared" si="1"/>
        <v>109.52380952380953</v>
      </c>
      <c r="H31" s="188">
        <f t="shared" si="2"/>
        <v>0.15557048403634691</v>
      </c>
      <c r="I31" s="188">
        <f t="shared" si="3"/>
        <v>8.0496780128794854E-2</v>
      </c>
      <c r="J31" s="182">
        <v>221</v>
      </c>
      <c r="K31" s="183">
        <v>74</v>
      </c>
      <c r="L31" s="191">
        <f t="shared" si="4"/>
        <v>198.64864864864865</v>
      </c>
      <c r="M31" s="188">
        <f t="shared" si="5"/>
        <v>0.15711310010450508</v>
      </c>
      <c r="N31" s="189">
        <f t="shared" si="6"/>
        <v>5.1324021028977269E-2</v>
      </c>
    </row>
    <row r="32" spans="1:14" hidden="1" outlineLevel="1">
      <c r="A32" s="180"/>
      <c r="B32" s="190" t="s">
        <v>756</v>
      </c>
      <c r="C32" s="186">
        <f t="shared" si="0"/>
        <v>35.2112676056338</v>
      </c>
      <c r="E32" s="182">
        <v>26</v>
      </c>
      <c r="F32" s="183">
        <v>37</v>
      </c>
      <c r="G32" s="191">
        <f t="shared" si="1"/>
        <v>-29.72972972972973</v>
      </c>
      <c r="H32" s="188">
        <f t="shared" si="2"/>
        <v>9.1928013294204997E-2</v>
      </c>
      <c r="I32" s="188">
        <f t="shared" si="3"/>
        <v>0.14182766022692425</v>
      </c>
      <c r="J32" s="182">
        <v>192</v>
      </c>
      <c r="K32" s="183">
        <v>142</v>
      </c>
      <c r="L32" s="191">
        <f t="shared" si="4"/>
        <v>35.2112676056338</v>
      </c>
      <c r="M32" s="188">
        <f t="shared" si="5"/>
        <v>0.13649644895957003</v>
      </c>
      <c r="N32" s="189">
        <f t="shared" si="6"/>
        <v>9.8486634947496918E-2</v>
      </c>
    </row>
    <row r="33" spans="1:14" hidden="1" outlineLevel="1">
      <c r="A33" s="180"/>
      <c r="B33" s="190" t="s">
        <v>752</v>
      </c>
      <c r="C33" s="186">
        <f t="shared" si="0"/>
        <v>-59.86078886310905</v>
      </c>
      <c r="E33" s="182">
        <v>42</v>
      </c>
      <c r="F33" s="183">
        <v>130</v>
      </c>
      <c r="G33" s="191">
        <f t="shared" si="1"/>
        <v>-67.692307692307693</v>
      </c>
      <c r="H33" s="188">
        <f t="shared" si="2"/>
        <v>0.14849909839833114</v>
      </c>
      <c r="I33" s="188">
        <f t="shared" si="3"/>
        <v>0.49831340079730146</v>
      </c>
      <c r="J33" s="182">
        <v>173</v>
      </c>
      <c r="K33" s="183">
        <v>431</v>
      </c>
      <c r="L33" s="191">
        <f t="shared" si="4"/>
        <v>-59.86078886310905</v>
      </c>
      <c r="M33" s="188">
        <f t="shared" si="5"/>
        <v>0.12298898786461257</v>
      </c>
      <c r="N33" s="189">
        <f t="shared" si="6"/>
        <v>0.29892774410120543</v>
      </c>
    </row>
    <row r="34" spans="1:14" hidden="1" outlineLevel="1">
      <c r="A34" s="180"/>
      <c r="B34" s="190" t="s">
        <v>755</v>
      </c>
      <c r="C34" s="186">
        <f t="shared" si="0"/>
        <v>3.8461538461538463</v>
      </c>
      <c r="E34" s="182">
        <v>67</v>
      </c>
      <c r="F34" s="183">
        <v>20</v>
      </c>
      <c r="G34" s="191">
        <f t="shared" si="1"/>
        <v>235</v>
      </c>
      <c r="H34" s="188">
        <f t="shared" si="2"/>
        <v>0.23689141887352827</v>
      </c>
      <c r="I34" s="188">
        <f t="shared" si="3"/>
        <v>7.6663600122661754E-2</v>
      </c>
      <c r="J34" s="182">
        <v>162</v>
      </c>
      <c r="K34" s="183">
        <v>156</v>
      </c>
      <c r="L34" s="191">
        <f t="shared" si="4"/>
        <v>3.8461538461538463</v>
      </c>
      <c r="M34" s="188">
        <f t="shared" si="5"/>
        <v>0.11516887880963721</v>
      </c>
      <c r="N34" s="189">
        <f t="shared" si="6"/>
        <v>0.10819658487189801</v>
      </c>
    </row>
    <row r="35" spans="1:14" hidden="1" outlineLevel="1">
      <c r="A35" s="180"/>
      <c r="B35" s="190" t="s">
        <v>761</v>
      </c>
      <c r="C35" s="186">
        <f t="shared" si="0"/>
        <v>164.10256410256409</v>
      </c>
      <c r="E35" s="182">
        <v>20</v>
      </c>
      <c r="F35" s="183">
        <v>12</v>
      </c>
      <c r="G35" s="191">
        <f t="shared" si="1"/>
        <v>66.666666666666657</v>
      </c>
      <c r="H35" s="188">
        <f t="shared" si="2"/>
        <v>7.0713856380157689E-2</v>
      </c>
      <c r="I35" s="188">
        <f t="shared" si="3"/>
        <v>4.5998160073597055E-2</v>
      </c>
      <c r="J35" s="182">
        <v>103</v>
      </c>
      <c r="K35" s="183">
        <v>39</v>
      </c>
      <c r="L35" s="191">
        <f t="shared" si="4"/>
        <v>164.10256410256409</v>
      </c>
      <c r="M35" s="188">
        <f t="shared" si="5"/>
        <v>7.3224657514769351E-2</v>
      </c>
      <c r="N35" s="189">
        <f t="shared" si="6"/>
        <v>2.7049146217974503E-2</v>
      </c>
    </row>
    <row r="36" spans="1:14" hidden="1" outlineLevel="1">
      <c r="A36" s="180"/>
      <c r="B36" s="190" t="s">
        <v>759</v>
      </c>
      <c r="C36" s="186">
        <f t="shared" si="0"/>
        <v>21.53846153846154</v>
      </c>
      <c r="E36" s="182">
        <v>23</v>
      </c>
      <c r="F36" s="183">
        <v>18</v>
      </c>
      <c r="G36" s="191">
        <f t="shared" si="1"/>
        <v>27.777777777777779</v>
      </c>
      <c r="H36" s="188">
        <f t="shared" si="2"/>
        <v>8.132093483718135E-2</v>
      </c>
      <c r="I36" s="188">
        <f t="shared" si="3"/>
        <v>6.8997240110395583E-2</v>
      </c>
      <c r="J36" s="182">
        <v>79</v>
      </c>
      <c r="K36" s="183">
        <v>65</v>
      </c>
      <c r="L36" s="191">
        <f t="shared" si="4"/>
        <v>21.53846153846154</v>
      </c>
      <c r="M36" s="188">
        <f t="shared" si="5"/>
        <v>5.616260139482309E-2</v>
      </c>
      <c r="N36" s="189">
        <f t="shared" si="6"/>
        <v>4.5081910363290838E-2</v>
      </c>
    </row>
    <row r="37" spans="1:14" hidden="1" outlineLevel="1">
      <c r="A37" s="180"/>
      <c r="B37" s="190" t="s">
        <v>760</v>
      </c>
      <c r="C37" s="186">
        <f t="shared" si="0"/>
        <v>24</v>
      </c>
      <c r="E37" s="182">
        <v>17</v>
      </c>
      <c r="F37" s="183">
        <v>11</v>
      </c>
      <c r="G37" s="191">
        <f t="shared" si="1"/>
        <v>54.54545454545454</v>
      </c>
      <c r="H37" s="188">
        <f t="shared" si="2"/>
        <v>6.0106777923134042E-2</v>
      </c>
      <c r="I37" s="188">
        <f t="shared" si="3"/>
        <v>4.216498006746397E-2</v>
      </c>
      <c r="J37" s="182">
        <v>62</v>
      </c>
      <c r="K37" s="183">
        <v>50</v>
      </c>
      <c r="L37" s="191">
        <f t="shared" si="4"/>
        <v>24</v>
      </c>
      <c r="M37" s="188">
        <f t="shared" si="5"/>
        <v>4.407697830986116E-2</v>
      </c>
      <c r="N37" s="189">
        <f t="shared" si="6"/>
        <v>3.4678392587146799E-2</v>
      </c>
    </row>
    <row r="38" spans="1:14" hidden="1" outlineLevel="1">
      <c r="A38" s="180"/>
      <c r="B38" s="190" t="s">
        <v>757</v>
      </c>
      <c r="C38" s="186">
        <f t="shared" si="0"/>
        <v>-100</v>
      </c>
      <c r="E38" s="182">
        <v>0</v>
      </c>
      <c r="F38" s="183">
        <v>26</v>
      </c>
      <c r="G38" s="191">
        <f t="shared" si="1"/>
        <v>-100</v>
      </c>
      <c r="H38" s="188" t="str">
        <f t="shared" si="2"/>
        <v/>
      </c>
      <c r="I38" s="188">
        <f t="shared" si="3"/>
        <v>9.9662680159460282E-2</v>
      </c>
      <c r="J38" s="182">
        <v>0</v>
      </c>
      <c r="K38" s="183">
        <v>112</v>
      </c>
      <c r="L38" s="191">
        <f t="shared" si="4"/>
        <v>-100</v>
      </c>
      <c r="M38" s="188" t="str">
        <f t="shared" si="5"/>
        <v/>
      </c>
      <c r="N38" s="189">
        <f t="shared" si="6"/>
        <v>7.7679599395208826E-2</v>
      </c>
    </row>
    <row r="39" spans="1:14" collapsed="1">
      <c r="A39" s="180" t="s">
        <v>1172</v>
      </c>
      <c r="B39" s="179" t="s">
        <v>293</v>
      </c>
      <c r="C39" s="186">
        <f t="shared" si="0"/>
        <v>-0.48568079048735557</v>
      </c>
      <c r="E39" s="182">
        <v>2342</v>
      </c>
      <c r="F39" s="183">
        <v>1929</v>
      </c>
      <c r="G39" s="191">
        <f t="shared" si="1"/>
        <v>21.410057024364956</v>
      </c>
      <c r="H39" s="188">
        <f t="shared" si="2"/>
        <v>8.2805925821164656</v>
      </c>
      <c r="I39" s="188">
        <f t="shared" si="3"/>
        <v>7.3942042318307273</v>
      </c>
      <c r="J39" s="182">
        <v>11884</v>
      </c>
      <c r="K39" s="183">
        <v>11942</v>
      </c>
      <c r="L39" s="191">
        <f t="shared" si="4"/>
        <v>-0.48568079048735557</v>
      </c>
      <c r="M39" s="188">
        <f t="shared" si="5"/>
        <v>8.4485614553933868</v>
      </c>
      <c r="N39" s="189">
        <f t="shared" si="6"/>
        <v>8.2825872855141434</v>
      </c>
    </row>
    <row r="40" spans="1:14" hidden="1" outlineLevel="1">
      <c r="A40" s="180"/>
      <c r="B40" s="190" t="s">
        <v>762</v>
      </c>
      <c r="C40" s="186">
        <f t="shared" si="0"/>
        <v>-17.32108929702343</v>
      </c>
      <c r="E40" s="182">
        <v>747</v>
      </c>
      <c r="F40" s="183">
        <v>449</v>
      </c>
      <c r="G40" s="191">
        <f t="shared" si="1"/>
        <v>66.369710467706014</v>
      </c>
      <c r="H40" s="188">
        <f t="shared" si="2"/>
        <v>2.6411625357988897</v>
      </c>
      <c r="I40" s="188">
        <f t="shared" si="3"/>
        <v>1.7210978227537563</v>
      </c>
      <c r="J40" s="182">
        <v>2611</v>
      </c>
      <c r="K40" s="183">
        <v>3158</v>
      </c>
      <c r="L40" s="191">
        <f t="shared" si="4"/>
        <v>-17.32108929702343</v>
      </c>
      <c r="M40" s="188">
        <f t="shared" si="5"/>
        <v>1.8562095220491528</v>
      </c>
      <c r="N40" s="189">
        <f t="shared" si="6"/>
        <v>2.1902872758041916</v>
      </c>
    </row>
    <row r="41" spans="1:14" hidden="1" outlineLevel="1">
      <c r="A41" s="180"/>
      <c r="B41" s="190" t="s">
        <v>766</v>
      </c>
      <c r="C41" s="186">
        <f t="shared" si="0"/>
        <v>41.056910569105689</v>
      </c>
      <c r="E41" s="182">
        <v>353</v>
      </c>
      <c r="F41" s="183">
        <v>238</v>
      </c>
      <c r="G41" s="191">
        <f t="shared" si="1"/>
        <v>48.319327731092436</v>
      </c>
      <c r="H41" s="188">
        <f t="shared" si="2"/>
        <v>1.2480995651097833</v>
      </c>
      <c r="I41" s="188">
        <f t="shared" si="3"/>
        <v>0.91229684145967493</v>
      </c>
      <c r="J41" s="182">
        <v>2082</v>
      </c>
      <c r="K41" s="183">
        <v>1476</v>
      </c>
      <c r="L41" s="191">
        <f t="shared" si="4"/>
        <v>41.056910569105689</v>
      </c>
      <c r="M41" s="188">
        <f t="shared" si="5"/>
        <v>1.4801333684053377</v>
      </c>
      <c r="N41" s="189">
        <f t="shared" si="6"/>
        <v>1.0237061491725736</v>
      </c>
    </row>
    <row r="42" spans="1:14" hidden="1" outlineLevel="1">
      <c r="A42" s="180"/>
      <c r="B42" s="190" t="s">
        <v>764</v>
      </c>
      <c r="C42" s="186">
        <f t="shared" si="0"/>
        <v>-3.964059196617336</v>
      </c>
      <c r="E42" s="182">
        <v>428</v>
      </c>
      <c r="F42" s="183">
        <v>370</v>
      </c>
      <c r="G42" s="191">
        <f t="shared" si="1"/>
        <v>15.675675675675677</v>
      </c>
      <c r="H42" s="188">
        <f t="shared" si="2"/>
        <v>1.5132765265353745</v>
      </c>
      <c r="I42" s="188">
        <f t="shared" si="3"/>
        <v>1.4182766022692426</v>
      </c>
      <c r="J42" s="182">
        <v>1817</v>
      </c>
      <c r="K42" s="183">
        <v>1892</v>
      </c>
      <c r="L42" s="191">
        <f t="shared" si="4"/>
        <v>-3.964059196617336</v>
      </c>
      <c r="M42" s="188">
        <f t="shared" si="5"/>
        <v>1.291739832080931</v>
      </c>
      <c r="N42" s="189">
        <f t="shared" si="6"/>
        <v>1.312230375497635</v>
      </c>
    </row>
    <row r="43" spans="1:14" hidden="1" outlineLevel="1">
      <c r="A43" s="180"/>
      <c r="B43" s="190" t="s">
        <v>763</v>
      </c>
      <c r="C43" s="186">
        <f t="shared" si="0"/>
        <v>-41.111494649637557</v>
      </c>
      <c r="E43" s="182">
        <v>287</v>
      </c>
      <c r="F43" s="183">
        <v>417</v>
      </c>
      <c r="G43" s="191">
        <f t="shared" si="1"/>
        <v>-31.175059952038371</v>
      </c>
      <c r="H43" s="188">
        <f t="shared" si="2"/>
        <v>1.0147438390552628</v>
      </c>
      <c r="I43" s="188">
        <f t="shared" si="3"/>
        <v>1.5984360625574976</v>
      </c>
      <c r="J43" s="182">
        <v>1706</v>
      </c>
      <c r="K43" s="183">
        <v>2897</v>
      </c>
      <c r="L43" s="191">
        <f t="shared" si="4"/>
        <v>-41.111494649637557</v>
      </c>
      <c r="M43" s="188">
        <f t="shared" si="5"/>
        <v>1.2128278225261797</v>
      </c>
      <c r="N43" s="189">
        <f t="shared" si="6"/>
        <v>2.0092660664992859</v>
      </c>
    </row>
    <row r="44" spans="1:14" hidden="1" outlineLevel="1">
      <c r="A44" s="180"/>
      <c r="B44" s="190" t="s">
        <v>1022</v>
      </c>
      <c r="C44" s="186" t="str">
        <f t="shared" si="0"/>
        <v/>
      </c>
      <c r="E44" s="182">
        <v>129</v>
      </c>
      <c r="F44" s="183">
        <v>0</v>
      </c>
      <c r="G44" s="191" t="str">
        <f t="shared" si="1"/>
        <v/>
      </c>
      <c r="H44" s="188">
        <f t="shared" si="2"/>
        <v>0.45610437365201711</v>
      </c>
      <c r="I44" s="188" t="str">
        <f t="shared" si="3"/>
        <v/>
      </c>
      <c r="J44" s="182">
        <v>1150</v>
      </c>
      <c r="K44" s="183">
        <v>0</v>
      </c>
      <c r="L44" s="191" t="str">
        <f t="shared" si="4"/>
        <v/>
      </c>
      <c r="M44" s="188">
        <f t="shared" si="5"/>
        <v>0.81755685574742465</v>
      </c>
      <c r="N44" s="189" t="str">
        <f t="shared" si="6"/>
        <v/>
      </c>
    </row>
    <row r="45" spans="1:14" hidden="1" outlineLevel="1">
      <c r="A45" s="180"/>
      <c r="B45" s="190" t="s">
        <v>765</v>
      </c>
      <c r="C45" s="186">
        <f t="shared" si="0"/>
        <v>-35.16609392898053</v>
      </c>
      <c r="E45" s="182">
        <v>129</v>
      </c>
      <c r="F45" s="183">
        <v>192</v>
      </c>
      <c r="G45" s="191">
        <f t="shared" si="1"/>
        <v>-32.8125</v>
      </c>
      <c r="H45" s="188">
        <f t="shared" si="2"/>
        <v>0.45610437365201711</v>
      </c>
      <c r="I45" s="188">
        <f t="shared" si="3"/>
        <v>0.73597056117755288</v>
      </c>
      <c r="J45" s="182">
        <v>1132</v>
      </c>
      <c r="K45" s="183">
        <v>1746</v>
      </c>
      <c r="L45" s="191">
        <f t="shared" si="4"/>
        <v>-35.16609392898053</v>
      </c>
      <c r="M45" s="188">
        <f t="shared" si="5"/>
        <v>0.80476031365746492</v>
      </c>
      <c r="N45" s="189">
        <f t="shared" si="6"/>
        <v>1.2109694691431663</v>
      </c>
    </row>
    <row r="46" spans="1:14" hidden="1" outlineLevel="1">
      <c r="A46" s="180"/>
      <c r="B46" s="190" t="s">
        <v>1147</v>
      </c>
      <c r="C46" s="186">
        <f t="shared" si="0"/>
        <v>624.21052631578948</v>
      </c>
      <c r="E46" s="182">
        <v>148</v>
      </c>
      <c r="F46" s="183">
        <v>95</v>
      </c>
      <c r="G46" s="191">
        <f t="shared" si="1"/>
        <v>55.78947368421052</v>
      </c>
      <c r="H46" s="188">
        <f t="shared" si="2"/>
        <v>0.52328253721316687</v>
      </c>
      <c r="I46" s="188">
        <f t="shared" si="3"/>
        <v>0.36415210058264336</v>
      </c>
      <c r="J46" s="182">
        <v>688</v>
      </c>
      <c r="K46" s="183">
        <v>95</v>
      </c>
      <c r="L46" s="191">
        <f t="shared" si="4"/>
        <v>624.21052631578948</v>
      </c>
      <c r="M46" s="188">
        <f t="shared" si="5"/>
        <v>0.48911227543845931</v>
      </c>
      <c r="N46" s="189">
        <f t="shared" si="6"/>
        <v>6.5888945915578923E-2</v>
      </c>
    </row>
    <row r="47" spans="1:14" hidden="1" outlineLevel="1">
      <c r="A47" s="180"/>
      <c r="B47" s="190" t="s">
        <v>767</v>
      </c>
      <c r="C47" s="186">
        <f t="shared" si="0"/>
        <v>44.20289855072464</v>
      </c>
      <c r="E47" s="182">
        <v>70</v>
      </c>
      <c r="F47" s="183">
        <v>128</v>
      </c>
      <c r="G47" s="191">
        <f t="shared" si="1"/>
        <v>-45.3125</v>
      </c>
      <c r="H47" s="188">
        <f t="shared" si="2"/>
        <v>0.2474984973305519</v>
      </c>
      <c r="I47" s="188">
        <f t="shared" si="3"/>
        <v>0.49064704078503529</v>
      </c>
      <c r="J47" s="182">
        <v>398</v>
      </c>
      <c r="K47" s="183">
        <v>276</v>
      </c>
      <c r="L47" s="191">
        <f t="shared" si="4"/>
        <v>44.20289855072464</v>
      </c>
      <c r="M47" s="188">
        <f t="shared" si="5"/>
        <v>0.2829457639891087</v>
      </c>
      <c r="N47" s="189">
        <f t="shared" si="6"/>
        <v>0.19142472708105035</v>
      </c>
    </row>
    <row r="48" spans="1:14" hidden="1" outlineLevel="1">
      <c r="A48" s="180"/>
      <c r="B48" s="190" t="s">
        <v>769</v>
      </c>
      <c r="C48" s="186">
        <f t="shared" si="0"/>
        <v>-14.723926380368098</v>
      </c>
      <c r="E48" s="182">
        <v>19</v>
      </c>
      <c r="F48" s="183">
        <v>6</v>
      </c>
      <c r="G48" s="191">
        <f t="shared" si="1"/>
        <v>216.66666666666666</v>
      </c>
      <c r="H48" s="188">
        <f t="shared" si="2"/>
        <v>6.7178163561149806E-2</v>
      </c>
      <c r="I48" s="188">
        <f t="shared" si="3"/>
        <v>2.2999080036798528E-2</v>
      </c>
      <c r="J48" s="182">
        <v>139</v>
      </c>
      <c r="K48" s="183">
        <v>163</v>
      </c>
      <c r="L48" s="191">
        <f t="shared" si="4"/>
        <v>-14.723926380368098</v>
      </c>
      <c r="M48" s="188">
        <f t="shared" si="5"/>
        <v>9.8817741694688724E-2</v>
      </c>
      <c r="N48" s="189">
        <f t="shared" si="6"/>
        <v>0.11305155983409856</v>
      </c>
    </row>
    <row r="49" spans="1:14" hidden="1" outlineLevel="1">
      <c r="A49" s="180"/>
      <c r="B49" s="190" t="s">
        <v>768</v>
      </c>
      <c r="C49" s="186">
        <f t="shared" si="0"/>
        <v>-58.139534883720934</v>
      </c>
      <c r="E49" s="182">
        <v>14</v>
      </c>
      <c r="F49" s="183">
        <v>25</v>
      </c>
      <c r="G49" s="191">
        <f t="shared" si="1"/>
        <v>-44</v>
      </c>
      <c r="H49" s="188">
        <f t="shared" si="2"/>
        <v>4.9499699466110388E-2</v>
      </c>
      <c r="I49" s="188">
        <f t="shared" si="3"/>
        <v>9.5829500153327196E-2</v>
      </c>
      <c r="J49" s="182">
        <v>72</v>
      </c>
      <c r="K49" s="183">
        <v>172</v>
      </c>
      <c r="L49" s="191">
        <f t="shared" si="4"/>
        <v>-58.139534883720934</v>
      </c>
      <c r="M49" s="188">
        <f t="shared" si="5"/>
        <v>5.118616835983876E-2</v>
      </c>
      <c r="N49" s="189">
        <f t="shared" si="6"/>
        <v>0.119293670499785</v>
      </c>
    </row>
    <row r="50" spans="1:14" hidden="1" outlineLevel="1">
      <c r="A50" s="180"/>
      <c r="B50" s="190" t="s">
        <v>772</v>
      </c>
      <c r="C50" s="186">
        <f t="shared" si="0"/>
        <v>120</v>
      </c>
      <c r="E50" s="182">
        <v>7</v>
      </c>
      <c r="F50" s="183">
        <v>0</v>
      </c>
      <c r="G50" s="191" t="str">
        <f t="shared" si="1"/>
        <v/>
      </c>
      <c r="H50" s="188">
        <f t="shared" si="2"/>
        <v>2.4749849733055194E-2</v>
      </c>
      <c r="I50" s="188" t="str">
        <f t="shared" si="3"/>
        <v/>
      </c>
      <c r="J50" s="182">
        <v>33</v>
      </c>
      <c r="K50" s="183">
        <v>15</v>
      </c>
      <c r="L50" s="191">
        <f t="shared" si="4"/>
        <v>120</v>
      </c>
      <c r="M50" s="188">
        <f t="shared" si="5"/>
        <v>2.34603271649261E-2</v>
      </c>
      <c r="N50" s="189">
        <f t="shared" si="6"/>
        <v>1.0403517776144041E-2</v>
      </c>
    </row>
    <row r="51" spans="1:14" hidden="1" outlineLevel="1">
      <c r="A51" s="180"/>
      <c r="B51" s="190" t="s">
        <v>770</v>
      </c>
      <c r="C51" s="186">
        <f t="shared" si="0"/>
        <v>-20</v>
      </c>
      <c r="E51" s="182">
        <v>5</v>
      </c>
      <c r="F51" s="183">
        <v>8</v>
      </c>
      <c r="G51" s="191">
        <f t="shared" si="1"/>
        <v>-37.5</v>
      </c>
      <c r="H51" s="188">
        <f t="shared" si="2"/>
        <v>1.7678464095039422E-2</v>
      </c>
      <c r="I51" s="188">
        <f t="shared" si="3"/>
        <v>3.0665440049064706E-2</v>
      </c>
      <c r="J51" s="182">
        <v>24</v>
      </c>
      <c r="K51" s="183">
        <v>30</v>
      </c>
      <c r="L51" s="191">
        <f t="shared" si="4"/>
        <v>-20</v>
      </c>
      <c r="M51" s="188">
        <f t="shared" si="5"/>
        <v>1.7062056119946253E-2</v>
      </c>
      <c r="N51" s="189">
        <f t="shared" si="6"/>
        <v>2.0807035552288081E-2</v>
      </c>
    </row>
    <row r="52" spans="1:14" hidden="1" outlineLevel="1">
      <c r="A52" s="180"/>
      <c r="B52" s="190" t="s">
        <v>1021</v>
      </c>
      <c r="C52" s="186" t="str">
        <f t="shared" si="0"/>
        <v/>
      </c>
      <c r="E52" s="182">
        <v>1</v>
      </c>
      <c r="F52" s="183">
        <v>0</v>
      </c>
      <c r="G52" s="191" t="str">
        <f t="shared" si="1"/>
        <v/>
      </c>
      <c r="H52" s="188">
        <f t="shared" si="2"/>
        <v>3.5356928190078845E-3</v>
      </c>
      <c r="I52" s="188" t="str">
        <f t="shared" si="3"/>
        <v/>
      </c>
      <c r="J52" s="182">
        <v>13</v>
      </c>
      <c r="K52" s="183">
        <v>0</v>
      </c>
      <c r="L52" s="191" t="str">
        <f t="shared" si="4"/>
        <v/>
      </c>
      <c r="M52" s="188">
        <f t="shared" si="5"/>
        <v>9.2419470649708867E-3</v>
      </c>
      <c r="N52" s="189" t="str">
        <f t="shared" si="6"/>
        <v/>
      </c>
    </row>
    <row r="53" spans="1:14" hidden="1" outlineLevel="1">
      <c r="A53" s="180"/>
      <c r="B53" s="190" t="s">
        <v>774</v>
      </c>
      <c r="C53" s="186">
        <f t="shared" si="0"/>
        <v>500</v>
      </c>
      <c r="E53" s="182">
        <v>4</v>
      </c>
      <c r="F53" s="183">
        <v>1</v>
      </c>
      <c r="G53" s="191">
        <f t="shared" si="1"/>
        <v>300</v>
      </c>
      <c r="H53" s="188">
        <f t="shared" si="2"/>
        <v>1.4142771276031538E-2</v>
      </c>
      <c r="I53" s="188">
        <f t="shared" si="3"/>
        <v>3.8331800061330882E-3</v>
      </c>
      <c r="J53" s="182">
        <v>12</v>
      </c>
      <c r="K53" s="183">
        <v>2</v>
      </c>
      <c r="L53" s="191">
        <f t="shared" si="4"/>
        <v>500</v>
      </c>
      <c r="M53" s="188">
        <f t="shared" si="5"/>
        <v>8.5310280599731267E-3</v>
      </c>
      <c r="N53" s="189">
        <f t="shared" si="6"/>
        <v>1.387135703485872E-3</v>
      </c>
    </row>
    <row r="54" spans="1:14" hidden="1" outlineLevel="1">
      <c r="A54" s="180"/>
      <c r="B54" s="190" t="s">
        <v>773</v>
      </c>
      <c r="C54" s="186">
        <f t="shared" si="0"/>
        <v>66.666666666666657</v>
      </c>
      <c r="E54" s="182">
        <v>1</v>
      </c>
      <c r="F54" s="183">
        <v>0</v>
      </c>
      <c r="G54" s="191" t="str">
        <f t="shared" si="1"/>
        <v/>
      </c>
      <c r="H54" s="188">
        <f t="shared" si="2"/>
        <v>3.5356928190078845E-3</v>
      </c>
      <c r="I54" s="188" t="str">
        <f t="shared" si="3"/>
        <v/>
      </c>
      <c r="J54" s="182">
        <v>5</v>
      </c>
      <c r="K54" s="183">
        <v>3</v>
      </c>
      <c r="L54" s="191">
        <f t="shared" si="4"/>
        <v>66.666666666666657</v>
      </c>
      <c r="M54" s="188">
        <f t="shared" si="5"/>
        <v>3.5545950249888034E-3</v>
      </c>
      <c r="N54" s="189">
        <f t="shared" si="6"/>
        <v>2.080703555228808E-3</v>
      </c>
    </row>
    <row r="55" spans="1:14" hidden="1" outlineLevel="1">
      <c r="A55" s="180"/>
      <c r="B55" s="190" t="s">
        <v>775</v>
      </c>
      <c r="C55" s="186">
        <f t="shared" si="0"/>
        <v>0</v>
      </c>
      <c r="E55" s="182">
        <v>0</v>
      </c>
      <c r="F55" s="183">
        <v>0</v>
      </c>
      <c r="G55" s="191" t="str">
        <f t="shared" si="1"/>
        <v/>
      </c>
      <c r="H55" s="188" t="str">
        <f t="shared" si="2"/>
        <v/>
      </c>
      <c r="I55" s="188" t="str">
        <f t="shared" si="3"/>
        <v/>
      </c>
      <c r="J55" s="182">
        <v>2</v>
      </c>
      <c r="K55" s="183">
        <v>2</v>
      </c>
      <c r="L55" s="191">
        <f t="shared" si="4"/>
        <v>0</v>
      </c>
      <c r="M55" s="188">
        <f t="shared" si="5"/>
        <v>1.4218380099955213E-3</v>
      </c>
      <c r="N55" s="189">
        <f t="shared" si="6"/>
        <v>1.387135703485872E-3</v>
      </c>
    </row>
    <row r="56" spans="1:14" hidden="1" outlineLevel="1">
      <c r="A56" s="180"/>
      <c r="B56" s="190" t="s">
        <v>771</v>
      </c>
      <c r="C56" s="186">
        <f t="shared" si="0"/>
        <v>-100</v>
      </c>
      <c r="E56" s="182">
        <v>0</v>
      </c>
      <c r="F56" s="183">
        <v>0</v>
      </c>
      <c r="G56" s="191" t="str">
        <f t="shared" si="1"/>
        <v/>
      </c>
      <c r="H56" s="188" t="str">
        <f t="shared" si="2"/>
        <v/>
      </c>
      <c r="I56" s="188" t="str">
        <f t="shared" si="3"/>
        <v/>
      </c>
      <c r="J56" s="182">
        <v>0</v>
      </c>
      <c r="K56" s="183">
        <v>15</v>
      </c>
      <c r="L56" s="191">
        <f t="shared" si="4"/>
        <v>-100</v>
      </c>
      <c r="M56" s="188" t="str">
        <f t="shared" si="5"/>
        <v/>
      </c>
      <c r="N56" s="189">
        <f t="shared" si="6"/>
        <v>1.0403517776144041E-2</v>
      </c>
    </row>
    <row r="57" spans="1:14" collapsed="1">
      <c r="A57" s="180" t="s">
        <v>1173</v>
      </c>
      <c r="B57" s="179" t="s">
        <v>273</v>
      </c>
      <c r="C57" s="186">
        <f t="shared" si="0"/>
        <v>-31.307627829002517</v>
      </c>
      <c r="E57" s="182">
        <v>2167</v>
      </c>
      <c r="F57" s="183">
        <v>3257</v>
      </c>
      <c r="G57" s="191">
        <f t="shared" si="1"/>
        <v>-33.466380104390545</v>
      </c>
      <c r="H57" s="188">
        <f t="shared" si="2"/>
        <v>7.6618463387900864</v>
      </c>
      <c r="I57" s="188">
        <f t="shared" si="3"/>
        <v>12.484667279975467</v>
      </c>
      <c r="J57" s="182">
        <v>11473</v>
      </c>
      <c r="K57" s="183">
        <v>16702</v>
      </c>
      <c r="L57" s="191">
        <f t="shared" si="4"/>
        <v>-31.307627829002517</v>
      </c>
      <c r="M57" s="188">
        <f t="shared" si="5"/>
        <v>8.156373744339307</v>
      </c>
      <c r="N57" s="189">
        <f t="shared" si="6"/>
        <v>11.583970259810519</v>
      </c>
    </row>
    <row r="58" spans="1:14" hidden="1" outlineLevel="1">
      <c r="A58" s="180"/>
      <c r="B58" s="190" t="s">
        <v>733</v>
      </c>
      <c r="C58" s="186">
        <f t="shared" si="0"/>
        <v>-51.392090796240467</v>
      </c>
      <c r="E58" s="182">
        <v>455</v>
      </c>
      <c r="F58" s="183">
        <v>809</v>
      </c>
      <c r="G58" s="191">
        <f t="shared" si="1"/>
        <v>-43.757725587144627</v>
      </c>
      <c r="H58" s="188">
        <f t="shared" si="2"/>
        <v>1.6087402326485873</v>
      </c>
      <c r="I58" s="188">
        <f t="shared" si="3"/>
        <v>3.1010426249616683</v>
      </c>
      <c r="J58" s="182">
        <v>2741</v>
      </c>
      <c r="K58" s="183">
        <v>5639</v>
      </c>
      <c r="L58" s="191">
        <f t="shared" si="4"/>
        <v>-51.392090796240467</v>
      </c>
      <c r="M58" s="188">
        <f t="shared" si="5"/>
        <v>1.9486289926988618</v>
      </c>
      <c r="N58" s="189">
        <f t="shared" si="6"/>
        <v>3.9110291159784163</v>
      </c>
    </row>
    <row r="59" spans="1:14" hidden="1" outlineLevel="1">
      <c r="A59" s="180"/>
      <c r="B59" s="190" t="s">
        <v>736</v>
      </c>
      <c r="C59" s="186">
        <f t="shared" si="0"/>
        <v>52.965355255431589</v>
      </c>
      <c r="E59" s="182">
        <v>608</v>
      </c>
      <c r="F59" s="183">
        <v>214</v>
      </c>
      <c r="G59" s="191">
        <f t="shared" si="1"/>
        <v>184.11214953271028</v>
      </c>
      <c r="H59" s="188">
        <f t="shared" si="2"/>
        <v>2.1497012339567938</v>
      </c>
      <c r="I59" s="188">
        <f t="shared" si="3"/>
        <v>0.82030052131248088</v>
      </c>
      <c r="J59" s="182">
        <v>2605</v>
      </c>
      <c r="K59" s="183">
        <v>1703</v>
      </c>
      <c r="L59" s="191">
        <f t="shared" si="4"/>
        <v>52.965355255431589</v>
      </c>
      <c r="M59" s="188">
        <f t="shared" si="5"/>
        <v>1.8519440080191665</v>
      </c>
      <c r="N59" s="189">
        <f t="shared" si="6"/>
        <v>1.1811460515182199</v>
      </c>
    </row>
    <row r="60" spans="1:14" hidden="1" outlineLevel="1">
      <c r="A60" s="180"/>
      <c r="B60" s="190" t="s">
        <v>734</v>
      </c>
      <c r="C60" s="186">
        <f t="shared" si="0"/>
        <v>-51.937682570593971</v>
      </c>
      <c r="E60" s="182">
        <v>477</v>
      </c>
      <c r="F60" s="183">
        <v>1257</v>
      </c>
      <c r="G60" s="191">
        <f t="shared" si="1"/>
        <v>-62.052505966587113</v>
      </c>
      <c r="H60" s="188">
        <f t="shared" si="2"/>
        <v>1.6865254746667608</v>
      </c>
      <c r="I60" s="188">
        <f t="shared" si="3"/>
        <v>4.818307267709292</v>
      </c>
      <c r="J60" s="182">
        <v>2468</v>
      </c>
      <c r="K60" s="183">
        <v>5135</v>
      </c>
      <c r="L60" s="191">
        <f t="shared" si="4"/>
        <v>-51.937682570593971</v>
      </c>
      <c r="M60" s="188">
        <f t="shared" si="5"/>
        <v>1.7545481043344733</v>
      </c>
      <c r="N60" s="189">
        <f t="shared" si="6"/>
        <v>3.5614709186999765</v>
      </c>
    </row>
    <row r="61" spans="1:14" hidden="1" outlineLevel="1">
      <c r="A61" s="180"/>
      <c r="B61" s="190" t="s">
        <v>735</v>
      </c>
      <c r="C61" s="186">
        <f t="shared" si="0"/>
        <v>-0.94786729857819907</v>
      </c>
      <c r="E61" s="182">
        <v>298</v>
      </c>
      <c r="F61" s="183">
        <v>730</v>
      </c>
      <c r="G61" s="191">
        <f t="shared" si="1"/>
        <v>-59.178082191780824</v>
      </c>
      <c r="H61" s="188">
        <f t="shared" si="2"/>
        <v>1.0536364600643495</v>
      </c>
      <c r="I61" s="188">
        <f t="shared" si="3"/>
        <v>2.7982214044771543</v>
      </c>
      <c r="J61" s="182">
        <v>2090</v>
      </c>
      <c r="K61" s="183">
        <v>2110</v>
      </c>
      <c r="L61" s="191">
        <f t="shared" si="4"/>
        <v>-0.94786729857819907</v>
      </c>
      <c r="M61" s="188">
        <f t="shared" si="5"/>
        <v>1.4858207204453198</v>
      </c>
      <c r="N61" s="189">
        <f t="shared" si="6"/>
        <v>1.4634281671775951</v>
      </c>
    </row>
    <row r="62" spans="1:14" hidden="1" outlineLevel="1">
      <c r="A62" s="180"/>
      <c r="B62" s="190" t="s">
        <v>737</v>
      </c>
      <c r="C62" s="186">
        <f t="shared" si="0"/>
        <v>-20.362622036262206</v>
      </c>
      <c r="E62" s="182">
        <v>131</v>
      </c>
      <c r="F62" s="183">
        <v>69</v>
      </c>
      <c r="G62" s="191">
        <f t="shared" si="1"/>
        <v>89.85507246376811</v>
      </c>
      <c r="H62" s="188">
        <f t="shared" si="2"/>
        <v>0.46317575929003291</v>
      </c>
      <c r="I62" s="188">
        <f t="shared" si="3"/>
        <v>0.26448942042318307</v>
      </c>
      <c r="J62" s="182">
        <v>571</v>
      </c>
      <c r="K62" s="183">
        <v>717</v>
      </c>
      <c r="L62" s="191">
        <f t="shared" si="4"/>
        <v>-20.362622036262206</v>
      </c>
      <c r="M62" s="188">
        <f t="shared" si="5"/>
        <v>0.4059347518537213</v>
      </c>
      <c r="N62" s="189">
        <f t="shared" si="6"/>
        <v>0.4972881496996851</v>
      </c>
    </row>
    <row r="63" spans="1:14" hidden="1" outlineLevel="1">
      <c r="A63" s="180"/>
      <c r="B63" s="190" t="s">
        <v>739</v>
      </c>
      <c r="C63" s="186">
        <f t="shared" si="0"/>
        <v>12.378640776699029</v>
      </c>
      <c r="E63" s="182">
        <v>93</v>
      </c>
      <c r="F63" s="183">
        <v>64</v>
      </c>
      <c r="G63" s="191">
        <f t="shared" si="1"/>
        <v>45.3125</v>
      </c>
      <c r="H63" s="188">
        <f t="shared" si="2"/>
        <v>0.32881943216773329</v>
      </c>
      <c r="I63" s="188">
        <f t="shared" si="3"/>
        <v>0.24532352039251765</v>
      </c>
      <c r="J63" s="182">
        <v>463</v>
      </c>
      <c r="K63" s="183">
        <v>412</v>
      </c>
      <c r="L63" s="191">
        <f t="shared" si="4"/>
        <v>12.378640776699029</v>
      </c>
      <c r="M63" s="188">
        <f t="shared" si="5"/>
        <v>0.32915549931396315</v>
      </c>
      <c r="N63" s="189">
        <f t="shared" si="6"/>
        <v>0.28574995491808963</v>
      </c>
    </row>
    <row r="64" spans="1:14" hidden="1" outlineLevel="1">
      <c r="A64" s="180"/>
      <c r="B64" s="190" t="s">
        <v>738</v>
      </c>
      <c r="C64" s="186">
        <f t="shared" si="0"/>
        <v>0</v>
      </c>
      <c r="E64" s="182">
        <v>92</v>
      </c>
      <c r="F64" s="183">
        <v>35</v>
      </c>
      <c r="G64" s="191">
        <f t="shared" si="1"/>
        <v>162.85714285714286</v>
      </c>
      <c r="H64" s="188">
        <f t="shared" si="2"/>
        <v>0.3252837393487254</v>
      </c>
      <c r="I64" s="188">
        <f t="shared" si="3"/>
        <v>0.13416130021465808</v>
      </c>
      <c r="J64" s="182">
        <v>425</v>
      </c>
      <c r="K64" s="183">
        <v>425</v>
      </c>
      <c r="L64" s="191">
        <f t="shared" si="4"/>
        <v>0</v>
      </c>
      <c r="M64" s="188">
        <f t="shared" si="5"/>
        <v>0.30214057712404824</v>
      </c>
      <c r="N64" s="189">
        <f t="shared" si="6"/>
        <v>0.29476633699074778</v>
      </c>
    </row>
    <row r="65" spans="1:14" hidden="1" outlineLevel="1">
      <c r="A65" s="180"/>
      <c r="B65" s="190" t="s">
        <v>741</v>
      </c>
      <c r="C65" s="186">
        <f t="shared" si="0"/>
        <v>-61.206896551724135</v>
      </c>
      <c r="E65" s="182">
        <v>12</v>
      </c>
      <c r="F65" s="183">
        <v>28</v>
      </c>
      <c r="G65" s="191">
        <f t="shared" si="1"/>
        <v>-57.142857142857139</v>
      </c>
      <c r="H65" s="188">
        <f t="shared" si="2"/>
        <v>4.2428313828094616E-2</v>
      </c>
      <c r="I65" s="188">
        <f t="shared" si="3"/>
        <v>0.10732904017172647</v>
      </c>
      <c r="J65" s="182">
        <v>90</v>
      </c>
      <c r="K65" s="183">
        <v>232</v>
      </c>
      <c r="L65" s="191">
        <f t="shared" si="4"/>
        <v>-61.206896551724135</v>
      </c>
      <c r="M65" s="188">
        <f t="shared" si="5"/>
        <v>6.3982710449798447E-2</v>
      </c>
      <c r="N65" s="189">
        <f t="shared" si="6"/>
        <v>0.16090774160436114</v>
      </c>
    </row>
    <row r="66" spans="1:14" hidden="1" outlineLevel="1">
      <c r="A66" s="180"/>
      <c r="B66" s="190" t="s">
        <v>740</v>
      </c>
      <c r="C66" s="186">
        <f t="shared" si="0"/>
        <v>-93.865030674846622</v>
      </c>
      <c r="E66" s="182">
        <v>1</v>
      </c>
      <c r="F66" s="183">
        <v>51</v>
      </c>
      <c r="G66" s="191">
        <f t="shared" si="1"/>
        <v>-98.039215686274503</v>
      </c>
      <c r="H66" s="188">
        <f t="shared" si="2"/>
        <v>3.5356928190078845E-3</v>
      </c>
      <c r="I66" s="188">
        <f t="shared" si="3"/>
        <v>0.19549218031278751</v>
      </c>
      <c r="J66" s="182">
        <v>20</v>
      </c>
      <c r="K66" s="183">
        <v>326</v>
      </c>
      <c r="L66" s="191">
        <f t="shared" si="4"/>
        <v>-93.865030674846622</v>
      </c>
      <c r="M66" s="188">
        <f t="shared" si="5"/>
        <v>1.4218380099955213E-2</v>
      </c>
      <c r="N66" s="189">
        <f t="shared" si="6"/>
        <v>0.22610311966819713</v>
      </c>
    </row>
    <row r="67" spans="1:14" hidden="1" outlineLevel="1">
      <c r="A67" s="180"/>
      <c r="B67" s="190" t="s">
        <v>742</v>
      </c>
      <c r="C67" s="186">
        <f t="shared" si="0"/>
        <v>-100</v>
      </c>
      <c r="E67" s="182">
        <v>0</v>
      </c>
      <c r="F67" s="183">
        <v>0</v>
      </c>
      <c r="G67" s="191" t="str">
        <f t="shared" si="1"/>
        <v/>
      </c>
      <c r="H67" s="188" t="str">
        <f t="shared" si="2"/>
        <v/>
      </c>
      <c r="I67" s="188" t="str">
        <f t="shared" si="3"/>
        <v/>
      </c>
      <c r="J67" s="182">
        <v>0</v>
      </c>
      <c r="K67" s="183">
        <v>3</v>
      </c>
      <c r="L67" s="191">
        <f t="shared" si="4"/>
        <v>-100</v>
      </c>
      <c r="M67" s="188" t="str">
        <f t="shared" si="5"/>
        <v/>
      </c>
      <c r="N67" s="189">
        <f t="shared" si="6"/>
        <v>2.080703555228808E-3</v>
      </c>
    </row>
    <row r="68" spans="1:14" collapsed="1">
      <c r="A68" s="180" t="s">
        <v>1251</v>
      </c>
      <c r="B68" s="179" t="s">
        <v>292</v>
      </c>
      <c r="C68" s="186">
        <f t="shared" si="0"/>
        <v>98.655767484105354</v>
      </c>
      <c r="E68" s="182">
        <v>3034</v>
      </c>
      <c r="F68" s="183">
        <v>2051</v>
      </c>
      <c r="G68" s="191">
        <f t="shared" si="1"/>
        <v>47.927840078010725</v>
      </c>
      <c r="H68" s="188">
        <f t="shared" si="2"/>
        <v>10.727292012869921</v>
      </c>
      <c r="I68" s="188">
        <f t="shared" si="3"/>
        <v>7.8618521925789633</v>
      </c>
      <c r="J68" s="182">
        <v>10936</v>
      </c>
      <c r="K68" s="183">
        <v>5505</v>
      </c>
      <c r="L68" s="191">
        <f t="shared" si="4"/>
        <v>98.655767484105354</v>
      </c>
      <c r="M68" s="188">
        <f t="shared" si="5"/>
        <v>7.7746102386555105</v>
      </c>
      <c r="N68" s="189">
        <f t="shared" si="6"/>
        <v>3.8180910238448629</v>
      </c>
    </row>
    <row r="69" spans="1:14" hidden="1" outlineLevel="1">
      <c r="A69" s="180"/>
      <c r="B69" s="190" t="s">
        <v>846</v>
      </c>
      <c r="C69" s="186">
        <f t="shared" si="0"/>
        <v>105.98022666988184</v>
      </c>
      <c r="E69" s="182">
        <v>2377</v>
      </c>
      <c r="F69" s="183">
        <v>1876</v>
      </c>
      <c r="G69" s="191">
        <f t="shared" si="1"/>
        <v>26.705756929637523</v>
      </c>
      <c r="H69" s="188">
        <f t="shared" si="2"/>
        <v>8.4043418307817426</v>
      </c>
      <c r="I69" s="188">
        <f t="shared" si="3"/>
        <v>7.191045691505674</v>
      </c>
      <c r="J69" s="182">
        <v>8542</v>
      </c>
      <c r="K69" s="183">
        <v>4147</v>
      </c>
      <c r="L69" s="191">
        <f t="shared" si="4"/>
        <v>105.98022666988184</v>
      </c>
      <c r="M69" s="188">
        <f t="shared" si="5"/>
        <v>6.072670140690871</v>
      </c>
      <c r="N69" s="189">
        <f t="shared" si="6"/>
        <v>2.8762258811779557</v>
      </c>
    </row>
    <row r="70" spans="1:14" hidden="1" outlineLevel="1">
      <c r="A70" s="180"/>
      <c r="B70" s="190" t="s">
        <v>847</v>
      </c>
      <c r="C70" s="186">
        <f t="shared" si="0"/>
        <v>26.50957290132548</v>
      </c>
      <c r="E70" s="182">
        <v>464</v>
      </c>
      <c r="F70" s="183">
        <v>175</v>
      </c>
      <c r="G70" s="191">
        <f t="shared" si="1"/>
        <v>165.14285714285714</v>
      </c>
      <c r="H70" s="188">
        <f t="shared" si="2"/>
        <v>1.6405614680196585</v>
      </c>
      <c r="I70" s="188">
        <f t="shared" si="3"/>
        <v>0.67080650107329043</v>
      </c>
      <c r="J70" s="182">
        <v>1718</v>
      </c>
      <c r="K70" s="183">
        <v>1358</v>
      </c>
      <c r="L70" s="191">
        <f t="shared" si="4"/>
        <v>26.50957290132548</v>
      </c>
      <c r="M70" s="188">
        <f t="shared" si="5"/>
        <v>1.2213588505861528</v>
      </c>
      <c r="N70" s="189">
        <f t="shared" si="6"/>
        <v>0.94186514266690713</v>
      </c>
    </row>
    <row r="71" spans="1:14" hidden="1" outlineLevel="1">
      <c r="A71" s="180"/>
      <c r="B71" s="190" t="s">
        <v>1047</v>
      </c>
      <c r="C71" s="186" t="str">
        <f t="shared" si="0"/>
        <v/>
      </c>
      <c r="E71" s="182">
        <v>110</v>
      </c>
      <c r="F71" s="183">
        <v>0</v>
      </c>
      <c r="G71" s="191" t="str">
        <f t="shared" si="1"/>
        <v/>
      </c>
      <c r="H71" s="188">
        <f t="shared" si="2"/>
        <v>0.38892621009086731</v>
      </c>
      <c r="I71" s="188" t="str">
        <f t="shared" si="3"/>
        <v/>
      </c>
      <c r="J71" s="182">
        <v>413</v>
      </c>
      <c r="K71" s="183">
        <v>0</v>
      </c>
      <c r="L71" s="191" t="str">
        <f t="shared" si="4"/>
        <v/>
      </c>
      <c r="M71" s="188">
        <f t="shared" si="5"/>
        <v>0.2936095490640751</v>
      </c>
      <c r="N71" s="189" t="str">
        <f t="shared" si="6"/>
        <v/>
      </c>
    </row>
    <row r="72" spans="1:14" hidden="1" outlineLevel="1">
      <c r="A72" s="180"/>
      <c r="B72" s="190" t="s">
        <v>848</v>
      </c>
      <c r="C72" s="186" t="str">
        <f t="shared" si="0"/>
        <v/>
      </c>
      <c r="E72" s="182">
        <v>83</v>
      </c>
      <c r="F72" s="183">
        <v>0</v>
      </c>
      <c r="G72" s="191" t="str">
        <f t="shared" si="1"/>
        <v/>
      </c>
      <c r="H72" s="188">
        <f t="shared" si="2"/>
        <v>0.29346250397765444</v>
      </c>
      <c r="I72" s="188" t="str">
        <f t="shared" si="3"/>
        <v/>
      </c>
      <c r="J72" s="182">
        <v>263</v>
      </c>
      <c r="K72" s="183">
        <v>0</v>
      </c>
      <c r="L72" s="191" t="str">
        <f t="shared" si="4"/>
        <v/>
      </c>
      <c r="M72" s="188">
        <f t="shared" si="5"/>
        <v>0.18697169831441104</v>
      </c>
      <c r="N72" s="189" t="str">
        <f t="shared" si="6"/>
        <v/>
      </c>
    </row>
    <row r="73" spans="1:14" collapsed="1">
      <c r="A73" s="180" t="s">
        <v>1174</v>
      </c>
      <c r="B73" s="179" t="s">
        <v>260</v>
      </c>
      <c r="C73" s="186">
        <f t="shared" si="0"/>
        <v>27.205882352941174</v>
      </c>
      <c r="E73" s="182">
        <v>1859</v>
      </c>
      <c r="F73" s="183">
        <v>1309</v>
      </c>
      <c r="G73" s="191">
        <f t="shared" si="1"/>
        <v>42.016806722689076</v>
      </c>
      <c r="H73" s="188">
        <f t="shared" si="2"/>
        <v>6.5728529505356565</v>
      </c>
      <c r="I73" s="188">
        <f t="shared" si="3"/>
        <v>5.0176326280282124</v>
      </c>
      <c r="J73" s="182">
        <v>8650</v>
      </c>
      <c r="K73" s="183">
        <v>6800</v>
      </c>
      <c r="L73" s="191">
        <f t="shared" si="4"/>
        <v>27.205882352941174</v>
      </c>
      <c r="M73" s="188">
        <f t="shared" si="5"/>
        <v>6.1494493932306291</v>
      </c>
      <c r="N73" s="189">
        <f t="shared" si="6"/>
        <v>4.7162613918519645</v>
      </c>
    </row>
    <row r="74" spans="1:14" hidden="1" outlineLevel="1">
      <c r="A74" s="180"/>
      <c r="B74" s="190" t="s">
        <v>819</v>
      </c>
      <c r="C74" s="186">
        <f t="shared" ref="C74:C137" si="7">IF(K74=0,"",SUM(((J74-K74)/K74)*100))</f>
        <v>43.613138686131386</v>
      </c>
      <c r="E74" s="182">
        <v>433</v>
      </c>
      <c r="F74" s="183">
        <v>106</v>
      </c>
      <c r="G74" s="191">
        <f t="shared" ref="G74:G137" si="8">IF(F74=0,"",SUM(((E74-F74)/F74)*100))</f>
        <v>308.49056603773585</v>
      </c>
      <c r="H74" s="188">
        <f t="shared" ref="H74:H137" si="9">IF(E74=0,"",SUM((E74/CntPeriod)*100))</f>
        <v>1.5309549906304141</v>
      </c>
      <c r="I74" s="188">
        <f t="shared" ref="I74:I137" si="10">IF(F74=0,"",SUM((F74/CntPeriodPrevYear)*100))</f>
        <v>0.4063170806501073</v>
      </c>
      <c r="J74" s="182">
        <v>1574</v>
      </c>
      <c r="K74" s="183">
        <v>1096</v>
      </c>
      <c r="L74" s="191">
        <f t="shared" ref="L74:L137" si="11">IF(K74=0,"",SUM(((J74-K74)/K74)*100))</f>
        <v>43.613138686131386</v>
      </c>
      <c r="M74" s="188">
        <f t="shared" ref="M74:M137" si="12">IF(J74=0,"",SUM((J74/CntYearAck)*100))</f>
        <v>1.1189865138664752</v>
      </c>
      <c r="N74" s="189">
        <f t="shared" ref="N74:N137" si="13">IF(K74=0,"",SUM((K74/CntPrevYearAck)*100))</f>
        <v>0.76015036551025794</v>
      </c>
    </row>
    <row r="75" spans="1:14" hidden="1" outlineLevel="1">
      <c r="A75" s="180"/>
      <c r="B75" s="190" t="s">
        <v>820</v>
      </c>
      <c r="C75" s="186">
        <f t="shared" si="7"/>
        <v>81.5</v>
      </c>
      <c r="E75" s="182">
        <v>296</v>
      </c>
      <c r="F75" s="183">
        <v>172</v>
      </c>
      <c r="G75" s="191">
        <f t="shared" si="8"/>
        <v>72.093023255813947</v>
      </c>
      <c r="H75" s="188">
        <f t="shared" si="9"/>
        <v>1.0465650744263337</v>
      </c>
      <c r="I75" s="188">
        <f t="shared" si="10"/>
        <v>0.65930696105489117</v>
      </c>
      <c r="J75" s="182">
        <v>1452</v>
      </c>
      <c r="K75" s="183">
        <v>800</v>
      </c>
      <c r="L75" s="191">
        <f t="shared" si="11"/>
        <v>81.5</v>
      </c>
      <c r="M75" s="188">
        <f t="shared" si="12"/>
        <v>1.0322543952567482</v>
      </c>
      <c r="N75" s="189">
        <f t="shared" si="13"/>
        <v>0.55485428139434878</v>
      </c>
    </row>
    <row r="76" spans="1:14" hidden="1" outlineLevel="1">
      <c r="A76" s="180"/>
      <c r="B76" s="190" t="s">
        <v>822</v>
      </c>
      <c r="C76" s="186">
        <f t="shared" si="7"/>
        <v>90.725806451612897</v>
      </c>
      <c r="E76" s="182">
        <v>286</v>
      </c>
      <c r="F76" s="183">
        <v>186</v>
      </c>
      <c r="G76" s="191">
        <f t="shared" si="8"/>
        <v>53.763440860215049</v>
      </c>
      <c r="H76" s="188">
        <f t="shared" si="9"/>
        <v>1.011208146236255</v>
      </c>
      <c r="I76" s="188">
        <f t="shared" si="10"/>
        <v>0.71297148114075437</v>
      </c>
      <c r="J76" s="182">
        <v>1419</v>
      </c>
      <c r="K76" s="183">
        <v>744</v>
      </c>
      <c r="L76" s="191">
        <f t="shared" si="11"/>
        <v>90.725806451612897</v>
      </c>
      <c r="M76" s="188">
        <f t="shared" si="12"/>
        <v>1.0087940680918224</v>
      </c>
      <c r="N76" s="189">
        <f t="shared" si="13"/>
        <v>0.51601448169674435</v>
      </c>
    </row>
    <row r="77" spans="1:14" hidden="1" outlineLevel="1">
      <c r="A77" s="180"/>
      <c r="B77" s="190" t="s">
        <v>818</v>
      </c>
      <c r="C77" s="186">
        <f t="shared" si="7"/>
        <v>-31.744604316546766</v>
      </c>
      <c r="E77" s="182">
        <v>175</v>
      </c>
      <c r="F77" s="183">
        <v>387</v>
      </c>
      <c r="G77" s="191">
        <f t="shared" si="8"/>
        <v>-54.780361757105943</v>
      </c>
      <c r="H77" s="188">
        <f t="shared" si="9"/>
        <v>0.61874624332637984</v>
      </c>
      <c r="I77" s="188">
        <f t="shared" si="10"/>
        <v>1.483440662373505</v>
      </c>
      <c r="J77" s="182">
        <v>759</v>
      </c>
      <c r="K77" s="183">
        <v>1112</v>
      </c>
      <c r="L77" s="191">
        <f t="shared" si="11"/>
        <v>-31.744604316546766</v>
      </c>
      <c r="M77" s="188">
        <f t="shared" si="12"/>
        <v>0.5395875247933003</v>
      </c>
      <c r="N77" s="189">
        <f t="shared" si="13"/>
        <v>0.77124745113814486</v>
      </c>
    </row>
    <row r="78" spans="1:14" hidden="1" outlineLevel="1">
      <c r="A78" s="180"/>
      <c r="B78" s="190" t="s">
        <v>821</v>
      </c>
      <c r="C78" s="186">
        <f t="shared" si="7"/>
        <v>-4.7557840616966578</v>
      </c>
      <c r="E78" s="182">
        <v>83</v>
      </c>
      <c r="F78" s="183">
        <v>157</v>
      </c>
      <c r="G78" s="191">
        <f t="shared" si="8"/>
        <v>-47.133757961783438</v>
      </c>
      <c r="H78" s="188">
        <f t="shared" si="9"/>
        <v>0.29346250397765444</v>
      </c>
      <c r="I78" s="188">
        <f t="shared" si="10"/>
        <v>0.60180926096289478</v>
      </c>
      <c r="J78" s="182">
        <v>741</v>
      </c>
      <c r="K78" s="183">
        <v>778</v>
      </c>
      <c r="L78" s="191">
        <f t="shared" si="11"/>
        <v>-4.7557840616966578</v>
      </c>
      <c r="M78" s="188">
        <f t="shared" si="12"/>
        <v>0.52679098270334068</v>
      </c>
      <c r="N78" s="189">
        <f t="shared" si="13"/>
        <v>0.53959578865600422</v>
      </c>
    </row>
    <row r="79" spans="1:14" hidden="1" outlineLevel="1">
      <c r="A79" s="180"/>
      <c r="B79" s="190" t="s">
        <v>823</v>
      </c>
      <c r="C79" s="186">
        <f t="shared" si="7"/>
        <v>-4.7775947281713345</v>
      </c>
      <c r="E79" s="182">
        <v>122</v>
      </c>
      <c r="F79" s="183">
        <v>98</v>
      </c>
      <c r="G79" s="191">
        <f t="shared" si="8"/>
        <v>24.489795918367346</v>
      </c>
      <c r="H79" s="188">
        <f t="shared" si="9"/>
        <v>0.4313545239189619</v>
      </c>
      <c r="I79" s="188">
        <f t="shared" si="10"/>
        <v>0.37565164060104261</v>
      </c>
      <c r="J79" s="182">
        <v>578</v>
      </c>
      <c r="K79" s="183">
        <v>607</v>
      </c>
      <c r="L79" s="191">
        <f t="shared" si="11"/>
        <v>-4.7775947281713345</v>
      </c>
      <c r="M79" s="188">
        <f t="shared" si="12"/>
        <v>0.41091118488870565</v>
      </c>
      <c r="N79" s="189">
        <f t="shared" si="13"/>
        <v>0.42099568600796211</v>
      </c>
    </row>
    <row r="80" spans="1:14" hidden="1" outlineLevel="1">
      <c r="A80" s="180"/>
      <c r="B80" s="190" t="s">
        <v>824</v>
      </c>
      <c r="C80" s="186">
        <f t="shared" si="7"/>
        <v>43.193717277486911</v>
      </c>
      <c r="E80" s="182">
        <v>101</v>
      </c>
      <c r="F80" s="183">
        <v>54</v>
      </c>
      <c r="G80" s="191">
        <f t="shared" si="8"/>
        <v>87.037037037037038</v>
      </c>
      <c r="H80" s="188">
        <f t="shared" si="9"/>
        <v>0.35710497471979635</v>
      </c>
      <c r="I80" s="188">
        <f t="shared" si="10"/>
        <v>0.20699172033118673</v>
      </c>
      <c r="J80" s="182">
        <v>547</v>
      </c>
      <c r="K80" s="183">
        <v>382</v>
      </c>
      <c r="L80" s="191">
        <f t="shared" si="11"/>
        <v>43.193717277486911</v>
      </c>
      <c r="M80" s="188">
        <f t="shared" si="12"/>
        <v>0.38887269573377509</v>
      </c>
      <c r="N80" s="189">
        <f t="shared" si="13"/>
        <v>0.26494291936580155</v>
      </c>
    </row>
    <row r="81" spans="1:14" hidden="1" outlineLevel="1">
      <c r="A81" s="180"/>
      <c r="B81" s="190" t="s">
        <v>826</v>
      </c>
      <c r="C81" s="186">
        <f t="shared" si="7"/>
        <v>80.471380471380471</v>
      </c>
      <c r="E81" s="182">
        <v>153</v>
      </c>
      <c r="F81" s="183">
        <v>29</v>
      </c>
      <c r="G81" s="191">
        <f t="shared" si="8"/>
        <v>427.58620689655169</v>
      </c>
      <c r="H81" s="188">
        <f t="shared" si="9"/>
        <v>0.54096100130820635</v>
      </c>
      <c r="I81" s="188">
        <f t="shared" si="10"/>
        <v>0.11116222017785957</v>
      </c>
      <c r="J81" s="182">
        <v>536</v>
      </c>
      <c r="K81" s="183">
        <v>297</v>
      </c>
      <c r="L81" s="191">
        <f t="shared" si="11"/>
        <v>80.471380471380471</v>
      </c>
      <c r="M81" s="188">
        <f t="shared" si="12"/>
        <v>0.38105258667879965</v>
      </c>
      <c r="N81" s="189">
        <f t="shared" si="13"/>
        <v>0.20598965196765201</v>
      </c>
    </row>
    <row r="82" spans="1:14" hidden="1" outlineLevel="1">
      <c r="A82" s="180"/>
      <c r="B82" s="190" t="s">
        <v>825</v>
      </c>
      <c r="C82" s="186">
        <f t="shared" si="7"/>
        <v>-7.7809798270893378</v>
      </c>
      <c r="E82" s="182">
        <v>55</v>
      </c>
      <c r="F82" s="183">
        <v>34</v>
      </c>
      <c r="G82" s="191">
        <f t="shared" si="8"/>
        <v>61.764705882352942</v>
      </c>
      <c r="H82" s="188">
        <f t="shared" si="9"/>
        <v>0.19446310504543365</v>
      </c>
      <c r="I82" s="188">
        <f t="shared" si="10"/>
        <v>0.13032812020852499</v>
      </c>
      <c r="J82" s="182">
        <v>320</v>
      </c>
      <c r="K82" s="183">
        <v>347</v>
      </c>
      <c r="L82" s="191">
        <f t="shared" si="11"/>
        <v>-7.7809798270893378</v>
      </c>
      <c r="M82" s="188">
        <f t="shared" si="12"/>
        <v>0.22749408159928342</v>
      </c>
      <c r="N82" s="189">
        <f t="shared" si="13"/>
        <v>0.24066804455479879</v>
      </c>
    </row>
    <row r="83" spans="1:14" hidden="1" outlineLevel="1">
      <c r="A83" s="180"/>
      <c r="B83" s="190" t="s">
        <v>827</v>
      </c>
      <c r="C83" s="186">
        <f t="shared" si="7"/>
        <v>66.470588235294116</v>
      </c>
      <c r="E83" s="182">
        <v>42</v>
      </c>
      <c r="F83" s="183">
        <v>31</v>
      </c>
      <c r="G83" s="191">
        <f t="shared" si="8"/>
        <v>35.483870967741936</v>
      </c>
      <c r="H83" s="188">
        <f t="shared" si="9"/>
        <v>0.14849909839833114</v>
      </c>
      <c r="I83" s="188">
        <f t="shared" si="10"/>
        <v>0.11882858019012572</v>
      </c>
      <c r="J83" s="182">
        <v>283</v>
      </c>
      <c r="K83" s="183">
        <v>170</v>
      </c>
      <c r="L83" s="191">
        <f t="shared" si="11"/>
        <v>66.470588235294116</v>
      </c>
      <c r="M83" s="188">
        <f t="shared" si="12"/>
        <v>0.20119007841436623</v>
      </c>
      <c r="N83" s="189">
        <f t="shared" si="13"/>
        <v>0.11790653479629913</v>
      </c>
    </row>
    <row r="84" spans="1:14" hidden="1" outlineLevel="1">
      <c r="A84" s="180"/>
      <c r="B84" s="190" t="s">
        <v>831</v>
      </c>
      <c r="C84" s="186">
        <f t="shared" si="7"/>
        <v>112.82051282051282</v>
      </c>
      <c r="E84" s="182">
        <v>42</v>
      </c>
      <c r="F84" s="183">
        <v>6</v>
      </c>
      <c r="G84" s="191">
        <f t="shared" si="8"/>
        <v>600</v>
      </c>
      <c r="H84" s="188">
        <f t="shared" si="9"/>
        <v>0.14849909839833114</v>
      </c>
      <c r="I84" s="188">
        <f t="shared" si="10"/>
        <v>2.2999080036798528E-2</v>
      </c>
      <c r="J84" s="182">
        <v>166</v>
      </c>
      <c r="K84" s="183">
        <v>78</v>
      </c>
      <c r="L84" s="191">
        <f t="shared" si="11"/>
        <v>112.82051282051282</v>
      </c>
      <c r="M84" s="188">
        <f t="shared" si="12"/>
        <v>0.11801255482962827</v>
      </c>
      <c r="N84" s="189">
        <f t="shared" si="13"/>
        <v>5.4098292435949005E-2</v>
      </c>
    </row>
    <row r="85" spans="1:14" hidden="1" outlineLevel="1">
      <c r="A85" s="180"/>
      <c r="B85" s="190" t="s">
        <v>828</v>
      </c>
      <c r="C85" s="186">
        <f t="shared" si="7"/>
        <v>9.0225563909774422</v>
      </c>
      <c r="E85" s="182">
        <v>33</v>
      </c>
      <c r="F85" s="183">
        <v>10</v>
      </c>
      <c r="G85" s="191">
        <f t="shared" si="8"/>
        <v>229.99999999999997</v>
      </c>
      <c r="H85" s="188">
        <f t="shared" si="9"/>
        <v>0.1166778630272602</v>
      </c>
      <c r="I85" s="188">
        <f t="shared" si="10"/>
        <v>3.8331800061330877E-2</v>
      </c>
      <c r="J85" s="182">
        <v>145</v>
      </c>
      <c r="K85" s="183">
        <v>133</v>
      </c>
      <c r="L85" s="191">
        <f t="shared" si="11"/>
        <v>9.0225563909774422</v>
      </c>
      <c r="M85" s="188">
        <f t="shared" si="12"/>
        <v>0.10308325572467528</v>
      </c>
      <c r="N85" s="189">
        <f t="shared" si="13"/>
        <v>9.2244524281810486E-2</v>
      </c>
    </row>
    <row r="86" spans="1:14" hidden="1" outlineLevel="1">
      <c r="A86" s="180"/>
      <c r="B86" s="190" t="s">
        <v>829</v>
      </c>
      <c r="C86" s="186">
        <f t="shared" si="7"/>
        <v>-69.911504424778755</v>
      </c>
      <c r="E86" s="182">
        <v>14</v>
      </c>
      <c r="F86" s="183">
        <v>31</v>
      </c>
      <c r="G86" s="191">
        <f t="shared" si="8"/>
        <v>-54.838709677419352</v>
      </c>
      <c r="H86" s="188">
        <f t="shared" si="9"/>
        <v>4.9499699466110388E-2</v>
      </c>
      <c r="I86" s="188">
        <f t="shared" si="10"/>
        <v>0.11882858019012572</v>
      </c>
      <c r="J86" s="182">
        <v>34</v>
      </c>
      <c r="K86" s="183">
        <v>113</v>
      </c>
      <c r="L86" s="191">
        <f t="shared" si="11"/>
        <v>-69.911504424778755</v>
      </c>
      <c r="M86" s="188">
        <f t="shared" si="12"/>
        <v>2.417124616992386E-2</v>
      </c>
      <c r="N86" s="189">
        <f t="shared" si="13"/>
        <v>7.8373167246951758E-2</v>
      </c>
    </row>
    <row r="87" spans="1:14" hidden="1" outlineLevel="1">
      <c r="A87" s="180"/>
      <c r="B87" s="190" t="s">
        <v>830</v>
      </c>
      <c r="C87" s="186">
        <f t="shared" si="7"/>
        <v>-62.195121951219512</v>
      </c>
      <c r="E87" s="182">
        <v>12</v>
      </c>
      <c r="F87" s="183">
        <v>2</v>
      </c>
      <c r="G87" s="191">
        <f t="shared" si="8"/>
        <v>500</v>
      </c>
      <c r="H87" s="188">
        <f t="shared" si="9"/>
        <v>4.2428313828094616E-2</v>
      </c>
      <c r="I87" s="188">
        <f t="shared" si="10"/>
        <v>7.6663600122661765E-3</v>
      </c>
      <c r="J87" s="182">
        <v>31</v>
      </c>
      <c r="K87" s="183">
        <v>82</v>
      </c>
      <c r="L87" s="191">
        <f t="shared" si="11"/>
        <v>-62.195121951219512</v>
      </c>
      <c r="M87" s="188">
        <f t="shared" si="12"/>
        <v>2.203848915493058E-2</v>
      </c>
      <c r="N87" s="189">
        <f t="shared" si="13"/>
        <v>5.6872563842920755E-2</v>
      </c>
    </row>
    <row r="88" spans="1:14" hidden="1" outlineLevel="1">
      <c r="A88" s="180"/>
      <c r="B88" s="190" t="s">
        <v>832</v>
      </c>
      <c r="C88" s="186">
        <f t="shared" si="7"/>
        <v>6.8965517241379306</v>
      </c>
      <c r="E88" s="182">
        <v>6</v>
      </c>
      <c r="F88" s="183">
        <v>1</v>
      </c>
      <c r="G88" s="191">
        <f t="shared" si="8"/>
        <v>500</v>
      </c>
      <c r="H88" s="188">
        <f t="shared" si="9"/>
        <v>2.1214156914047308E-2</v>
      </c>
      <c r="I88" s="188">
        <f t="shared" si="10"/>
        <v>3.8331800061330882E-3</v>
      </c>
      <c r="J88" s="182">
        <v>31</v>
      </c>
      <c r="K88" s="183">
        <v>29</v>
      </c>
      <c r="L88" s="191">
        <f t="shared" si="11"/>
        <v>6.8965517241379306</v>
      </c>
      <c r="M88" s="188">
        <f t="shared" si="12"/>
        <v>2.203848915493058E-2</v>
      </c>
      <c r="N88" s="189">
        <f t="shared" si="13"/>
        <v>2.0113467700545142E-2</v>
      </c>
    </row>
    <row r="89" spans="1:14" hidden="1" outlineLevel="1">
      <c r="A89" s="180"/>
      <c r="B89" s="190" t="s">
        <v>835</v>
      </c>
      <c r="C89" s="186">
        <f t="shared" si="7"/>
        <v>180</v>
      </c>
      <c r="E89" s="182">
        <v>2</v>
      </c>
      <c r="F89" s="183">
        <v>1</v>
      </c>
      <c r="G89" s="191">
        <f t="shared" si="8"/>
        <v>100</v>
      </c>
      <c r="H89" s="188">
        <f t="shared" si="9"/>
        <v>7.071385638015769E-3</v>
      </c>
      <c r="I89" s="188">
        <f t="shared" si="10"/>
        <v>3.8331800061330882E-3</v>
      </c>
      <c r="J89" s="182">
        <v>14</v>
      </c>
      <c r="K89" s="183">
        <v>5</v>
      </c>
      <c r="L89" s="191">
        <f t="shared" si="11"/>
        <v>180</v>
      </c>
      <c r="M89" s="188">
        <f t="shared" si="12"/>
        <v>9.9528660699686484E-3</v>
      </c>
      <c r="N89" s="189">
        <f t="shared" si="13"/>
        <v>3.4678392587146802E-3</v>
      </c>
    </row>
    <row r="90" spans="1:14" hidden="1" outlineLevel="1">
      <c r="A90" s="180"/>
      <c r="B90" s="190" t="s">
        <v>833</v>
      </c>
      <c r="C90" s="186">
        <f t="shared" si="7"/>
        <v>0</v>
      </c>
      <c r="E90" s="182">
        <v>3</v>
      </c>
      <c r="F90" s="183">
        <v>1</v>
      </c>
      <c r="G90" s="191">
        <f t="shared" si="8"/>
        <v>200</v>
      </c>
      <c r="H90" s="188">
        <f t="shared" si="9"/>
        <v>1.0607078457023654E-2</v>
      </c>
      <c r="I90" s="188">
        <f t="shared" si="10"/>
        <v>3.8331800061330882E-3</v>
      </c>
      <c r="J90" s="182">
        <v>13</v>
      </c>
      <c r="K90" s="183">
        <v>13</v>
      </c>
      <c r="L90" s="191">
        <f t="shared" si="11"/>
        <v>0</v>
      </c>
      <c r="M90" s="188">
        <f t="shared" si="12"/>
        <v>9.2419470649708867E-3</v>
      </c>
      <c r="N90" s="189">
        <f t="shared" si="13"/>
        <v>9.0163820726581675E-3</v>
      </c>
    </row>
    <row r="91" spans="1:14" hidden="1" outlineLevel="1">
      <c r="A91" s="180"/>
      <c r="B91" s="190" t="s">
        <v>834</v>
      </c>
      <c r="C91" s="186">
        <f t="shared" si="7"/>
        <v>-66.666666666666657</v>
      </c>
      <c r="E91" s="182">
        <v>0</v>
      </c>
      <c r="F91" s="183">
        <v>3</v>
      </c>
      <c r="G91" s="191">
        <f t="shared" si="8"/>
        <v>-100</v>
      </c>
      <c r="H91" s="188" t="str">
        <f t="shared" si="9"/>
        <v/>
      </c>
      <c r="I91" s="188">
        <f t="shared" si="10"/>
        <v>1.1499540018399264E-2</v>
      </c>
      <c r="J91" s="182">
        <v>3</v>
      </c>
      <c r="K91" s="183">
        <v>9</v>
      </c>
      <c r="L91" s="191">
        <f t="shared" si="11"/>
        <v>-66.666666666666657</v>
      </c>
      <c r="M91" s="188">
        <f t="shared" si="12"/>
        <v>2.1327570149932817E-3</v>
      </c>
      <c r="N91" s="189">
        <f t="shared" si="13"/>
        <v>6.2421106656864239E-3</v>
      </c>
    </row>
    <row r="92" spans="1:14" hidden="1" outlineLevel="1">
      <c r="A92" s="180"/>
      <c r="B92" s="190" t="s">
        <v>836</v>
      </c>
      <c r="C92" s="186">
        <f t="shared" si="7"/>
        <v>-50</v>
      </c>
      <c r="E92" s="182">
        <v>1</v>
      </c>
      <c r="F92" s="183">
        <v>0</v>
      </c>
      <c r="G92" s="191" t="str">
        <f t="shared" si="8"/>
        <v/>
      </c>
      <c r="H92" s="188">
        <f t="shared" si="9"/>
        <v>3.5356928190078845E-3</v>
      </c>
      <c r="I92" s="188" t="str">
        <f t="shared" si="10"/>
        <v/>
      </c>
      <c r="J92" s="182">
        <v>2</v>
      </c>
      <c r="K92" s="183">
        <v>4</v>
      </c>
      <c r="L92" s="191">
        <f t="shared" si="11"/>
        <v>-50</v>
      </c>
      <c r="M92" s="188">
        <f t="shared" si="12"/>
        <v>1.4218380099955213E-3</v>
      </c>
      <c r="N92" s="189">
        <f t="shared" si="13"/>
        <v>2.7742714069717441E-3</v>
      </c>
    </row>
    <row r="93" spans="1:14" hidden="1" outlineLevel="1">
      <c r="A93" s="180"/>
      <c r="B93" s="190" t="s">
        <v>837</v>
      </c>
      <c r="C93" s="186">
        <f t="shared" si="7"/>
        <v>0</v>
      </c>
      <c r="E93" s="182">
        <v>0</v>
      </c>
      <c r="F93" s="183">
        <v>0</v>
      </c>
      <c r="G93" s="191" t="str">
        <f t="shared" si="8"/>
        <v/>
      </c>
      <c r="H93" s="188" t="str">
        <f t="shared" si="9"/>
        <v/>
      </c>
      <c r="I93" s="188" t="str">
        <f t="shared" si="10"/>
        <v/>
      </c>
      <c r="J93" s="182">
        <v>1</v>
      </c>
      <c r="K93" s="183">
        <v>1</v>
      </c>
      <c r="L93" s="191">
        <f t="shared" si="11"/>
        <v>0</v>
      </c>
      <c r="M93" s="188">
        <f t="shared" si="12"/>
        <v>7.1091900499776063E-4</v>
      </c>
      <c r="N93" s="189">
        <f t="shared" si="13"/>
        <v>6.9356785174293602E-4</v>
      </c>
    </row>
    <row r="94" spans="1:14" hidden="1" outlineLevel="1">
      <c r="A94" s="180"/>
      <c r="B94" s="190" t="s">
        <v>1202</v>
      </c>
      <c r="C94" s="186" t="str">
        <f t="shared" si="7"/>
        <v/>
      </c>
      <c r="E94" s="182">
        <v>0</v>
      </c>
      <c r="F94" s="183">
        <v>0</v>
      </c>
      <c r="G94" s="191" t="str">
        <f t="shared" si="8"/>
        <v/>
      </c>
      <c r="H94" s="188" t="str">
        <f t="shared" si="9"/>
        <v/>
      </c>
      <c r="I94" s="188" t="str">
        <f t="shared" si="10"/>
        <v/>
      </c>
      <c r="J94" s="182">
        <v>1</v>
      </c>
      <c r="K94" s="183">
        <v>0</v>
      </c>
      <c r="L94" s="191" t="str">
        <f t="shared" si="11"/>
        <v/>
      </c>
      <c r="M94" s="188">
        <f t="shared" si="12"/>
        <v>7.1091900499776063E-4</v>
      </c>
      <c r="N94" s="189" t="str">
        <f t="shared" si="13"/>
        <v/>
      </c>
    </row>
    <row r="95" spans="1:14" collapsed="1">
      <c r="A95" s="180" t="s">
        <v>1175</v>
      </c>
      <c r="B95" s="179" t="s">
        <v>262</v>
      </c>
      <c r="C95" s="186">
        <f t="shared" si="7"/>
        <v>-12.49016301292861</v>
      </c>
      <c r="E95" s="182">
        <v>1278</v>
      </c>
      <c r="F95" s="183">
        <v>1376</v>
      </c>
      <c r="G95" s="191">
        <f t="shared" si="8"/>
        <v>-7.1220930232558137</v>
      </c>
      <c r="H95" s="188">
        <f t="shared" si="9"/>
        <v>4.5186154226920765</v>
      </c>
      <c r="I95" s="188">
        <f t="shared" si="10"/>
        <v>5.2744556884391294</v>
      </c>
      <c r="J95" s="182">
        <v>7784</v>
      </c>
      <c r="K95" s="183">
        <v>8895</v>
      </c>
      <c r="L95" s="191">
        <f t="shared" si="11"/>
        <v>-12.49016301292861</v>
      </c>
      <c r="M95" s="188">
        <f t="shared" si="12"/>
        <v>5.5337935349025686</v>
      </c>
      <c r="N95" s="189">
        <f t="shared" si="13"/>
        <v>6.1692860412534154</v>
      </c>
    </row>
    <row r="96" spans="1:14" hidden="1" outlineLevel="1">
      <c r="A96" s="180"/>
      <c r="B96" s="190" t="s">
        <v>781</v>
      </c>
      <c r="C96" s="186">
        <f t="shared" si="7"/>
        <v>224.07045009784733</v>
      </c>
      <c r="E96" s="182">
        <v>458</v>
      </c>
      <c r="F96" s="183">
        <v>226</v>
      </c>
      <c r="G96" s="191">
        <f t="shared" si="8"/>
        <v>102.65486725663717</v>
      </c>
      <c r="H96" s="188">
        <f t="shared" si="9"/>
        <v>1.6193473111056111</v>
      </c>
      <c r="I96" s="188">
        <f t="shared" si="10"/>
        <v>0.8662986813860778</v>
      </c>
      <c r="J96" s="182">
        <v>1656</v>
      </c>
      <c r="K96" s="183">
        <v>511</v>
      </c>
      <c r="L96" s="191">
        <f t="shared" si="11"/>
        <v>224.07045009784733</v>
      </c>
      <c r="M96" s="188">
        <f t="shared" si="12"/>
        <v>1.1772818722762917</v>
      </c>
      <c r="N96" s="189">
        <f t="shared" si="13"/>
        <v>0.35441317224064034</v>
      </c>
    </row>
    <row r="97" spans="1:14" hidden="1" outlineLevel="1">
      <c r="A97" s="180"/>
      <c r="B97" s="190" t="s">
        <v>780</v>
      </c>
      <c r="C97" s="186">
        <f t="shared" si="7"/>
        <v>44.393592677345538</v>
      </c>
      <c r="E97" s="182">
        <v>171</v>
      </c>
      <c r="F97" s="183">
        <v>96</v>
      </c>
      <c r="G97" s="191">
        <f t="shared" si="8"/>
        <v>78.125</v>
      </c>
      <c r="H97" s="188">
        <f t="shared" si="9"/>
        <v>0.60460347205034826</v>
      </c>
      <c r="I97" s="188">
        <f t="shared" si="10"/>
        <v>0.36798528058877644</v>
      </c>
      <c r="J97" s="182">
        <v>1262</v>
      </c>
      <c r="K97" s="183">
        <v>874</v>
      </c>
      <c r="L97" s="191">
        <f t="shared" si="11"/>
        <v>44.393592677345538</v>
      </c>
      <c r="M97" s="188">
        <f t="shared" si="12"/>
        <v>0.89717978430717393</v>
      </c>
      <c r="N97" s="189">
        <f t="shared" si="13"/>
        <v>0.60617830242332604</v>
      </c>
    </row>
    <row r="98" spans="1:14" hidden="1" outlineLevel="1">
      <c r="A98" s="180"/>
      <c r="B98" s="190" t="s">
        <v>777</v>
      </c>
      <c r="C98" s="186">
        <f t="shared" si="7"/>
        <v>-31.213017751479288</v>
      </c>
      <c r="E98" s="182">
        <v>117</v>
      </c>
      <c r="F98" s="183">
        <v>220</v>
      </c>
      <c r="G98" s="191">
        <f t="shared" si="8"/>
        <v>-46.81818181818182</v>
      </c>
      <c r="H98" s="188">
        <f t="shared" si="9"/>
        <v>0.41367605982392253</v>
      </c>
      <c r="I98" s="188">
        <f t="shared" si="10"/>
        <v>0.84329960134927939</v>
      </c>
      <c r="J98" s="182">
        <v>930</v>
      </c>
      <c r="K98" s="183">
        <v>1352</v>
      </c>
      <c r="L98" s="191">
        <f t="shared" si="11"/>
        <v>-31.213017751479288</v>
      </c>
      <c r="M98" s="188">
        <f t="shared" si="12"/>
        <v>0.66115467464791744</v>
      </c>
      <c r="N98" s="189">
        <f t="shared" si="13"/>
        <v>0.93770373555644937</v>
      </c>
    </row>
    <row r="99" spans="1:14" hidden="1" outlineLevel="1">
      <c r="A99" s="180"/>
      <c r="B99" s="190" t="s">
        <v>779</v>
      </c>
      <c r="C99" s="186">
        <f t="shared" si="7"/>
        <v>-24.918566775244301</v>
      </c>
      <c r="E99" s="182">
        <v>112</v>
      </c>
      <c r="F99" s="183">
        <v>245</v>
      </c>
      <c r="G99" s="191">
        <f t="shared" si="8"/>
        <v>-54.285714285714285</v>
      </c>
      <c r="H99" s="188">
        <f t="shared" si="9"/>
        <v>0.3959975957288831</v>
      </c>
      <c r="I99" s="188">
        <f t="shared" si="10"/>
        <v>0.93912910150260653</v>
      </c>
      <c r="J99" s="182">
        <v>922</v>
      </c>
      <c r="K99" s="183">
        <v>1228</v>
      </c>
      <c r="L99" s="191">
        <f t="shared" si="11"/>
        <v>-24.918566775244301</v>
      </c>
      <c r="M99" s="188">
        <f t="shared" si="12"/>
        <v>0.65546732260793528</v>
      </c>
      <c r="N99" s="189">
        <f t="shared" si="13"/>
        <v>0.85170132194032544</v>
      </c>
    </row>
    <row r="100" spans="1:14" hidden="1" outlineLevel="1">
      <c r="A100" s="180"/>
      <c r="B100" s="190" t="s">
        <v>776</v>
      </c>
      <c r="C100" s="186">
        <f t="shared" si="7"/>
        <v>-39.058355437665782</v>
      </c>
      <c r="E100" s="182">
        <v>121</v>
      </c>
      <c r="F100" s="183">
        <v>168</v>
      </c>
      <c r="G100" s="191">
        <f t="shared" si="8"/>
        <v>-27.976190476190478</v>
      </c>
      <c r="H100" s="188">
        <f t="shared" si="9"/>
        <v>0.427818831099954</v>
      </c>
      <c r="I100" s="188">
        <f t="shared" si="10"/>
        <v>0.64397424103035883</v>
      </c>
      <c r="J100" s="182">
        <v>919</v>
      </c>
      <c r="K100" s="183">
        <v>1508</v>
      </c>
      <c r="L100" s="191">
        <f t="shared" si="11"/>
        <v>-39.058355437665782</v>
      </c>
      <c r="M100" s="188">
        <f t="shared" si="12"/>
        <v>0.65333456559294201</v>
      </c>
      <c r="N100" s="189">
        <f t="shared" si="13"/>
        <v>1.0459003204283475</v>
      </c>
    </row>
    <row r="101" spans="1:14" hidden="1" outlineLevel="1">
      <c r="A101" s="180"/>
      <c r="B101" s="190" t="s">
        <v>785</v>
      </c>
      <c r="C101" s="186">
        <f t="shared" si="7"/>
        <v>123.78854625550662</v>
      </c>
      <c r="E101" s="182">
        <v>42</v>
      </c>
      <c r="F101" s="183">
        <v>26</v>
      </c>
      <c r="G101" s="191">
        <f t="shared" si="8"/>
        <v>61.53846153846154</v>
      </c>
      <c r="H101" s="188">
        <f t="shared" si="9"/>
        <v>0.14849909839833114</v>
      </c>
      <c r="I101" s="188">
        <f t="shared" si="10"/>
        <v>9.9662680159460282E-2</v>
      </c>
      <c r="J101" s="182">
        <v>508</v>
      </c>
      <c r="K101" s="183">
        <v>227</v>
      </c>
      <c r="L101" s="191">
        <f t="shared" si="11"/>
        <v>123.78854625550662</v>
      </c>
      <c r="M101" s="188">
        <f t="shared" si="12"/>
        <v>0.36114685453886242</v>
      </c>
      <c r="N101" s="189">
        <f t="shared" si="13"/>
        <v>0.15743990234564648</v>
      </c>
    </row>
    <row r="102" spans="1:14" hidden="1" outlineLevel="1">
      <c r="A102" s="180"/>
      <c r="B102" s="190" t="s">
        <v>782</v>
      </c>
      <c r="C102" s="186">
        <f t="shared" si="7"/>
        <v>-17.137096774193548</v>
      </c>
      <c r="E102" s="182">
        <v>80</v>
      </c>
      <c r="F102" s="183">
        <v>141</v>
      </c>
      <c r="G102" s="191">
        <f t="shared" si="8"/>
        <v>-43.262411347517734</v>
      </c>
      <c r="H102" s="188">
        <f t="shared" si="9"/>
        <v>0.28285542552063075</v>
      </c>
      <c r="I102" s="188">
        <f t="shared" si="10"/>
        <v>0.54047838086476541</v>
      </c>
      <c r="J102" s="182">
        <v>411</v>
      </c>
      <c r="K102" s="183">
        <v>496</v>
      </c>
      <c r="L102" s="191">
        <f t="shared" si="11"/>
        <v>-17.137096774193548</v>
      </c>
      <c r="M102" s="188">
        <f t="shared" si="12"/>
        <v>0.29218771105407959</v>
      </c>
      <c r="N102" s="189">
        <f t="shared" si="13"/>
        <v>0.34400965446449627</v>
      </c>
    </row>
    <row r="103" spans="1:14" hidden="1" outlineLevel="1">
      <c r="A103" s="180"/>
      <c r="B103" s="190" t="s">
        <v>784</v>
      </c>
      <c r="C103" s="186">
        <f t="shared" si="7"/>
        <v>-24.833702882483372</v>
      </c>
      <c r="E103" s="182">
        <v>73</v>
      </c>
      <c r="F103" s="183">
        <v>95</v>
      </c>
      <c r="G103" s="191">
        <f t="shared" si="8"/>
        <v>-23.157894736842106</v>
      </c>
      <c r="H103" s="188">
        <f t="shared" si="9"/>
        <v>0.25810557578757559</v>
      </c>
      <c r="I103" s="188">
        <f t="shared" si="10"/>
        <v>0.36415210058264336</v>
      </c>
      <c r="J103" s="182">
        <v>339</v>
      </c>
      <c r="K103" s="183">
        <v>451</v>
      </c>
      <c r="L103" s="191">
        <f t="shared" si="11"/>
        <v>-24.833702882483372</v>
      </c>
      <c r="M103" s="188">
        <f t="shared" si="12"/>
        <v>0.24100154269424082</v>
      </c>
      <c r="N103" s="189">
        <f t="shared" si="13"/>
        <v>0.31279910113606413</v>
      </c>
    </row>
    <row r="104" spans="1:14" hidden="1" outlineLevel="1">
      <c r="A104" s="180"/>
      <c r="B104" s="190" t="s">
        <v>783</v>
      </c>
      <c r="C104" s="186">
        <f t="shared" si="7"/>
        <v>-28.850325379609544</v>
      </c>
      <c r="E104" s="182">
        <v>36</v>
      </c>
      <c r="F104" s="183">
        <v>59</v>
      </c>
      <c r="G104" s="191">
        <f t="shared" si="8"/>
        <v>-38.983050847457626</v>
      </c>
      <c r="H104" s="188">
        <f t="shared" si="9"/>
        <v>0.12728494148428385</v>
      </c>
      <c r="I104" s="188">
        <f t="shared" si="10"/>
        <v>0.22615762036185216</v>
      </c>
      <c r="J104" s="182">
        <v>328</v>
      </c>
      <c r="K104" s="183">
        <v>461</v>
      </c>
      <c r="L104" s="191">
        <f t="shared" si="11"/>
        <v>-28.850325379609544</v>
      </c>
      <c r="M104" s="188">
        <f t="shared" si="12"/>
        <v>0.23318143363926547</v>
      </c>
      <c r="N104" s="189">
        <f t="shared" si="13"/>
        <v>0.31973477965349351</v>
      </c>
    </row>
    <row r="105" spans="1:14" hidden="1" outlineLevel="1">
      <c r="A105" s="180"/>
      <c r="B105" s="190" t="s">
        <v>786</v>
      </c>
      <c r="C105" s="186">
        <f t="shared" si="7"/>
        <v>-17.560975609756095</v>
      </c>
      <c r="E105" s="182">
        <v>16</v>
      </c>
      <c r="F105" s="183">
        <v>22</v>
      </c>
      <c r="G105" s="191">
        <f t="shared" si="8"/>
        <v>-27.27272727272727</v>
      </c>
      <c r="H105" s="188">
        <f t="shared" si="9"/>
        <v>5.6571085104126152E-2</v>
      </c>
      <c r="I105" s="188">
        <f t="shared" si="10"/>
        <v>8.4329960134927939E-2</v>
      </c>
      <c r="J105" s="182">
        <v>169</v>
      </c>
      <c r="K105" s="183">
        <v>205</v>
      </c>
      <c r="L105" s="191">
        <f t="shared" si="11"/>
        <v>-17.560975609756095</v>
      </c>
      <c r="M105" s="188">
        <f t="shared" si="12"/>
        <v>0.12014531184462154</v>
      </c>
      <c r="N105" s="189">
        <f t="shared" si="13"/>
        <v>0.14218140960730188</v>
      </c>
    </row>
    <row r="106" spans="1:14" hidden="1" outlineLevel="1">
      <c r="A106" s="180"/>
      <c r="B106" s="190" t="s">
        <v>787</v>
      </c>
      <c r="C106" s="186">
        <f t="shared" si="7"/>
        <v>67.272727272727266</v>
      </c>
      <c r="E106" s="182">
        <v>10</v>
      </c>
      <c r="F106" s="183">
        <v>10</v>
      </c>
      <c r="G106" s="191">
        <f t="shared" si="8"/>
        <v>0</v>
      </c>
      <c r="H106" s="188">
        <f t="shared" si="9"/>
        <v>3.5356928190078844E-2</v>
      </c>
      <c r="I106" s="188">
        <f t="shared" si="10"/>
        <v>3.8331800061330877E-2</v>
      </c>
      <c r="J106" s="182">
        <v>92</v>
      </c>
      <c r="K106" s="183">
        <v>55</v>
      </c>
      <c r="L106" s="191">
        <f t="shared" si="11"/>
        <v>67.272727272727266</v>
      </c>
      <c r="M106" s="188">
        <f t="shared" si="12"/>
        <v>6.5404548459793987E-2</v>
      </c>
      <c r="N106" s="189">
        <f t="shared" si="13"/>
        <v>3.8146231845861481E-2</v>
      </c>
    </row>
    <row r="107" spans="1:14" hidden="1" outlineLevel="1">
      <c r="A107" s="180"/>
      <c r="B107" s="190" t="s">
        <v>1032</v>
      </c>
      <c r="C107" s="186" t="str">
        <f t="shared" si="7"/>
        <v/>
      </c>
      <c r="E107" s="182">
        <v>5</v>
      </c>
      <c r="F107" s="183">
        <v>0</v>
      </c>
      <c r="G107" s="191" t="str">
        <f t="shared" si="8"/>
        <v/>
      </c>
      <c r="H107" s="188">
        <f t="shared" si="9"/>
        <v>1.7678464095039422E-2</v>
      </c>
      <c r="I107" s="188" t="str">
        <f t="shared" si="10"/>
        <v/>
      </c>
      <c r="J107" s="182">
        <v>50</v>
      </c>
      <c r="K107" s="183">
        <v>0</v>
      </c>
      <c r="L107" s="191" t="str">
        <f t="shared" si="11"/>
        <v/>
      </c>
      <c r="M107" s="188">
        <f t="shared" si="12"/>
        <v>3.5545950249888034E-2</v>
      </c>
      <c r="N107" s="189" t="str">
        <f t="shared" si="13"/>
        <v/>
      </c>
    </row>
    <row r="108" spans="1:14" hidden="1" outlineLevel="1">
      <c r="A108" s="180"/>
      <c r="B108" s="190" t="s">
        <v>789</v>
      </c>
      <c r="C108" s="186">
        <f t="shared" si="7"/>
        <v>5</v>
      </c>
      <c r="E108" s="182">
        <v>5</v>
      </c>
      <c r="F108" s="183">
        <v>8</v>
      </c>
      <c r="G108" s="191">
        <f t="shared" si="8"/>
        <v>-37.5</v>
      </c>
      <c r="H108" s="188">
        <f t="shared" si="9"/>
        <v>1.7678464095039422E-2</v>
      </c>
      <c r="I108" s="188">
        <f t="shared" si="10"/>
        <v>3.0665440049064706E-2</v>
      </c>
      <c r="J108" s="182">
        <v>42</v>
      </c>
      <c r="K108" s="183">
        <v>40</v>
      </c>
      <c r="L108" s="191">
        <f t="shared" si="11"/>
        <v>5</v>
      </c>
      <c r="M108" s="188">
        <f t="shared" si="12"/>
        <v>2.9858598209905943E-2</v>
      </c>
      <c r="N108" s="189">
        <f t="shared" si="13"/>
        <v>2.7742714069717442E-2</v>
      </c>
    </row>
    <row r="109" spans="1:14" hidden="1" outlineLevel="1">
      <c r="A109" s="180"/>
      <c r="B109" s="190" t="s">
        <v>788</v>
      </c>
      <c r="C109" s="186">
        <f t="shared" si="7"/>
        <v>-14.893617021276595</v>
      </c>
      <c r="E109" s="182">
        <v>6</v>
      </c>
      <c r="F109" s="183">
        <v>12</v>
      </c>
      <c r="G109" s="191">
        <f t="shared" si="8"/>
        <v>-50</v>
      </c>
      <c r="H109" s="188">
        <f t="shared" si="9"/>
        <v>2.1214156914047308E-2</v>
      </c>
      <c r="I109" s="188">
        <f t="shared" si="10"/>
        <v>4.5998160073597055E-2</v>
      </c>
      <c r="J109" s="182">
        <v>40</v>
      </c>
      <c r="K109" s="183">
        <v>47</v>
      </c>
      <c r="L109" s="191">
        <f t="shared" si="11"/>
        <v>-14.893617021276595</v>
      </c>
      <c r="M109" s="188">
        <f t="shared" si="12"/>
        <v>2.8436760199910427E-2</v>
      </c>
      <c r="N109" s="189">
        <f t="shared" si="13"/>
        <v>3.2597689031917995E-2</v>
      </c>
    </row>
    <row r="110" spans="1:14" hidden="1" outlineLevel="1">
      <c r="A110" s="180"/>
      <c r="B110" s="190" t="s">
        <v>791</v>
      </c>
      <c r="C110" s="186">
        <f t="shared" si="7"/>
        <v>-7.8947368421052628</v>
      </c>
      <c r="E110" s="182">
        <v>1</v>
      </c>
      <c r="F110" s="183">
        <v>6</v>
      </c>
      <c r="G110" s="191">
        <f t="shared" si="8"/>
        <v>-83.333333333333343</v>
      </c>
      <c r="H110" s="188">
        <f t="shared" si="9"/>
        <v>3.5356928190078845E-3</v>
      </c>
      <c r="I110" s="188">
        <f t="shared" si="10"/>
        <v>2.2999080036798528E-2</v>
      </c>
      <c r="J110" s="182">
        <v>35</v>
      </c>
      <c r="K110" s="183">
        <v>38</v>
      </c>
      <c r="L110" s="191">
        <f t="shared" si="11"/>
        <v>-7.8947368421052628</v>
      </c>
      <c r="M110" s="188">
        <f t="shared" si="12"/>
        <v>2.488216517492162E-2</v>
      </c>
      <c r="N110" s="189">
        <f t="shared" si="13"/>
        <v>2.635557836623157E-2</v>
      </c>
    </row>
    <row r="111" spans="1:14" hidden="1" outlineLevel="1">
      <c r="A111" s="180"/>
      <c r="B111" s="190" t="s">
        <v>1176</v>
      </c>
      <c r="C111" s="186" t="str">
        <f t="shared" si="7"/>
        <v/>
      </c>
      <c r="E111" s="182">
        <v>13</v>
      </c>
      <c r="F111" s="183">
        <v>0</v>
      </c>
      <c r="G111" s="191" t="str">
        <f t="shared" si="8"/>
        <v/>
      </c>
      <c r="H111" s="188">
        <f t="shared" si="9"/>
        <v>4.5964006647102498E-2</v>
      </c>
      <c r="I111" s="188" t="str">
        <f t="shared" si="10"/>
        <v/>
      </c>
      <c r="J111" s="182">
        <v>32</v>
      </c>
      <c r="K111" s="183">
        <v>0</v>
      </c>
      <c r="L111" s="191" t="str">
        <f t="shared" si="11"/>
        <v/>
      </c>
      <c r="M111" s="188">
        <f t="shared" si="12"/>
        <v>2.274940815992834E-2</v>
      </c>
      <c r="N111" s="189" t="str">
        <f t="shared" si="13"/>
        <v/>
      </c>
    </row>
    <row r="112" spans="1:14" hidden="1" outlineLevel="1">
      <c r="A112" s="180"/>
      <c r="B112" s="190" t="s">
        <v>792</v>
      </c>
      <c r="C112" s="186">
        <f t="shared" si="7"/>
        <v>-32.432432432432435</v>
      </c>
      <c r="E112" s="182">
        <v>8</v>
      </c>
      <c r="F112" s="183">
        <v>8</v>
      </c>
      <c r="G112" s="191">
        <f t="shared" si="8"/>
        <v>0</v>
      </c>
      <c r="H112" s="188">
        <f t="shared" si="9"/>
        <v>2.8285542552063076E-2</v>
      </c>
      <c r="I112" s="188">
        <f t="shared" si="10"/>
        <v>3.0665440049064706E-2</v>
      </c>
      <c r="J112" s="182">
        <v>25</v>
      </c>
      <c r="K112" s="183">
        <v>37</v>
      </c>
      <c r="L112" s="191">
        <f t="shared" si="11"/>
        <v>-32.432432432432435</v>
      </c>
      <c r="M112" s="188">
        <f t="shared" si="12"/>
        <v>1.7772975124944017E-2</v>
      </c>
      <c r="N112" s="189">
        <f t="shared" si="13"/>
        <v>2.5662010514488635E-2</v>
      </c>
    </row>
    <row r="113" spans="1:14" hidden="1" outlineLevel="1">
      <c r="A113" s="180"/>
      <c r="B113" s="190" t="s">
        <v>790</v>
      </c>
      <c r="C113" s="186">
        <f t="shared" si="7"/>
        <v>-71.794871794871796</v>
      </c>
      <c r="E113" s="182">
        <v>1</v>
      </c>
      <c r="F113" s="183">
        <v>3</v>
      </c>
      <c r="G113" s="191">
        <f t="shared" si="8"/>
        <v>-66.666666666666657</v>
      </c>
      <c r="H113" s="188">
        <f t="shared" si="9"/>
        <v>3.5356928190078845E-3</v>
      </c>
      <c r="I113" s="188">
        <f t="shared" si="10"/>
        <v>1.1499540018399264E-2</v>
      </c>
      <c r="J113" s="182">
        <v>11</v>
      </c>
      <c r="K113" s="183">
        <v>39</v>
      </c>
      <c r="L113" s="191">
        <f t="shared" si="11"/>
        <v>-71.794871794871796</v>
      </c>
      <c r="M113" s="188">
        <f t="shared" si="12"/>
        <v>7.8201090549753667E-3</v>
      </c>
      <c r="N113" s="189">
        <f t="shared" si="13"/>
        <v>2.7049146217974503E-2</v>
      </c>
    </row>
    <row r="114" spans="1:14" hidden="1" outlineLevel="1">
      <c r="A114" s="180"/>
      <c r="B114" s="190" t="s">
        <v>1113</v>
      </c>
      <c r="C114" s="186">
        <f t="shared" si="7"/>
        <v>0</v>
      </c>
      <c r="E114" s="182">
        <v>3</v>
      </c>
      <c r="F114" s="183">
        <v>1</v>
      </c>
      <c r="G114" s="191">
        <f t="shared" si="8"/>
        <v>200</v>
      </c>
      <c r="H114" s="188">
        <f t="shared" si="9"/>
        <v>1.0607078457023654E-2</v>
      </c>
      <c r="I114" s="188">
        <f t="shared" si="10"/>
        <v>3.8331800061330882E-3</v>
      </c>
      <c r="J114" s="182">
        <v>7</v>
      </c>
      <c r="K114" s="183">
        <v>7</v>
      </c>
      <c r="L114" s="191">
        <f t="shared" si="11"/>
        <v>0</v>
      </c>
      <c r="M114" s="188">
        <f t="shared" si="12"/>
        <v>4.9764330349843242E-3</v>
      </c>
      <c r="N114" s="189">
        <f t="shared" si="13"/>
        <v>4.8549749622005516E-3</v>
      </c>
    </row>
    <row r="115" spans="1:14" hidden="1" outlineLevel="1">
      <c r="A115" s="180"/>
      <c r="B115" s="190" t="s">
        <v>793</v>
      </c>
      <c r="C115" s="186">
        <f t="shared" si="7"/>
        <v>-63.636363636363633</v>
      </c>
      <c r="E115" s="182">
        <v>0</v>
      </c>
      <c r="F115" s="183">
        <v>1</v>
      </c>
      <c r="G115" s="191">
        <f t="shared" si="8"/>
        <v>-100</v>
      </c>
      <c r="H115" s="188" t="str">
        <f t="shared" si="9"/>
        <v/>
      </c>
      <c r="I115" s="188">
        <f t="shared" si="10"/>
        <v>3.8331800061330882E-3</v>
      </c>
      <c r="J115" s="182">
        <v>4</v>
      </c>
      <c r="K115" s="183">
        <v>11</v>
      </c>
      <c r="L115" s="191">
        <f t="shared" si="11"/>
        <v>-63.636363636363633</v>
      </c>
      <c r="M115" s="188">
        <f t="shared" si="12"/>
        <v>2.8436760199910425E-3</v>
      </c>
      <c r="N115" s="189">
        <f t="shared" si="13"/>
        <v>7.6292463691722961E-3</v>
      </c>
    </row>
    <row r="116" spans="1:14" hidden="1" outlineLevel="1">
      <c r="A116" s="180"/>
      <c r="B116" s="190" t="s">
        <v>778</v>
      </c>
      <c r="C116" s="186">
        <f t="shared" si="7"/>
        <v>-99.84709480122325</v>
      </c>
      <c r="E116" s="182">
        <v>0</v>
      </c>
      <c r="F116" s="183">
        <v>29</v>
      </c>
      <c r="G116" s="191">
        <f t="shared" si="8"/>
        <v>-100</v>
      </c>
      <c r="H116" s="188" t="str">
        <f t="shared" si="9"/>
        <v/>
      </c>
      <c r="I116" s="188">
        <f t="shared" si="10"/>
        <v>0.11116222017785957</v>
      </c>
      <c r="J116" s="182">
        <v>2</v>
      </c>
      <c r="K116" s="183">
        <v>1308</v>
      </c>
      <c r="L116" s="191">
        <f t="shared" si="11"/>
        <v>-99.84709480122325</v>
      </c>
      <c r="M116" s="188">
        <f t="shared" si="12"/>
        <v>1.4218380099955213E-3</v>
      </c>
      <c r="N116" s="189">
        <f t="shared" si="13"/>
        <v>0.90718675007976035</v>
      </c>
    </row>
    <row r="117" spans="1:14" collapsed="1">
      <c r="A117" s="180" t="s">
        <v>1114</v>
      </c>
      <c r="B117" s="179" t="s">
        <v>379</v>
      </c>
      <c r="C117" s="186">
        <f t="shared" si="7"/>
        <v>-8.5162755488266466</v>
      </c>
      <c r="E117" s="182">
        <v>1531</v>
      </c>
      <c r="F117" s="183">
        <v>1882</v>
      </c>
      <c r="G117" s="191">
        <f t="shared" si="8"/>
        <v>-18.650371944739639</v>
      </c>
      <c r="H117" s="188">
        <f t="shared" si="9"/>
        <v>5.413145705901071</v>
      </c>
      <c r="I117" s="188">
        <f t="shared" si="10"/>
        <v>7.214044771542472</v>
      </c>
      <c r="J117" s="182">
        <v>7251</v>
      </c>
      <c r="K117" s="183">
        <v>7926</v>
      </c>
      <c r="L117" s="191">
        <f t="shared" si="11"/>
        <v>-8.5162755488266466</v>
      </c>
      <c r="M117" s="188">
        <f t="shared" si="12"/>
        <v>5.1548737052387619</v>
      </c>
      <c r="N117" s="189">
        <f t="shared" si="13"/>
        <v>5.4972187929145111</v>
      </c>
    </row>
    <row r="118" spans="1:14" hidden="1" outlineLevel="1">
      <c r="A118" s="180"/>
      <c r="B118" s="190" t="s">
        <v>795</v>
      </c>
      <c r="C118" s="186">
        <f t="shared" si="7"/>
        <v>-9.0163934426229506</v>
      </c>
      <c r="E118" s="182">
        <v>211</v>
      </c>
      <c r="F118" s="183">
        <v>273</v>
      </c>
      <c r="G118" s="191">
        <f t="shared" si="8"/>
        <v>-22.710622710622712</v>
      </c>
      <c r="H118" s="188">
        <f t="shared" si="9"/>
        <v>0.74603118481066366</v>
      </c>
      <c r="I118" s="188">
        <f t="shared" si="10"/>
        <v>1.046458141674333</v>
      </c>
      <c r="J118" s="182">
        <v>999</v>
      </c>
      <c r="K118" s="183">
        <v>1098</v>
      </c>
      <c r="L118" s="191">
        <f t="shared" si="11"/>
        <v>-9.0163934426229506</v>
      </c>
      <c r="M118" s="188">
        <f t="shared" si="12"/>
        <v>0.71020808599276286</v>
      </c>
      <c r="N118" s="189">
        <f t="shared" si="13"/>
        <v>0.76153750121374375</v>
      </c>
    </row>
    <row r="119" spans="1:14" hidden="1" outlineLevel="1">
      <c r="A119" s="180"/>
      <c r="B119" s="190" t="s">
        <v>794</v>
      </c>
      <c r="C119" s="186">
        <f t="shared" si="7"/>
        <v>-25.427872860635699</v>
      </c>
      <c r="E119" s="182">
        <v>203</v>
      </c>
      <c r="F119" s="183">
        <v>282</v>
      </c>
      <c r="G119" s="191">
        <f t="shared" si="8"/>
        <v>-28.01418439716312</v>
      </c>
      <c r="H119" s="188">
        <f t="shared" si="9"/>
        <v>0.7177456422586006</v>
      </c>
      <c r="I119" s="188">
        <f t="shared" si="10"/>
        <v>1.0809567617295308</v>
      </c>
      <c r="J119" s="182">
        <v>915</v>
      </c>
      <c r="K119" s="183">
        <v>1227</v>
      </c>
      <c r="L119" s="191">
        <f t="shared" si="11"/>
        <v>-25.427872860635699</v>
      </c>
      <c r="M119" s="188">
        <f t="shared" si="12"/>
        <v>0.65049088957295098</v>
      </c>
      <c r="N119" s="189">
        <f t="shared" si="13"/>
        <v>0.85100775408858254</v>
      </c>
    </row>
    <row r="120" spans="1:14" hidden="1" outlineLevel="1">
      <c r="A120" s="180"/>
      <c r="B120" s="190" t="s">
        <v>797</v>
      </c>
      <c r="C120" s="186">
        <f t="shared" si="7"/>
        <v>0.63211125158027814</v>
      </c>
      <c r="E120" s="182">
        <v>166</v>
      </c>
      <c r="F120" s="183">
        <v>183</v>
      </c>
      <c r="G120" s="191">
        <f t="shared" si="8"/>
        <v>-9.2896174863387984</v>
      </c>
      <c r="H120" s="188">
        <f t="shared" si="9"/>
        <v>0.58692500795530889</v>
      </c>
      <c r="I120" s="188">
        <f t="shared" si="10"/>
        <v>0.70147194112235511</v>
      </c>
      <c r="J120" s="182">
        <v>796</v>
      </c>
      <c r="K120" s="183">
        <v>791</v>
      </c>
      <c r="L120" s="191">
        <f t="shared" si="11"/>
        <v>0.63211125158027814</v>
      </c>
      <c r="M120" s="188">
        <f t="shared" si="12"/>
        <v>0.5658915279782174</v>
      </c>
      <c r="N120" s="189">
        <f t="shared" si="13"/>
        <v>0.54861217072866231</v>
      </c>
    </row>
    <row r="121" spans="1:14" hidden="1" outlineLevel="1">
      <c r="A121" s="180"/>
      <c r="B121" s="190" t="s">
        <v>800</v>
      </c>
      <c r="C121" s="186">
        <f t="shared" si="7"/>
        <v>77.077363896848141</v>
      </c>
      <c r="E121" s="182">
        <v>157</v>
      </c>
      <c r="F121" s="183">
        <v>165</v>
      </c>
      <c r="G121" s="191">
        <f t="shared" si="8"/>
        <v>-4.8484848484848486</v>
      </c>
      <c r="H121" s="188">
        <f t="shared" si="9"/>
        <v>0.55510377258423793</v>
      </c>
      <c r="I121" s="188">
        <f t="shared" si="10"/>
        <v>0.63247470101195957</v>
      </c>
      <c r="J121" s="182">
        <v>618</v>
      </c>
      <c r="K121" s="183">
        <v>349</v>
      </c>
      <c r="L121" s="191">
        <f t="shared" si="11"/>
        <v>77.077363896848141</v>
      </c>
      <c r="M121" s="188">
        <f t="shared" si="12"/>
        <v>0.43934794508861608</v>
      </c>
      <c r="N121" s="189">
        <f t="shared" si="13"/>
        <v>0.24205518025828465</v>
      </c>
    </row>
    <row r="122" spans="1:14" hidden="1" outlineLevel="1">
      <c r="A122" s="180"/>
      <c r="B122" s="190" t="s">
        <v>799</v>
      </c>
      <c r="C122" s="186">
        <f t="shared" si="7"/>
        <v>4.5372050816696916</v>
      </c>
      <c r="E122" s="182">
        <v>91</v>
      </c>
      <c r="F122" s="183">
        <v>143</v>
      </c>
      <c r="G122" s="191">
        <f t="shared" si="8"/>
        <v>-36.363636363636367</v>
      </c>
      <c r="H122" s="188">
        <f t="shared" si="9"/>
        <v>0.3217480465297175</v>
      </c>
      <c r="I122" s="188">
        <f t="shared" si="10"/>
        <v>0.54814474087703158</v>
      </c>
      <c r="J122" s="182">
        <v>576</v>
      </c>
      <c r="K122" s="183">
        <v>551</v>
      </c>
      <c r="L122" s="191">
        <f t="shared" si="11"/>
        <v>4.5372050816696916</v>
      </c>
      <c r="M122" s="188">
        <f t="shared" si="12"/>
        <v>0.40948934687871008</v>
      </c>
      <c r="N122" s="189">
        <f t="shared" si="13"/>
        <v>0.38215588631035774</v>
      </c>
    </row>
    <row r="123" spans="1:14" hidden="1" outlineLevel="1">
      <c r="A123" s="180"/>
      <c r="B123" s="190" t="s">
        <v>805</v>
      </c>
      <c r="C123" s="186">
        <f t="shared" si="7"/>
        <v>81.092436974789919</v>
      </c>
      <c r="E123" s="182">
        <v>102</v>
      </c>
      <c r="F123" s="183">
        <v>31</v>
      </c>
      <c r="G123" s="191">
        <f t="shared" si="8"/>
        <v>229.03225806451616</v>
      </c>
      <c r="H123" s="188">
        <f t="shared" si="9"/>
        <v>0.36064066753880425</v>
      </c>
      <c r="I123" s="188">
        <f t="shared" si="10"/>
        <v>0.11882858019012572</v>
      </c>
      <c r="J123" s="182">
        <v>431</v>
      </c>
      <c r="K123" s="183">
        <v>238</v>
      </c>
      <c r="L123" s="191">
        <f t="shared" si="11"/>
        <v>81.092436974789919</v>
      </c>
      <c r="M123" s="188">
        <f t="shared" si="12"/>
        <v>0.30640609115403483</v>
      </c>
      <c r="N123" s="189">
        <f t="shared" si="13"/>
        <v>0.16506914871481879</v>
      </c>
    </row>
    <row r="124" spans="1:14" hidden="1" outlineLevel="1">
      <c r="A124" s="180"/>
      <c r="B124" s="190" t="s">
        <v>801</v>
      </c>
      <c r="C124" s="186">
        <f t="shared" si="7"/>
        <v>33.438485804416402</v>
      </c>
      <c r="E124" s="182">
        <v>145</v>
      </c>
      <c r="F124" s="183">
        <v>113</v>
      </c>
      <c r="G124" s="191">
        <f t="shared" si="8"/>
        <v>28.318584070796462</v>
      </c>
      <c r="H124" s="188">
        <f t="shared" si="9"/>
        <v>0.51267545875614329</v>
      </c>
      <c r="I124" s="188">
        <f t="shared" si="10"/>
        <v>0.4331493406930389</v>
      </c>
      <c r="J124" s="182">
        <v>423</v>
      </c>
      <c r="K124" s="183">
        <v>317</v>
      </c>
      <c r="L124" s="191">
        <f t="shared" si="11"/>
        <v>33.438485804416402</v>
      </c>
      <c r="M124" s="188">
        <f t="shared" si="12"/>
        <v>0.30071873911405272</v>
      </c>
      <c r="N124" s="189">
        <f t="shared" si="13"/>
        <v>0.21986100900251074</v>
      </c>
    </row>
    <row r="125" spans="1:14" hidden="1" outlineLevel="1">
      <c r="A125" s="180"/>
      <c r="B125" s="190" t="s">
        <v>798</v>
      </c>
      <c r="C125" s="186">
        <f t="shared" si="7"/>
        <v>-45.65537555228277</v>
      </c>
      <c r="E125" s="182">
        <v>54</v>
      </c>
      <c r="F125" s="183">
        <v>89</v>
      </c>
      <c r="G125" s="191">
        <f t="shared" si="8"/>
        <v>-39.325842696629216</v>
      </c>
      <c r="H125" s="188">
        <f t="shared" si="9"/>
        <v>0.19092741222642576</v>
      </c>
      <c r="I125" s="188">
        <f t="shared" si="10"/>
        <v>0.34115302054584484</v>
      </c>
      <c r="J125" s="182">
        <v>369</v>
      </c>
      <c r="K125" s="183">
        <v>679</v>
      </c>
      <c r="L125" s="191">
        <f t="shared" si="11"/>
        <v>-45.65537555228277</v>
      </c>
      <c r="M125" s="188">
        <f t="shared" si="12"/>
        <v>0.26232911284417365</v>
      </c>
      <c r="N125" s="189">
        <f t="shared" si="13"/>
        <v>0.47093257133345356</v>
      </c>
    </row>
    <row r="126" spans="1:14" hidden="1" outlineLevel="1">
      <c r="A126" s="180"/>
      <c r="B126" s="190" t="s">
        <v>796</v>
      </c>
      <c r="C126" s="186">
        <f t="shared" si="7"/>
        <v>-58.82352941176471</v>
      </c>
      <c r="E126" s="182">
        <v>76</v>
      </c>
      <c r="F126" s="183">
        <v>227</v>
      </c>
      <c r="G126" s="191">
        <f t="shared" si="8"/>
        <v>-66.519823788546248</v>
      </c>
      <c r="H126" s="188">
        <f t="shared" si="9"/>
        <v>0.26871265424459922</v>
      </c>
      <c r="I126" s="188">
        <f t="shared" si="10"/>
        <v>0.8701318613922111</v>
      </c>
      <c r="J126" s="182">
        <v>329</v>
      </c>
      <c r="K126" s="183">
        <v>799</v>
      </c>
      <c r="L126" s="191">
        <f t="shared" si="11"/>
        <v>-58.82352941176471</v>
      </c>
      <c r="M126" s="188">
        <f t="shared" si="12"/>
        <v>0.23389235264426322</v>
      </c>
      <c r="N126" s="189">
        <f t="shared" si="13"/>
        <v>0.55416071354260588</v>
      </c>
    </row>
    <row r="127" spans="1:14" hidden="1" outlineLevel="1">
      <c r="A127" s="180"/>
      <c r="B127" s="190" t="s">
        <v>802</v>
      </c>
      <c r="C127" s="186">
        <f t="shared" si="7"/>
        <v>-3.9215686274509802</v>
      </c>
      <c r="E127" s="182">
        <v>46</v>
      </c>
      <c r="F127" s="183">
        <v>44</v>
      </c>
      <c r="G127" s="191">
        <f t="shared" si="8"/>
        <v>4.5454545454545459</v>
      </c>
      <c r="H127" s="188">
        <f t="shared" si="9"/>
        <v>0.1626418696743627</v>
      </c>
      <c r="I127" s="188">
        <f t="shared" si="10"/>
        <v>0.16865992026985588</v>
      </c>
      <c r="J127" s="182">
        <v>294</v>
      </c>
      <c r="K127" s="183">
        <v>306</v>
      </c>
      <c r="L127" s="191">
        <f t="shared" si="11"/>
        <v>-3.9215686274509802</v>
      </c>
      <c r="M127" s="188">
        <f t="shared" si="12"/>
        <v>0.20901018746934164</v>
      </c>
      <c r="N127" s="189">
        <f t="shared" si="13"/>
        <v>0.21223176263333843</v>
      </c>
    </row>
    <row r="128" spans="1:14" hidden="1" outlineLevel="1">
      <c r="A128" s="180"/>
      <c r="B128" s="190" t="s">
        <v>806</v>
      </c>
      <c r="C128" s="186">
        <f t="shared" si="7"/>
        <v>26.576576576576578</v>
      </c>
      <c r="E128" s="182">
        <v>67</v>
      </c>
      <c r="F128" s="183">
        <v>77</v>
      </c>
      <c r="G128" s="191">
        <f t="shared" si="8"/>
        <v>-12.987012987012985</v>
      </c>
      <c r="H128" s="188">
        <f t="shared" si="9"/>
        <v>0.23689141887352827</v>
      </c>
      <c r="I128" s="188">
        <f t="shared" si="10"/>
        <v>0.29515486047224776</v>
      </c>
      <c r="J128" s="182">
        <v>281</v>
      </c>
      <c r="K128" s="183">
        <v>222</v>
      </c>
      <c r="L128" s="191">
        <f t="shared" si="11"/>
        <v>26.576576576576578</v>
      </c>
      <c r="M128" s="188">
        <f t="shared" si="12"/>
        <v>0.19976824040437072</v>
      </c>
      <c r="N128" s="189">
        <f t="shared" si="13"/>
        <v>0.15397206308693179</v>
      </c>
    </row>
    <row r="129" spans="1:14" hidden="1" outlineLevel="1">
      <c r="A129" s="180"/>
      <c r="B129" s="190" t="s">
        <v>803</v>
      </c>
      <c r="C129" s="186">
        <f t="shared" si="7"/>
        <v>-10.452961672473867</v>
      </c>
      <c r="E129" s="182">
        <v>50</v>
      </c>
      <c r="F129" s="183">
        <v>69</v>
      </c>
      <c r="G129" s="191">
        <f t="shared" si="8"/>
        <v>-27.536231884057973</v>
      </c>
      <c r="H129" s="188">
        <f t="shared" si="9"/>
        <v>0.17678464095039423</v>
      </c>
      <c r="I129" s="188">
        <f t="shared" si="10"/>
        <v>0.26448942042318307</v>
      </c>
      <c r="J129" s="182">
        <v>257</v>
      </c>
      <c r="K129" s="183">
        <v>287</v>
      </c>
      <c r="L129" s="191">
        <f t="shared" si="11"/>
        <v>-10.452961672473867</v>
      </c>
      <c r="M129" s="188">
        <f t="shared" si="12"/>
        <v>0.18270618428442448</v>
      </c>
      <c r="N129" s="189">
        <f t="shared" si="13"/>
        <v>0.19905397345022263</v>
      </c>
    </row>
    <row r="130" spans="1:14" hidden="1" outlineLevel="1">
      <c r="A130" s="180"/>
      <c r="B130" s="190" t="s">
        <v>804</v>
      </c>
      <c r="C130" s="186">
        <f t="shared" si="7"/>
        <v>-18.411552346570399</v>
      </c>
      <c r="E130" s="182">
        <v>41</v>
      </c>
      <c r="F130" s="183">
        <v>47</v>
      </c>
      <c r="G130" s="191">
        <f t="shared" si="8"/>
        <v>-12.76595744680851</v>
      </c>
      <c r="H130" s="188">
        <f t="shared" si="9"/>
        <v>0.14496340557932327</v>
      </c>
      <c r="I130" s="188">
        <f t="shared" si="10"/>
        <v>0.18015946028825514</v>
      </c>
      <c r="J130" s="182">
        <v>226</v>
      </c>
      <c r="K130" s="183">
        <v>277</v>
      </c>
      <c r="L130" s="191">
        <f t="shared" si="11"/>
        <v>-18.411552346570399</v>
      </c>
      <c r="M130" s="188">
        <f t="shared" si="12"/>
        <v>0.16066769512949389</v>
      </c>
      <c r="N130" s="189">
        <f t="shared" si="13"/>
        <v>0.19211829493279325</v>
      </c>
    </row>
    <row r="131" spans="1:14" hidden="1" outlineLevel="1">
      <c r="A131" s="180"/>
      <c r="B131" s="190" t="s">
        <v>808</v>
      </c>
      <c r="C131" s="186">
        <f t="shared" si="7"/>
        <v>-1.5625</v>
      </c>
      <c r="E131" s="182">
        <v>15</v>
      </c>
      <c r="F131" s="183">
        <v>18</v>
      </c>
      <c r="G131" s="191">
        <f t="shared" si="8"/>
        <v>-16.666666666666664</v>
      </c>
      <c r="H131" s="188">
        <f t="shared" si="9"/>
        <v>5.3035392285118277E-2</v>
      </c>
      <c r="I131" s="188">
        <f t="shared" si="10"/>
        <v>6.8997240110395583E-2</v>
      </c>
      <c r="J131" s="182">
        <v>126</v>
      </c>
      <c r="K131" s="183">
        <v>128</v>
      </c>
      <c r="L131" s="191">
        <f t="shared" si="11"/>
        <v>-1.5625</v>
      </c>
      <c r="M131" s="188">
        <f t="shared" si="12"/>
        <v>8.9575794629717834E-2</v>
      </c>
      <c r="N131" s="189">
        <f t="shared" si="13"/>
        <v>8.8776685023095811E-2</v>
      </c>
    </row>
    <row r="132" spans="1:14" hidden="1" outlineLevel="1">
      <c r="A132" s="180"/>
      <c r="B132" s="190" t="s">
        <v>809</v>
      </c>
      <c r="C132" s="186">
        <f t="shared" si="7"/>
        <v>-6.666666666666667</v>
      </c>
      <c r="E132" s="182">
        <v>11</v>
      </c>
      <c r="F132" s="183">
        <v>17</v>
      </c>
      <c r="G132" s="191">
        <f t="shared" si="8"/>
        <v>-35.294117647058826</v>
      </c>
      <c r="H132" s="188">
        <f t="shared" si="9"/>
        <v>3.8892621009086727E-2</v>
      </c>
      <c r="I132" s="188">
        <f t="shared" si="10"/>
        <v>6.5164060104262497E-2</v>
      </c>
      <c r="J132" s="182">
        <v>98</v>
      </c>
      <c r="K132" s="183">
        <v>105</v>
      </c>
      <c r="L132" s="191">
        <f t="shared" si="11"/>
        <v>-6.666666666666667</v>
      </c>
      <c r="M132" s="188">
        <f t="shared" si="12"/>
        <v>6.967006248978054E-2</v>
      </c>
      <c r="N132" s="189">
        <f t="shared" si="13"/>
        <v>7.2824624433008286E-2</v>
      </c>
    </row>
    <row r="133" spans="1:14" hidden="1" outlineLevel="1">
      <c r="A133" s="180"/>
      <c r="B133" s="190" t="s">
        <v>810</v>
      </c>
      <c r="C133" s="186">
        <f t="shared" si="7"/>
        <v>-5.1020408163265305</v>
      </c>
      <c r="E133" s="182">
        <v>13</v>
      </c>
      <c r="F133" s="183">
        <v>21</v>
      </c>
      <c r="G133" s="191">
        <f t="shared" si="8"/>
        <v>-38.095238095238095</v>
      </c>
      <c r="H133" s="188">
        <f t="shared" si="9"/>
        <v>4.5964006647102498E-2</v>
      </c>
      <c r="I133" s="188">
        <f t="shared" si="10"/>
        <v>8.0496780128794854E-2</v>
      </c>
      <c r="J133" s="182">
        <v>93</v>
      </c>
      <c r="K133" s="183">
        <v>98</v>
      </c>
      <c r="L133" s="191">
        <f t="shared" si="11"/>
        <v>-5.1020408163265305</v>
      </c>
      <c r="M133" s="188">
        <f t="shared" si="12"/>
        <v>6.611546746479173E-2</v>
      </c>
      <c r="N133" s="189">
        <f t="shared" si="13"/>
        <v>6.7969649470807733E-2</v>
      </c>
    </row>
    <row r="134" spans="1:14" hidden="1" outlineLevel="1">
      <c r="A134" s="180"/>
      <c r="B134" s="190" t="s">
        <v>812</v>
      </c>
      <c r="C134" s="186">
        <f t="shared" si="7"/>
        <v>17.142857142857142</v>
      </c>
      <c r="E134" s="182">
        <v>16</v>
      </c>
      <c r="F134" s="183">
        <v>9</v>
      </c>
      <c r="G134" s="191">
        <f t="shared" si="8"/>
        <v>77.777777777777786</v>
      </c>
      <c r="H134" s="188">
        <f t="shared" si="9"/>
        <v>5.6571085104126152E-2</v>
      </c>
      <c r="I134" s="188">
        <f t="shared" si="10"/>
        <v>3.4498620055197791E-2</v>
      </c>
      <c r="J134" s="182">
        <v>82</v>
      </c>
      <c r="K134" s="183">
        <v>70</v>
      </c>
      <c r="L134" s="191">
        <f t="shared" si="11"/>
        <v>17.142857142857142</v>
      </c>
      <c r="M134" s="188">
        <f t="shared" si="12"/>
        <v>5.8295358409816367E-2</v>
      </c>
      <c r="N134" s="189">
        <f t="shared" si="13"/>
        <v>4.854974962200552E-2</v>
      </c>
    </row>
    <row r="135" spans="1:14" hidden="1" outlineLevel="1">
      <c r="A135" s="180"/>
      <c r="B135" s="190" t="s">
        <v>817</v>
      </c>
      <c r="C135" s="186">
        <f t="shared" si="7"/>
        <v>1480</v>
      </c>
      <c r="E135" s="182">
        <v>33</v>
      </c>
      <c r="F135" s="183">
        <v>1</v>
      </c>
      <c r="G135" s="191">
        <f t="shared" si="8"/>
        <v>3200</v>
      </c>
      <c r="H135" s="188">
        <f t="shared" si="9"/>
        <v>0.1166778630272602</v>
      </c>
      <c r="I135" s="188">
        <f t="shared" si="10"/>
        <v>3.8331800061330882E-3</v>
      </c>
      <c r="J135" s="182">
        <v>79</v>
      </c>
      <c r="K135" s="183">
        <v>5</v>
      </c>
      <c r="L135" s="191">
        <f t="shared" si="11"/>
        <v>1480</v>
      </c>
      <c r="M135" s="188">
        <f t="shared" si="12"/>
        <v>5.616260139482309E-2</v>
      </c>
      <c r="N135" s="189">
        <f t="shared" si="13"/>
        <v>3.4678392587146802E-3</v>
      </c>
    </row>
    <row r="136" spans="1:14" hidden="1" outlineLevel="1">
      <c r="A136" s="180"/>
      <c r="B136" s="190" t="s">
        <v>814</v>
      </c>
      <c r="C136" s="186">
        <f t="shared" si="7"/>
        <v>62.222222222222221</v>
      </c>
      <c r="E136" s="182">
        <v>10</v>
      </c>
      <c r="F136" s="183">
        <v>12</v>
      </c>
      <c r="G136" s="191">
        <f t="shared" si="8"/>
        <v>-16.666666666666664</v>
      </c>
      <c r="H136" s="188">
        <f t="shared" si="9"/>
        <v>3.5356928190078844E-2</v>
      </c>
      <c r="I136" s="188">
        <f t="shared" si="10"/>
        <v>4.5998160073597055E-2</v>
      </c>
      <c r="J136" s="182">
        <v>73</v>
      </c>
      <c r="K136" s="183">
        <v>45</v>
      </c>
      <c r="L136" s="191">
        <f t="shared" si="11"/>
        <v>62.222222222222221</v>
      </c>
      <c r="M136" s="188">
        <f t="shared" si="12"/>
        <v>5.1897087364836524E-2</v>
      </c>
      <c r="N136" s="189">
        <f t="shared" si="13"/>
        <v>3.1210553328432117E-2</v>
      </c>
    </row>
    <row r="137" spans="1:14" hidden="1" outlineLevel="1">
      <c r="A137" s="180"/>
      <c r="B137" s="190" t="s">
        <v>813</v>
      </c>
      <c r="C137" s="186">
        <f t="shared" si="7"/>
        <v>-14.754098360655737</v>
      </c>
      <c r="E137" s="182">
        <v>11</v>
      </c>
      <c r="F137" s="183">
        <v>27</v>
      </c>
      <c r="G137" s="191">
        <f t="shared" si="8"/>
        <v>-59.259259259259252</v>
      </c>
      <c r="H137" s="188">
        <f t="shared" si="9"/>
        <v>3.8892621009086727E-2</v>
      </c>
      <c r="I137" s="188">
        <f t="shared" si="10"/>
        <v>0.10349586016559337</v>
      </c>
      <c r="J137" s="182">
        <v>52</v>
      </c>
      <c r="K137" s="183">
        <v>61</v>
      </c>
      <c r="L137" s="191">
        <f t="shared" si="11"/>
        <v>-14.754098360655737</v>
      </c>
      <c r="M137" s="188">
        <f t="shared" si="12"/>
        <v>3.6967788259883547E-2</v>
      </c>
      <c r="N137" s="189">
        <f t="shared" si="13"/>
        <v>4.2307638956319102E-2</v>
      </c>
    </row>
    <row r="138" spans="1:14" hidden="1" outlineLevel="1">
      <c r="A138" s="180"/>
      <c r="B138" s="190" t="s">
        <v>816</v>
      </c>
      <c r="C138" s="186">
        <f t="shared" ref="C138:C201" si="14">IF(K138=0,"",SUM(((J138-K138)/K138)*100))</f>
        <v>83.333333333333343</v>
      </c>
      <c r="E138" s="182">
        <v>4</v>
      </c>
      <c r="F138" s="183">
        <v>2</v>
      </c>
      <c r="G138" s="191">
        <f t="shared" ref="G138:G201" si="15">IF(F138=0,"",SUM(((E138-F138)/F138)*100))</f>
        <v>100</v>
      </c>
      <c r="H138" s="188">
        <f t="shared" ref="H138:H201" si="16">IF(E138=0,"",SUM((E138/CntPeriod)*100))</f>
        <v>1.4142771276031538E-2</v>
      </c>
      <c r="I138" s="188">
        <f t="shared" ref="I138:I201" si="17">IF(F138=0,"",SUM((F138/CntPeriodPrevYear)*100))</f>
        <v>7.6663600122661765E-3</v>
      </c>
      <c r="J138" s="182">
        <v>44</v>
      </c>
      <c r="K138" s="183">
        <v>24</v>
      </c>
      <c r="L138" s="191">
        <f t="shared" ref="L138:L201" si="18">IF(K138=0,"",SUM(((J138-K138)/K138)*100))</f>
        <v>83.333333333333343</v>
      </c>
      <c r="M138" s="188">
        <f t="shared" ref="M138:M201" si="19">IF(J138=0,"",SUM((J138/CntYearAck)*100))</f>
        <v>3.1280436219901467E-2</v>
      </c>
      <c r="N138" s="189">
        <f t="shared" ref="N138:N201" si="20">IF(K138=0,"",SUM((K138/CntPrevYearAck)*100))</f>
        <v>1.6645628441830464E-2</v>
      </c>
    </row>
    <row r="139" spans="1:14" hidden="1" outlineLevel="1">
      <c r="A139" s="180"/>
      <c r="B139" s="190" t="s">
        <v>807</v>
      </c>
      <c r="C139" s="186">
        <f t="shared" si="14"/>
        <v>-76.153846153846146</v>
      </c>
      <c r="E139" s="182">
        <v>2</v>
      </c>
      <c r="F139" s="183">
        <v>11</v>
      </c>
      <c r="G139" s="191">
        <f t="shared" si="15"/>
        <v>-81.818181818181827</v>
      </c>
      <c r="H139" s="188">
        <f t="shared" si="16"/>
        <v>7.071385638015769E-3</v>
      </c>
      <c r="I139" s="188">
        <f t="shared" si="17"/>
        <v>4.216498006746397E-2</v>
      </c>
      <c r="J139" s="182">
        <v>31</v>
      </c>
      <c r="K139" s="183">
        <v>130</v>
      </c>
      <c r="L139" s="191">
        <f t="shared" si="18"/>
        <v>-76.153846153846146</v>
      </c>
      <c r="M139" s="188">
        <f t="shared" si="19"/>
        <v>2.203848915493058E-2</v>
      </c>
      <c r="N139" s="189">
        <f t="shared" si="20"/>
        <v>9.0163820726581675E-2</v>
      </c>
    </row>
    <row r="140" spans="1:14" hidden="1" outlineLevel="1">
      <c r="A140" s="180"/>
      <c r="B140" s="190" t="s">
        <v>811</v>
      </c>
      <c r="C140" s="186">
        <f t="shared" si="14"/>
        <v>-75.531914893617028</v>
      </c>
      <c r="E140" s="182">
        <v>2</v>
      </c>
      <c r="F140" s="183">
        <v>17</v>
      </c>
      <c r="G140" s="191">
        <f t="shared" si="15"/>
        <v>-88.235294117647058</v>
      </c>
      <c r="H140" s="188">
        <f t="shared" si="16"/>
        <v>7.071385638015769E-3</v>
      </c>
      <c r="I140" s="188">
        <f t="shared" si="17"/>
        <v>6.5164060104262497E-2</v>
      </c>
      <c r="J140" s="182">
        <v>23</v>
      </c>
      <c r="K140" s="183">
        <v>94</v>
      </c>
      <c r="L140" s="191">
        <f t="shared" si="18"/>
        <v>-75.531914893617028</v>
      </c>
      <c r="M140" s="188">
        <f t="shared" si="19"/>
        <v>1.6351137114948497E-2</v>
      </c>
      <c r="N140" s="189">
        <f t="shared" si="20"/>
        <v>6.519537806383599E-2</v>
      </c>
    </row>
    <row r="141" spans="1:14" hidden="1" outlineLevel="1">
      <c r="A141" s="180"/>
      <c r="B141" s="190" t="s">
        <v>815</v>
      </c>
      <c r="C141" s="186">
        <f t="shared" si="14"/>
        <v>-24</v>
      </c>
      <c r="E141" s="182">
        <v>3</v>
      </c>
      <c r="F141" s="183">
        <v>4</v>
      </c>
      <c r="G141" s="191">
        <f t="shared" si="15"/>
        <v>-25</v>
      </c>
      <c r="H141" s="188">
        <f t="shared" si="16"/>
        <v>1.0607078457023654E-2</v>
      </c>
      <c r="I141" s="188">
        <f t="shared" si="17"/>
        <v>1.5332720024532353E-2</v>
      </c>
      <c r="J141" s="182">
        <v>19</v>
      </c>
      <c r="K141" s="183">
        <v>25</v>
      </c>
      <c r="L141" s="191">
        <f t="shared" si="18"/>
        <v>-24</v>
      </c>
      <c r="M141" s="188">
        <f t="shared" si="19"/>
        <v>1.3507461094957452E-2</v>
      </c>
      <c r="N141" s="189">
        <f t="shared" si="20"/>
        <v>1.7339196293573399E-2</v>
      </c>
    </row>
    <row r="142" spans="1:14" hidden="1" outlineLevel="1">
      <c r="A142" s="180"/>
      <c r="B142" s="190" t="s">
        <v>989</v>
      </c>
      <c r="C142" s="186" t="str">
        <f t="shared" si="14"/>
        <v/>
      </c>
      <c r="E142" s="182">
        <v>2</v>
      </c>
      <c r="F142" s="183">
        <v>0</v>
      </c>
      <c r="G142" s="191" t="str">
        <f t="shared" si="15"/>
        <v/>
      </c>
      <c r="H142" s="188">
        <f t="shared" si="16"/>
        <v>7.071385638015769E-3</v>
      </c>
      <c r="I142" s="188" t="str">
        <f t="shared" si="17"/>
        <v/>
      </c>
      <c r="J142" s="182">
        <v>17</v>
      </c>
      <c r="K142" s="183">
        <v>0</v>
      </c>
      <c r="L142" s="191" t="str">
        <f t="shared" si="18"/>
        <v/>
      </c>
      <c r="M142" s="188">
        <f t="shared" si="19"/>
        <v>1.208562308496193E-2</v>
      </c>
      <c r="N142" s="189" t="str">
        <f t="shared" si="20"/>
        <v/>
      </c>
    </row>
    <row r="143" spans="1:14" collapsed="1">
      <c r="A143" s="180" t="s">
        <v>1252</v>
      </c>
      <c r="B143" s="179" t="s">
        <v>289</v>
      </c>
      <c r="C143" s="186">
        <f t="shared" si="14"/>
        <v>13.998952696805725</v>
      </c>
      <c r="E143" s="182">
        <v>1444</v>
      </c>
      <c r="F143" s="183">
        <v>1251</v>
      </c>
      <c r="G143" s="191">
        <f t="shared" si="15"/>
        <v>15.42765787370104</v>
      </c>
      <c r="H143" s="188">
        <f t="shared" si="16"/>
        <v>5.1055404306473848</v>
      </c>
      <c r="I143" s="188">
        <f t="shared" si="17"/>
        <v>4.795308187672493</v>
      </c>
      <c r="J143" s="182">
        <v>6531</v>
      </c>
      <c r="K143" s="183">
        <v>5729</v>
      </c>
      <c r="L143" s="191">
        <f t="shared" si="18"/>
        <v>13.998952696805725</v>
      </c>
      <c r="M143" s="188">
        <f t="shared" si="19"/>
        <v>4.6430120216403745</v>
      </c>
      <c r="N143" s="189">
        <f t="shared" si="20"/>
        <v>3.9734502226352801</v>
      </c>
    </row>
    <row r="144" spans="1:14" hidden="1" outlineLevel="1">
      <c r="A144" s="180"/>
      <c r="B144" s="190" t="s">
        <v>838</v>
      </c>
      <c r="C144" s="186">
        <f t="shared" si="14"/>
        <v>25.524475524475527</v>
      </c>
      <c r="E144" s="182">
        <v>479</v>
      </c>
      <c r="F144" s="183">
        <v>526</v>
      </c>
      <c r="G144" s="191">
        <f t="shared" si="15"/>
        <v>-8.9353612167300387</v>
      </c>
      <c r="H144" s="188">
        <f t="shared" si="16"/>
        <v>1.6935968603047766</v>
      </c>
      <c r="I144" s="188">
        <f t="shared" si="17"/>
        <v>2.0162526832260044</v>
      </c>
      <c r="J144" s="182">
        <v>2154</v>
      </c>
      <c r="K144" s="183">
        <v>1716</v>
      </c>
      <c r="L144" s="191">
        <f t="shared" si="18"/>
        <v>25.524475524475527</v>
      </c>
      <c r="M144" s="188">
        <f t="shared" si="19"/>
        <v>1.5313195367651764</v>
      </c>
      <c r="N144" s="189">
        <f t="shared" si="20"/>
        <v>1.190162433590878</v>
      </c>
    </row>
    <row r="145" spans="1:14" hidden="1" outlineLevel="1">
      <c r="A145" s="180"/>
      <c r="B145" s="190" t="s">
        <v>839</v>
      </c>
      <c r="C145" s="186">
        <f t="shared" si="14"/>
        <v>4.852686308492201</v>
      </c>
      <c r="E145" s="182">
        <v>241</v>
      </c>
      <c r="F145" s="183">
        <v>191</v>
      </c>
      <c r="G145" s="191">
        <f t="shared" si="15"/>
        <v>26.178010471204189</v>
      </c>
      <c r="H145" s="188">
        <f t="shared" si="16"/>
        <v>0.8521019693809001</v>
      </c>
      <c r="I145" s="188">
        <f t="shared" si="17"/>
        <v>0.7321373811714198</v>
      </c>
      <c r="J145" s="182">
        <v>1210</v>
      </c>
      <c r="K145" s="183">
        <v>1154</v>
      </c>
      <c r="L145" s="191">
        <f t="shared" si="18"/>
        <v>4.852686308492201</v>
      </c>
      <c r="M145" s="188">
        <f t="shared" si="19"/>
        <v>0.86021199604729026</v>
      </c>
      <c r="N145" s="189">
        <f t="shared" si="20"/>
        <v>0.80037730091134818</v>
      </c>
    </row>
    <row r="146" spans="1:14" hidden="1" outlineLevel="1">
      <c r="A146" s="180"/>
      <c r="B146" s="190" t="s">
        <v>840</v>
      </c>
      <c r="C146" s="186">
        <f t="shared" si="14"/>
        <v>-10.754912099276112</v>
      </c>
      <c r="E146" s="182">
        <v>267</v>
      </c>
      <c r="F146" s="183">
        <v>221</v>
      </c>
      <c r="G146" s="191">
        <f t="shared" si="15"/>
        <v>20.81447963800905</v>
      </c>
      <c r="H146" s="188">
        <f t="shared" si="16"/>
        <v>0.94402998267510518</v>
      </c>
      <c r="I146" s="188">
        <f t="shared" si="17"/>
        <v>0.84713278135541237</v>
      </c>
      <c r="J146" s="182">
        <v>863</v>
      </c>
      <c r="K146" s="183">
        <v>967</v>
      </c>
      <c r="L146" s="191">
        <f t="shared" si="18"/>
        <v>-10.754912099276112</v>
      </c>
      <c r="M146" s="188">
        <f t="shared" si="19"/>
        <v>0.61352310131306742</v>
      </c>
      <c r="N146" s="189">
        <f t="shared" si="20"/>
        <v>0.67068011263541916</v>
      </c>
    </row>
    <row r="147" spans="1:14" hidden="1" outlineLevel="1">
      <c r="A147" s="180"/>
      <c r="B147" s="190" t="s">
        <v>842</v>
      </c>
      <c r="C147" s="186">
        <f t="shared" si="14"/>
        <v>27.902621722846444</v>
      </c>
      <c r="E147" s="182">
        <v>131</v>
      </c>
      <c r="F147" s="183">
        <v>91</v>
      </c>
      <c r="G147" s="191">
        <f t="shared" si="15"/>
        <v>43.956043956043956</v>
      </c>
      <c r="H147" s="188">
        <f t="shared" si="16"/>
        <v>0.46317575929003291</v>
      </c>
      <c r="I147" s="188">
        <f t="shared" si="17"/>
        <v>0.34881938055811101</v>
      </c>
      <c r="J147" s="182">
        <v>683</v>
      </c>
      <c r="K147" s="183">
        <v>534</v>
      </c>
      <c r="L147" s="191">
        <f t="shared" si="18"/>
        <v>27.902621722846444</v>
      </c>
      <c r="M147" s="188">
        <f t="shared" si="19"/>
        <v>0.48555768041347053</v>
      </c>
      <c r="N147" s="189">
        <f t="shared" si="20"/>
        <v>0.37036523283072786</v>
      </c>
    </row>
    <row r="148" spans="1:14" hidden="1" outlineLevel="1">
      <c r="A148" s="180"/>
      <c r="B148" s="190" t="s">
        <v>841</v>
      </c>
      <c r="C148" s="186">
        <f t="shared" si="14"/>
        <v>-3.9800995024875623</v>
      </c>
      <c r="E148" s="182">
        <v>151</v>
      </c>
      <c r="F148" s="183">
        <v>88</v>
      </c>
      <c r="G148" s="191">
        <f t="shared" si="15"/>
        <v>71.590909090909093</v>
      </c>
      <c r="H148" s="188">
        <f t="shared" si="16"/>
        <v>0.53388961567019055</v>
      </c>
      <c r="I148" s="188">
        <f t="shared" si="17"/>
        <v>0.33731984053971176</v>
      </c>
      <c r="J148" s="182">
        <v>579</v>
      </c>
      <c r="K148" s="183">
        <v>603</v>
      </c>
      <c r="L148" s="191">
        <f t="shared" si="18"/>
        <v>-3.9800995024875623</v>
      </c>
      <c r="M148" s="188">
        <f t="shared" si="19"/>
        <v>0.41162210389370341</v>
      </c>
      <c r="N148" s="189">
        <f t="shared" si="20"/>
        <v>0.41822141460099038</v>
      </c>
    </row>
    <row r="149" spans="1:14" hidden="1" outlineLevel="1">
      <c r="A149" s="180"/>
      <c r="B149" s="190" t="s">
        <v>845</v>
      </c>
      <c r="C149" s="186">
        <f t="shared" si="14"/>
        <v>67.901234567901241</v>
      </c>
      <c r="E149" s="182">
        <v>58</v>
      </c>
      <c r="F149" s="183">
        <v>52</v>
      </c>
      <c r="G149" s="191">
        <f t="shared" si="15"/>
        <v>11.538461538461538</v>
      </c>
      <c r="H149" s="188">
        <f t="shared" si="16"/>
        <v>0.20507018350245731</v>
      </c>
      <c r="I149" s="188">
        <f t="shared" si="17"/>
        <v>0.19932536031892056</v>
      </c>
      <c r="J149" s="182">
        <v>408</v>
      </c>
      <c r="K149" s="183">
        <v>243</v>
      </c>
      <c r="L149" s="191">
        <f t="shared" si="18"/>
        <v>67.901234567901241</v>
      </c>
      <c r="M149" s="188">
        <f t="shared" si="19"/>
        <v>0.29005495403908632</v>
      </c>
      <c r="N149" s="189">
        <f t="shared" si="20"/>
        <v>0.16853698797353345</v>
      </c>
    </row>
    <row r="150" spans="1:14" hidden="1" outlineLevel="1">
      <c r="A150" s="180"/>
      <c r="B150" s="190" t="s">
        <v>843</v>
      </c>
      <c r="C150" s="186">
        <f t="shared" si="14"/>
        <v>47.191011235955052</v>
      </c>
      <c r="E150" s="182">
        <v>71</v>
      </c>
      <c r="F150" s="183">
        <v>35</v>
      </c>
      <c r="G150" s="191">
        <f t="shared" si="15"/>
        <v>102.85714285714285</v>
      </c>
      <c r="H150" s="188">
        <f t="shared" si="16"/>
        <v>0.2510341901495598</v>
      </c>
      <c r="I150" s="188">
        <f t="shared" si="17"/>
        <v>0.13416130021465808</v>
      </c>
      <c r="J150" s="182">
        <v>393</v>
      </c>
      <c r="K150" s="183">
        <v>267</v>
      </c>
      <c r="L150" s="191">
        <f t="shared" si="18"/>
        <v>47.191011235955052</v>
      </c>
      <c r="M150" s="188">
        <f t="shared" si="19"/>
        <v>0.27939116896411992</v>
      </c>
      <c r="N150" s="189">
        <f t="shared" si="20"/>
        <v>0.18518261641536393</v>
      </c>
    </row>
    <row r="151" spans="1:14" hidden="1" outlineLevel="1">
      <c r="A151" s="180"/>
      <c r="B151" s="190" t="s">
        <v>844</v>
      </c>
      <c r="C151" s="186">
        <f t="shared" si="14"/>
        <v>-1.6326530612244898</v>
      </c>
      <c r="E151" s="182">
        <v>46</v>
      </c>
      <c r="F151" s="183">
        <v>47</v>
      </c>
      <c r="G151" s="191">
        <f t="shared" si="15"/>
        <v>-2.1276595744680851</v>
      </c>
      <c r="H151" s="188">
        <f t="shared" si="16"/>
        <v>0.1626418696743627</v>
      </c>
      <c r="I151" s="188">
        <f t="shared" si="17"/>
        <v>0.18015946028825514</v>
      </c>
      <c r="J151" s="182">
        <v>241</v>
      </c>
      <c r="K151" s="183">
        <v>245</v>
      </c>
      <c r="L151" s="191">
        <f t="shared" si="18"/>
        <v>-1.6326530612244898</v>
      </c>
      <c r="M151" s="188">
        <f t="shared" si="19"/>
        <v>0.17133148020446032</v>
      </c>
      <c r="N151" s="189">
        <f t="shared" si="20"/>
        <v>0.16992412367701934</v>
      </c>
    </row>
    <row r="152" spans="1:14" collapsed="1">
      <c r="A152" s="180" t="s">
        <v>1253</v>
      </c>
      <c r="B152" s="179" t="s">
        <v>285</v>
      </c>
      <c r="C152" s="186">
        <f t="shared" si="14"/>
        <v>-0.3038743985819195</v>
      </c>
      <c r="E152" s="182">
        <v>658</v>
      </c>
      <c r="F152" s="183">
        <v>475</v>
      </c>
      <c r="G152" s="191">
        <f t="shared" si="15"/>
        <v>38.526315789473685</v>
      </c>
      <c r="H152" s="188">
        <f t="shared" si="16"/>
        <v>2.3264858749071879</v>
      </c>
      <c r="I152" s="188">
        <f t="shared" si="17"/>
        <v>1.8207605029132168</v>
      </c>
      <c r="J152" s="182">
        <v>3937</v>
      </c>
      <c r="K152" s="183">
        <v>3949</v>
      </c>
      <c r="L152" s="191">
        <f t="shared" si="18"/>
        <v>-0.3038743985819195</v>
      </c>
      <c r="M152" s="188">
        <f t="shared" si="19"/>
        <v>2.7988881226761837</v>
      </c>
      <c r="N152" s="189">
        <f t="shared" si="20"/>
        <v>2.7388994465328542</v>
      </c>
    </row>
    <row r="153" spans="1:14" hidden="1" outlineLevel="1">
      <c r="A153" s="180"/>
      <c r="B153" s="190">
        <v>3008</v>
      </c>
      <c r="C153" s="186">
        <f t="shared" si="14"/>
        <v>-17.493897477624085</v>
      </c>
      <c r="E153" s="182">
        <v>169</v>
      </c>
      <c r="F153" s="183">
        <v>143</v>
      </c>
      <c r="G153" s="191">
        <f t="shared" si="15"/>
        <v>18.181818181818183</v>
      </c>
      <c r="H153" s="188">
        <f t="shared" si="16"/>
        <v>0.59753208641233246</v>
      </c>
      <c r="I153" s="188">
        <f t="shared" si="17"/>
        <v>0.54814474087703158</v>
      </c>
      <c r="J153" s="182">
        <v>1014</v>
      </c>
      <c r="K153" s="183">
        <v>1229</v>
      </c>
      <c r="L153" s="191">
        <f t="shared" si="18"/>
        <v>-17.493897477624085</v>
      </c>
      <c r="M153" s="188">
        <f t="shared" si="19"/>
        <v>0.72087187106772921</v>
      </c>
      <c r="N153" s="189">
        <f t="shared" si="20"/>
        <v>0.85239488979206834</v>
      </c>
    </row>
    <row r="154" spans="1:14" hidden="1" outlineLevel="1">
      <c r="A154" s="180"/>
      <c r="B154" s="190">
        <v>208</v>
      </c>
      <c r="C154" s="186">
        <f t="shared" si="14"/>
        <v>-27.071823204419886</v>
      </c>
      <c r="E154" s="182">
        <v>83</v>
      </c>
      <c r="F154" s="183">
        <v>143</v>
      </c>
      <c r="G154" s="191">
        <f t="shared" si="15"/>
        <v>-41.95804195804196</v>
      </c>
      <c r="H154" s="188">
        <f t="shared" si="16"/>
        <v>0.29346250397765444</v>
      </c>
      <c r="I154" s="188">
        <f t="shared" si="17"/>
        <v>0.54814474087703158</v>
      </c>
      <c r="J154" s="182">
        <v>792</v>
      </c>
      <c r="K154" s="183">
        <v>1086</v>
      </c>
      <c r="L154" s="191">
        <f t="shared" si="18"/>
        <v>-27.071823204419886</v>
      </c>
      <c r="M154" s="188">
        <f t="shared" si="19"/>
        <v>0.56304785195822638</v>
      </c>
      <c r="N154" s="189">
        <f t="shared" si="20"/>
        <v>0.75321468699282845</v>
      </c>
    </row>
    <row r="155" spans="1:14" hidden="1" outlineLevel="1">
      <c r="A155" s="180"/>
      <c r="B155" s="190">
        <v>308</v>
      </c>
      <c r="C155" s="186">
        <f t="shared" si="14"/>
        <v>150.32258064516128</v>
      </c>
      <c r="E155" s="182">
        <v>111</v>
      </c>
      <c r="F155" s="183">
        <v>26</v>
      </c>
      <c r="G155" s="191">
        <f t="shared" si="15"/>
        <v>326.92307692307691</v>
      </c>
      <c r="H155" s="188">
        <f t="shared" si="16"/>
        <v>0.3924619029098752</v>
      </c>
      <c r="I155" s="188">
        <f t="shared" si="17"/>
        <v>9.9662680159460282E-2</v>
      </c>
      <c r="J155" s="182">
        <v>776</v>
      </c>
      <c r="K155" s="183">
        <v>310</v>
      </c>
      <c r="L155" s="191">
        <f t="shared" si="18"/>
        <v>150.32258064516128</v>
      </c>
      <c r="M155" s="188">
        <f t="shared" si="19"/>
        <v>0.55167314787826227</v>
      </c>
      <c r="N155" s="189">
        <f t="shared" si="20"/>
        <v>0.21500603404031016</v>
      </c>
    </row>
    <row r="156" spans="1:14" hidden="1" outlineLevel="1">
      <c r="A156" s="180"/>
      <c r="B156" s="190">
        <v>2008</v>
      </c>
      <c r="C156" s="186">
        <f t="shared" si="14"/>
        <v>-28.475336322869953</v>
      </c>
      <c r="E156" s="182">
        <v>132</v>
      </c>
      <c r="F156" s="183">
        <v>104</v>
      </c>
      <c r="G156" s="191">
        <f t="shared" si="15"/>
        <v>26.923076923076923</v>
      </c>
      <c r="H156" s="188">
        <f t="shared" si="16"/>
        <v>0.4667114521090408</v>
      </c>
      <c r="I156" s="188">
        <f t="shared" si="17"/>
        <v>0.39865072063784113</v>
      </c>
      <c r="J156" s="182">
        <v>638</v>
      </c>
      <c r="K156" s="183">
        <v>892</v>
      </c>
      <c r="L156" s="191">
        <f t="shared" si="18"/>
        <v>-28.475336322869953</v>
      </c>
      <c r="M156" s="188">
        <f t="shared" si="19"/>
        <v>0.45356632518857126</v>
      </c>
      <c r="N156" s="189">
        <f t="shared" si="20"/>
        <v>0.61866252375469888</v>
      </c>
    </row>
    <row r="157" spans="1:14" hidden="1" outlineLevel="1">
      <c r="A157" s="180"/>
      <c r="B157" s="190">
        <v>5008</v>
      </c>
      <c r="C157" s="186">
        <f t="shared" si="14"/>
        <v>136.70212765957444</v>
      </c>
      <c r="E157" s="182">
        <v>115</v>
      </c>
      <c r="F157" s="183">
        <v>35</v>
      </c>
      <c r="G157" s="191">
        <f t="shared" si="15"/>
        <v>228.57142857142856</v>
      </c>
      <c r="H157" s="188">
        <f t="shared" si="16"/>
        <v>0.40660467418590673</v>
      </c>
      <c r="I157" s="188">
        <f t="shared" si="17"/>
        <v>0.13416130021465808</v>
      </c>
      <c r="J157" s="182">
        <v>445</v>
      </c>
      <c r="K157" s="183">
        <v>188</v>
      </c>
      <c r="L157" s="191">
        <f t="shared" si="18"/>
        <v>136.70212765957444</v>
      </c>
      <c r="M157" s="188">
        <f t="shared" si="19"/>
        <v>0.31635895722400342</v>
      </c>
      <c r="N157" s="189">
        <f t="shared" si="20"/>
        <v>0.13039075612767198</v>
      </c>
    </row>
    <row r="158" spans="1:14" hidden="1" outlineLevel="1">
      <c r="A158" s="180"/>
      <c r="B158" s="190">
        <v>408</v>
      </c>
      <c r="C158" s="186" t="str">
        <f t="shared" si="14"/>
        <v/>
      </c>
      <c r="E158" s="182">
        <v>28</v>
      </c>
      <c r="F158" s="183">
        <v>0</v>
      </c>
      <c r="G158" s="191" t="str">
        <f t="shared" si="15"/>
        <v/>
      </c>
      <c r="H158" s="188">
        <f t="shared" si="16"/>
        <v>9.8999398932220775E-2</v>
      </c>
      <c r="I158" s="188" t="str">
        <f t="shared" si="17"/>
        <v/>
      </c>
      <c r="J158" s="182">
        <v>170</v>
      </c>
      <c r="K158" s="183">
        <v>0</v>
      </c>
      <c r="L158" s="191" t="str">
        <f t="shared" si="18"/>
        <v/>
      </c>
      <c r="M158" s="188">
        <f t="shared" si="19"/>
        <v>0.1208562308496193</v>
      </c>
      <c r="N158" s="189" t="str">
        <f t="shared" si="20"/>
        <v/>
      </c>
    </row>
    <row r="159" spans="1:14" hidden="1" outlineLevel="1">
      <c r="A159" s="180"/>
      <c r="B159" s="190" t="s">
        <v>862</v>
      </c>
      <c r="C159" s="186">
        <f t="shared" si="14"/>
        <v>-32.786885245901637</v>
      </c>
      <c r="E159" s="182">
        <v>7</v>
      </c>
      <c r="F159" s="183">
        <v>5</v>
      </c>
      <c r="G159" s="191">
        <f t="shared" si="15"/>
        <v>40</v>
      </c>
      <c r="H159" s="188">
        <f t="shared" si="16"/>
        <v>2.4749849733055194E-2</v>
      </c>
      <c r="I159" s="188">
        <f t="shared" si="17"/>
        <v>1.9165900030665439E-2</v>
      </c>
      <c r="J159" s="182">
        <v>41</v>
      </c>
      <c r="K159" s="183">
        <v>61</v>
      </c>
      <c r="L159" s="191">
        <f t="shared" si="18"/>
        <v>-32.786885245901637</v>
      </c>
      <c r="M159" s="188">
        <f t="shared" si="19"/>
        <v>2.9147679204908183E-2</v>
      </c>
      <c r="N159" s="189">
        <f t="shared" si="20"/>
        <v>4.2307638956319102E-2</v>
      </c>
    </row>
    <row r="160" spans="1:14" hidden="1" outlineLevel="1">
      <c r="A160" s="180"/>
      <c r="B160" s="190" t="s">
        <v>863</v>
      </c>
      <c r="C160" s="186">
        <f t="shared" si="14"/>
        <v>-51.020408163265309</v>
      </c>
      <c r="E160" s="182">
        <v>4</v>
      </c>
      <c r="F160" s="183">
        <v>2</v>
      </c>
      <c r="G160" s="191">
        <f t="shared" si="15"/>
        <v>100</v>
      </c>
      <c r="H160" s="188">
        <f t="shared" si="16"/>
        <v>1.4142771276031538E-2</v>
      </c>
      <c r="I160" s="188">
        <f t="shared" si="17"/>
        <v>7.6663600122661765E-3</v>
      </c>
      <c r="J160" s="182">
        <v>24</v>
      </c>
      <c r="K160" s="183">
        <v>49</v>
      </c>
      <c r="L160" s="191">
        <f t="shared" si="18"/>
        <v>-51.020408163265309</v>
      </c>
      <c r="M160" s="188">
        <f t="shared" si="19"/>
        <v>1.7062056119946253E-2</v>
      </c>
      <c r="N160" s="189">
        <f t="shared" si="20"/>
        <v>3.3984824735403867E-2</v>
      </c>
    </row>
    <row r="161" spans="1:14" hidden="1" outlineLevel="1">
      <c r="A161" s="180"/>
      <c r="B161" s="190">
        <v>508</v>
      </c>
      <c r="C161" s="186">
        <f t="shared" si="14"/>
        <v>-78.494623655913969</v>
      </c>
      <c r="E161" s="182">
        <v>6</v>
      </c>
      <c r="F161" s="183">
        <v>9</v>
      </c>
      <c r="G161" s="191">
        <f t="shared" si="15"/>
        <v>-33.333333333333329</v>
      </c>
      <c r="H161" s="188">
        <f t="shared" si="16"/>
        <v>2.1214156914047308E-2</v>
      </c>
      <c r="I161" s="188">
        <f t="shared" si="17"/>
        <v>3.4498620055197791E-2</v>
      </c>
      <c r="J161" s="182">
        <v>20</v>
      </c>
      <c r="K161" s="183">
        <v>93</v>
      </c>
      <c r="L161" s="191">
        <f t="shared" si="18"/>
        <v>-78.494623655913969</v>
      </c>
      <c r="M161" s="188">
        <f t="shared" si="19"/>
        <v>1.4218380099955213E-2</v>
      </c>
      <c r="N161" s="189">
        <f t="shared" si="20"/>
        <v>6.4501810212093044E-2</v>
      </c>
    </row>
    <row r="162" spans="1:14" hidden="1" outlineLevel="1">
      <c r="A162" s="180"/>
      <c r="B162" s="190" t="s">
        <v>864</v>
      </c>
      <c r="C162" s="186">
        <f t="shared" si="14"/>
        <v>-22.727272727272727</v>
      </c>
      <c r="E162" s="182">
        <v>3</v>
      </c>
      <c r="F162" s="183">
        <v>8</v>
      </c>
      <c r="G162" s="191">
        <f t="shared" si="15"/>
        <v>-62.5</v>
      </c>
      <c r="H162" s="188">
        <f t="shared" si="16"/>
        <v>1.0607078457023654E-2</v>
      </c>
      <c r="I162" s="188">
        <f t="shared" si="17"/>
        <v>3.0665440049064706E-2</v>
      </c>
      <c r="J162" s="182">
        <v>17</v>
      </c>
      <c r="K162" s="183">
        <v>22</v>
      </c>
      <c r="L162" s="191">
        <f t="shared" si="18"/>
        <v>-22.727272727272727</v>
      </c>
      <c r="M162" s="188">
        <f t="shared" si="19"/>
        <v>1.208562308496193E-2</v>
      </c>
      <c r="N162" s="189">
        <f t="shared" si="20"/>
        <v>1.5258492738344592E-2</v>
      </c>
    </row>
    <row r="163" spans="1:14" hidden="1" outlineLevel="1">
      <c r="A163" s="180"/>
      <c r="B163" s="190">
        <v>108</v>
      </c>
      <c r="C163" s="186">
        <f t="shared" si="14"/>
        <v>-100</v>
      </c>
      <c r="E163" s="182">
        <v>0</v>
      </c>
      <c r="F163" s="183">
        <v>0</v>
      </c>
      <c r="G163" s="191" t="str">
        <f t="shared" si="15"/>
        <v/>
      </c>
      <c r="H163" s="188" t="str">
        <f t="shared" si="16"/>
        <v/>
      </c>
      <c r="I163" s="188" t="str">
        <f t="shared" si="17"/>
        <v/>
      </c>
      <c r="J163" s="182">
        <v>0</v>
      </c>
      <c r="K163" s="183">
        <v>19</v>
      </c>
      <c r="L163" s="191">
        <f t="shared" si="18"/>
        <v>-100</v>
      </c>
      <c r="M163" s="188" t="str">
        <f t="shared" si="19"/>
        <v/>
      </c>
      <c r="N163" s="189">
        <f t="shared" si="20"/>
        <v>1.3177789183115785E-2</v>
      </c>
    </row>
    <row r="164" spans="1:14" collapsed="1">
      <c r="A164" s="180" t="s">
        <v>1254</v>
      </c>
      <c r="B164" s="179" t="s">
        <v>592</v>
      </c>
      <c r="C164" s="186">
        <f t="shared" si="14"/>
        <v>6.7955300513440049</v>
      </c>
      <c r="E164" s="182">
        <v>414</v>
      </c>
      <c r="F164" s="183">
        <v>942</v>
      </c>
      <c r="G164" s="191">
        <f t="shared" si="15"/>
        <v>-56.050955414012741</v>
      </c>
      <c r="H164" s="188">
        <f t="shared" si="16"/>
        <v>1.4637768270692642</v>
      </c>
      <c r="I164" s="188">
        <f t="shared" si="17"/>
        <v>3.6108555657773689</v>
      </c>
      <c r="J164" s="182">
        <v>3536</v>
      </c>
      <c r="K164" s="183">
        <v>3311</v>
      </c>
      <c r="L164" s="191">
        <f t="shared" si="18"/>
        <v>6.7955300513440049</v>
      </c>
      <c r="M164" s="188">
        <f t="shared" si="19"/>
        <v>2.5138096016720812</v>
      </c>
      <c r="N164" s="189">
        <f t="shared" si="20"/>
        <v>2.296403157120861</v>
      </c>
    </row>
    <row r="165" spans="1:14" hidden="1" outlineLevel="1">
      <c r="A165" s="180"/>
      <c r="B165" s="190" t="s">
        <v>868</v>
      </c>
      <c r="C165" s="186">
        <f t="shared" si="14"/>
        <v>405.531914893617</v>
      </c>
      <c r="E165" s="182">
        <v>33</v>
      </c>
      <c r="F165" s="183">
        <v>72</v>
      </c>
      <c r="G165" s="191">
        <f t="shared" si="15"/>
        <v>-54.166666666666664</v>
      </c>
      <c r="H165" s="188">
        <f t="shared" si="16"/>
        <v>0.1166778630272602</v>
      </c>
      <c r="I165" s="188">
        <f t="shared" si="17"/>
        <v>0.27598896044158233</v>
      </c>
      <c r="J165" s="182">
        <v>1188</v>
      </c>
      <c r="K165" s="183">
        <v>235</v>
      </c>
      <c r="L165" s="191">
        <f t="shared" si="18"/>
        <v>405.531914893617</v>
      </c>
      <c r="M165" s="188">
        <f t="shared" si="19"/>
        <v>0.84457177793733962</v>
      </c>
      <c r="N165" s="189">
        <f t="shared" si="20"/>
        <v>0.16298844515958996</v>
      </c>
    </row>
    <row r="166" spans="1:14" hidden="1" outlineLevel="1">
      <c r="A166" s="180"/>
      <c r="B166" s="190" t="s">
        <v>1010</v>
      </c>
      <c r="C166" s="186" t="str">
        <f t="shared" si="14"/>
        <v/>
      </c>
      <c r="E166" s="182">
        <v>272</v>
      </c>
      <c r="F166" s="183">
        <v>0</v>
      </c>
      <c r="G166" s="191" t="str">
        <f t="shared" si="15"/>
        <v/>
      </c>
      <c r="H166" s="188">
        <f t="shared" si="16"/>
        <v>0.96170844677014466</v>
      </c>
      <c r="I166" s="188" t="str">
        <f t="shared" si="17"/>
        <v/>
      </c>
      <c r="J166" s="182">
        <v>935</v>
      </c>
      <c r="K166" s="183">
        <v>0</v>
      </c>
      <c r="L166" s="191" t="str">
        <f t="shared" si="18"/>
        <v/>
      </c>
      <c r="M166" s="188">
        <f t="shared" si="19"/>
        <v>0.66470926967290622</v>
      </c>
      <c r="N166" s="189" t="str">
        <f t="shared" si="20"/>
        <v/>
      </c>
    </row>
    <row r="167" spans="1:14" hidden="1" outlineLevel="1">
      <c r="A167" s="180"/>
      <c r="B167" s="190" t="s">
        <v>867</v>
      </c>
      <c r="C167" s="186">
        <f t="shared" si="14"/>
        <v>23.778501628664493</v>
      </c>
      <c r="E167" s="182">
        <v>13</v>
      </c>
      <c r="F167" s="183">
        <v>151</v>
      </c>
      <c r="G167" s="191">
        <f t="shared" si="15"/>
        <v>-91.390728476821195</v>
      </c>
      <c r="H167" s="188">
        <f t="shared" si="16"/>
        <v>4.5964006647102498E-2</v>
      </c>
      <c r="I167" s="188">
        <f t="shared" si="17"/>
        <v>0.57881018092609637</v>
      </c>
      <c r="J167" s="182">
        <v>760</v>
      </c>
      <c r="K167" s="183">
        <v>614</v>
      </c>
      <c r="L167" s="191">
        <f t="shared" si="18"/>
        <v>23.778501628664493</v>
      </c>
      <c r="M167" s="188">
        <f t="shared" si="19"/>
        <v>0.54029844379829806</v>
      </c>
      <c r="N167" s="189">
        <f t="shared" si="20"/>
        <v>0.42585066097016272</v>
      </c>
    </row>
    <row r="168" spans="1:14" hidden="1" outlineLevel="1">
      <c r="A168" s="180"/>
      <c r="B168" s="190" t="s">
        <v>866</v>
      </c>
      <c r="C168" s="186">
        <f t="shared" si="14"/>
        <v>-56.706281833616302</v>
      </c>
      <c r="E168" s="182">
        <v>95</v>
      </c>
      <c r="F168" s="183">
        <v>382</v>
      </c>
      <c r="G168" s="191">
        <f t="shared" si="15"/>
        <v>-75.130890052356023</v>
      </c>
      <c r="H168" s="188">
        <f t="shared" si="16"/>
        <v>0.33589081780574903</v>
      </c>
      <c r="I168" s="188">
        <f t="shared" si="17"/>
        <v>1.4642747623428396</v>
      </c>
      <c r="J168" s="182">
        <v>510</v>
      </c>
      <c r="K168" s="183">
        <v>1178</v>
      </c>
      <c r="L168" s="191">
        <f t="shared" si="18"/>
        <v>-56.706281833616302</v>
      </c>
      <c r="M168" s="188">
        <f t="shared" si="19"/>
        <v>0.36256869254885787</v>
      </c>
      <c r="N168" s="189">
        <f t="shared" si="20"/>
        <v>0.81702292935317866</v>
      </c>
    </row>
    <row r="169" spans="1:14" hidden="1" outlineLevel="1">
      <c r="A169" s="180"/>
      <c r="B169" s="190" t="s">
        <v>865</v>
      </c>
      <c r="C169" s="186">
        <f t="shared" si="14"/>
        <v>-88.862928348909648</v>
      </c>
      <c r="E169" s="182">
        <v>1</v>
      </c>
      <c r="F169" s="183">
        <v>337</v>
      </c>
      <c r="G169" s="191">
        <f t="shared" si="15"/>
        <v>-99.703264094955486</v>
      </c>
      <c r="H169" s="188">
        <f t="shared" si="16"/>
        <v>3.5356928190078845E-3</v>
      </c>
      <c r="I169" s="188">
        <f t="shared" si="17"/>
        <v>1.2917816620668507</v>
      </c>
      <c r="J169" s="182">
        <v>143</v>
      </c>
      <c r="K169" s="183">
        <v>1284</v>
      </c>
      <c r="L169" s="191">
        <f t="shared" si="18"/>
        <v>-88.862928348909648</v>
      </c>
      <c r="M169" s="188">
        <f t="shared" si="19"/>
        <v>0.10166141771467978</v>
      </c>
      <c r="N169" s="189">
        <f t="shared" si="20"/>
        <v>0.89054112163792987</v>
      </c>
    </row>
    <row r="170" spans="1:14" collapsed="1">
      <c r="A170" s="180" t="s">
        <v>1255</v>
      </c>
      <c r="B170" s="179" t="s">
        <v>267</v>
      </c>
      <c r="C170" s="186">
        <f t="shared" si="14"/>
        <v>-36.775495231107854</v>
      </c>
      <c r="E170" s="182">
        <v>466</v>
      </c>
      <c r="F170" s="183">
        <v>973</v>
      </c>
      <c r="G170" s="191">
        <f t="shared" si="15"/>
        <v>-52.106885919835555</v>
      </c>
      <c r="H170" s="188">
        <f t="shared" si="16"/>
        <v>1.6476328536576743</v>
      </c>
      <c r="I170" s="188">
        <f t="shared" si="17"/>
        <v>3.7296841459674948</v>
      </c>
      <c r="J170" s="182">
        <v>3447</v>
      </c>
      <c r="K170" s="183">
        <v>5452</v>
      </c>
      <c r="L170" s="191">
        <f t="shared" si="18"/>
        <v>-36.775495231107854</v>
      </c>
      <c r="M170" s="188">
        <f t="shared" si="19"/>
        <v>2.450537810227281</v>
      </c>
      <c r="N170" s="189">
        <f t="shared" si="20"/>
        <v>3.7813319277024875</v>
      </c>
    </row>
    <row r="171" spans="1:14" hidden="1" outlineLevel="1">
      <c r="A171" s="180"/>
      <c r="B171" s="190" t="s">
        <v>849</v>
      </c>
      <c r="C171" s="186">
        <f t="shared" si="14"/>
        <v>-47.372845733501471</v>
      </c>
      <c r="E171" s="182">
        <v>45</v>
      </c>
      <c r="F171" s="183">
        <v>531</v>
      </c>
      <c r="G171" s="191">
        <f t="shared" si="15"/>
        <v>-91.525423728813564</v>
      </c>
      <c r="H171" s="188">
        <f t="shared" si="16"/>
        <v>0.1591061768553548</v>
      </c>
      <c r="I171" s="188">
        <f t="shared" si="17"/>
        <v>2.0354185832566696</v>
      </c>
      <c r="J171" s="182">
        <v>1252</v>
      </c>
      <c r="K171" s="183">
        <v>2379</v>
      </c>
      <c r="L171" s="191">
        <f t="shared" si="18"/>
        <v>-47.372845733501471</v>
      </c>
      <c r="M171" s="188">
        <f t="shared" si="19"/>
        <v>0.89007059425719637</v>
      </c>
      <c r="N171" s="189">
        <f t="shared" si="20"/>
        <v>1.6499979192964447</v>
      </c>
    </row>
    <row r="172" spans="1:14" hidden="1" outlineLevel="1">
      <c r="A172" s="180"/>
      <c r="B172" s="190" t="s">
        <v>850</v>
      </c>
      <c r="C172" s="186">
        <f t="shared" si="14"/>
        <v>17.1875</v>
      </c>
      <c r="E172" s="182">
        <v>150</v>
      </c>
      <c r="F172" s="183">
        <v>89</v>
      </c>
      <c r="G172" s="191">
        <f t="shared" si="15"/>
        <v>68.539325842696627</v>
      </c>
      <c r="H172" s="188">
        <f t="shared" si="16"/>
        <v>0.53035392285118266</v>
      </c>
      <c r="I172" s="188">
        <f t="shared" si="17"/>
        <v>0.34115302054584484</v>
      </c>
      <c r="J172" s="182">
        <v>1125</v>
      </c>
      <c r="K172" s="183">
        <v>960</v>
      </c>
      <c r="L172" s="191">
        <f t="shared" si="18"/>
        <v>17.1875</v>
      </c>
      <c r="M172" s="188">
        <f t="shared" si="19"/>
        <v>0.79978388062248074</v>
      </c>
      <c r="N172" s="189">
        <f t="shared" si="20"/>
        <v>0.6658251376732186</v>
      </c>
    </row>
    <row r="173" spans="1:14" hidden="1" outlineLevel="1">
      <c r="A173" s="180"/>
      <c r="B173" s="190" t="s">
        <v>853</v>
      </c>
      <c r="C173" s="186">
        <f t="shared" si="14"/>
        <v>-31.475409836065577</v>
      </c>
      <c r="E173" s="182">
        <v>50</v>
      </c>
      <c r="F173" s="183">
        <v>62</v>
      </c>
      <c r="G173" s="191">
        <f t="shared" si="15"/>
        <v>-19.35483870967742</v>
      </c>
      <c r="H173" s="188">
        <f t="shared" si="16"/>
        <v>0.17678464095039423</v>
      </c>
      <c r="I173" s="188">
        <f t="shared" si="17"/>
        <v>0.23765716038025145</v>
      </c>
      <c r="J173" s="182">
        <v>209</v>
      </c>
      <c r="K173" s="183">
        <v>305</v>
      </c>
      <c r="L173" s="191">
        <f t="shared" si="18"/>
        <v>-31.475409836065577</v>
      </c>
      <c r="M173" s="188">
        <f t="shared" si="19"/>
        <v>0.14858207204453197</v>
      </c>
      <c r="N173" s="189">
        <f t="shared" si="20"/>
        <v>0.2115381947815955</v>
      </c>
    </row>
    <row r="174" spans="1:14" hidden="1" outlineLevel="1">
      <c r="A174" s="180"/>
      <c r="B174" s="190" t="s">
        <v>851</v>
      </c>
      <c r="C174" s="186">
        <f t="shared" si="14"/>
        <v>-74.897119341563794</v>
      </c>
      <c r="E174" s="182">
        <v>77</v>
      </c>
      <c r="F174" s="183">
        <v>68</v>
      </c>
      <c r="G174" s="191">
        <f t="shared" si="15"/>
        <v>13.23529411764706</v>
      </c>
      <c r="H174" s="188">
        <f t="shared" si="16"/>
        <v>0.27224834706360712</v>
      </c>
      <c r="I174" s="188">
        <f t="shared" si="17"/>
        <v>0.26065624041704999</v>
      </c>
      <c r="J174" s="182">
        <v>183</v>
      </c>
      <c r="K174" s="183">
        <v>729</v>
      </c>
      <c r="L174" s="191">
        <f t="shared" si="18"/>
        <v>-74.897119341563794</v>
      </c>
      <c r="M174" s="188">
        <f t="shared" si="19"/>
        <v>0.13009817791459019</v>
      </c>
      <c r="N174" s="189">
        <f t="shared" si="20"/>
        <v>0.50561096392060034</v>
      </c>
    </row>
    <row r="175" spans="1:14" hidden="1" outlineLevel="1">
      <c r="A175" s="180"/>
      <c r="B175" s="190" t="s">
        <v>854</v>
      </c>
      <c r="C175" s="186">
        <f t="shared" si="14"/>
        <v>-44.015444015444018</v>
      </c>
      <c r="E175" s="182">
        <v>16</v>
      </c>
      <c r="F175" s="183">
        <v>43</v>
      </c>
      <c r="G175" s="191">
        <f t="shared" si="15"/>
        <v>-62.790697674418603</v>
      </c>
      <c r="H175" s="188">
        <f t="shared" si="16"/>
        <v>5.6571085104126152E-2</v>
      </c>
      <c r="I175" s="188">
        <f t="shared" si="17"/>
        <v>0.16482674026372279</v>
      </c>
      <c r="J175" s="182">
        <v>145</v>
      </c>
      <c r="K175" s="183">
        <v>259</v>
      </c>
      <c r="L175" s="191">
        <f t="shared" si="18"/>
        <v>-44.015444015444018</v>
      </c>
      <c r="M175" s="188">
        <f t="shared" si="19"/>
        <v>0.10308325572467528</v>
      </c>
      <c r="N175" s="189">
        <f t="shared" si="20"/>
        <v>0.17963407360142042</v>
      </c>
    </row>
    <row r="176" spans="1:14" hidden="1" outlineLevel="1">
      <c r="A176" s="180"/>
      <c r="B176" s="190" t="s">
        <v>860</v>
      </c>
      <c r="C176" s="186">
        <f t="shared" si="14"/>
        <v>377.77777777777777</v>
      </c>
      <c r="E176" s="182">
        <v>14</v>
      </c>
      <c r="F176" s="183">
        <v>11</v>
      </c>
      <c r="G176" s="191">
        <f t="shared" si="15"/>
        <v>27.27272727272727</v>
      </c>
      <c r="H176" s="188">
        <f t="shared" si="16"/>
        <v>4.9499699466110388E-2</v>
      </c>
      <c r="I176" s="188">
        <f t="shared" si="17"/>
        <v>4.216498006746397E-2</v>
      </c>
      <c r="J176" s="182">
        <v>129</v>
      </c>
      <c r="K176" s="183">
        <v>27</v>
      </c>
      <c r="L176" s="191">
        <f t="shared" si="18"/>
        <v>377.77777777777777</v>
      </c>
      <c r="M176" s="188">
        <f t="shared" si="19"/>
        <v>9.1708551644711117E-2</v>
      </c>
      <c r="N176" s="189">
        <f t="shared" si="20"/>
        <v>1.8726331997059274E-2</v>
      </c>
    </row>
    <row r="177" spans="1:14" hidden="1" outlineLevel="1">
      <c r="A177" s="180"/>
      <c r="B177" s="190" t="s">
        <v>856</v>
      </c>
      <c r="C177" s="186">
        <f t="shared" si="14"/>
        <v>-5.2631578947368416</v>
      </c>
      <c r="E177" s="182">
        <v>7</v>
      </c>
      <c r="F177" s="183">
        <v>46</v>
      </c>
      <c r="G177" s="191">
        <f t="shared" si="15"/>
        <v>-84.782608695652172</v>
      </c>
      <c r="H177" s="188">
        <f t="shared" si="16"/>
        <v>2.4749849733055194E-2</v>
      </c>
      <c r="I177" s="188">
        <f t="shared" si="17"/>
        <v>0.17632628028212205</v>
      </c>
      <c r="J177" s="182">
        <v>108</v>
      </c>
      <c r="K177" s="183">
        <v>114</v>
      </c>
      <c r="L177" s="191">
        <f t="shared" si="18"/>
        <v>-5.2631578947368416</v>
      </c>
      <c r="M177" s="188">
        <f t="shared" si="19"/>
        <v>7.6779252539758147E-2</v>
      </c>
      <c r="N177" s="189">
        <f t="shared" si="20"/>
        <v>7.9066735098694704E-2</v>
      </c>
    </row>
    <row r="178" spans="1:14" hidden="1" outlineLevel="1">
      <c r="A178" s="180"/>
      <c r="B178" s="190" t="s">
        <v>855</v>
      </c>
      <c r="C178" s="186">
        <f t="shared" si="14"/>
        <v>-46.25</v>
      </c>
      <c r="E178" s="182">
        <v>80</v>
      </c>
      <c r="F178" s="183">
        <v>30</v>
      </c>
      <c r="G178" s="191">
        <f t="shared" si="15"/>
        <v>166.66666666666669</v>
      </c>
      <c r="H178" s="188">
        <f t="shared" si="16"/>
        <v>0.28285542552063075</v>
      </c>
      <c r="I178" s="188">
        <f t="shared" si="17"/>
        <v>0.11499540018399264</v>
      </c>
      <c r="J178" s="182">
        <v>86</v>
      </c>
      <c r="K178" s="183">
        <v>160</v>
      </c>
      <c r="L178" s="191">
        <f t="shared" si="18"/>
        <v>-46.25</v>
      </c>
      <c r="M178" s="188">
        <f t="shared" si="19"/>
        <v>6.1139034429807414E-2</v>
      </c>
      <c r="N178" s="189">
        <f t="shared" si="20"/>
        <v>0.11097085627886977</v>
      </c>
    </row>
    <row r="179" spans="1:14" hidden="1" outlineLevel="1">
      <c r="A179" s="180"/>
      <c r="B179" s="190" t="s">
        <v>859</v>
      </c>
      <c r="C179" s="186">
        <f t="shared" si="14"/>
        <v>138.23529411764704</v>
      </c>
      <c r="E179" s="182">
        <v>12</v>
      </c>
      <c r="F179" s="183">
        <v>7</v>
      </c>
      <c r="G179" s="191">
        <f t="shared" si="15"/>
        <v>71.428571428571431</v>
      </c>
      <c r="H179" s="188">
        <f t="shared" si="16"/>
        <v>4.2428313828094616E-2</v>
      </c>
      <c r="I179" s="188">
        <f t="shared" si="17"/>
        <v>2.6832260042931617E-2</v>
      </c>
      <c r="J179" s="182">
        <v>81</v>
      </c>
      <c r="K179" s="183">
        <v>34</v>
      </c>
      <c r="L179" s="191">
        <f t="shared" si="18"/>
        <v>138.23529411764704</v>
      </c>
      <c r="M179" s="188">
        <f t="shared" si="19"/>
        <v>5.7584439404818603E-2</v>
      </c>
      <c r="N179" s="189">
        <f t="shared" si="20"/>
        <v>2.3581306959259824E-2</v>
      </c>
    </row>
    <row r="180" spans="1:14" hidden="1" outlineLevel="1">
      <c r="A180" s="180"/>
      <c r="B180" s="190" t="s">
        <v>861</v>
      </c>
      <c r="C180" s="186">
        <f t="shared" si="14"/>
        <v>3550</v>
      </c>
      <c r="E180" s="182">
        <v>13</v>
      </c>
      <c r="F180" s="183">
        <v>0</v>
      </c>
      <c r="G180" s="191" t="str">
        <f t="shared" si="15"/>
        <v/>
      </c>
      <c r="H180" s="188">
        <f t="shared" si="16"/>
        <v>4.5964006647102498E-2</v>
      </c>
      <c r="I180" s="188" t="str">
        <f t="shared" si="17"/>
        <v/>
      </c>
      <c r="J180" s="182">
        <v>73</v>
      </c>
      <c r="K180" s="183">
        <v>2</v>
      </c>
      <c r="L180" s="191">
        <f t="shared" si="18"/>
        <v>3550</v>
      </c>
      <c r="M180" s="188">
        <f t="shared" si="19"/>
        <v>5.1897087364836524E-2</v>
      </c>
      <c r="N180" s="189">
        <f t="shared" si="20"/>
        <v>1.387135703485872E-3</v>
      </c>
    </row>
    <row r="181" spans="1:14" hidden="1" outlineLevel="1">
      <c r="A181" s="180"/>
      <c r="B181" s="190" t="s">
        <v>857</v>
      </c>
      <c r="C181" s="186">
        <f t="shared" si="14"/>
        <v>-67.961165048543691</v>
      </c>
      <c r="E181" s="182">
        <v>0</v>
      </c>
      <c r="F181" s="183">
        <v>41</v>
      </c>
      <c r="G181" s="191">
        <f t="shared" si="15"/>
        <v>-100</v>
      </c>
      <c r="H181" s="188" t="str">
        <f t="shared" si="16"/>
        <v/>
      </c>
      <c r="I181" s="188">
        <f t="shared" si="17"/>
        <v>0.15716038025145659</v>
      </c>
      <c r="J181" s="182">
        <v>33</v>
      </c>
      <c r="K181" s="183">
        <v>103</v>
      </c>
      <c r="L181" s="191">
        <f t="shared" si="18"/>
        <v>-67.961165048543691</v>
      </c>
      <c r="M181" s="188">
        <f t="shared" si="19"/>
        <v>2.34603271649261E-2</v>
      </c>
      <c r="N181" s="189">
        <f t="shared" si="20"/>
        <v>7.1437488729522408E-2</v>
      </c>
    </row>
    <row r="182" spans="1:14" hidden="1" outlineLevel="1">
      <c r="A182" s="180"/>
      <c r="B182" s="190" t="s">
        <v>858</v>
      </c>
      <c r="C182" s="186">
        <f t="shared" si="14"/>
        <v>-52.173913043478258</v>
      </c>
      <c r="E182" s="182">
        <v>1</v>
      </c>
      <c r="F182" s="183">
        <v>18</v>
      </c>
      <c r="G182" s="191">
        <f t="shared" si="15"/>
        <v>-94.444444444444443</v>
      </c>
      <c r="H182" s="188">
        <f t="shared" si="16"/>
        <v>3.5356928190078845E-3</v>
      </c>
      <c r="I182" s="188">
        <f t="shared" si="17"/>
        <v>6.8997240110395583E-2</v>
      </c>
      <c r="J182" s="182">
        <v>22</v>
      </c>
      <c r="K182" s="183">
        <v>46</v>
      </c>
      <c r="L182" s="191">
        <f t="shared" si="18"/>
        <v>-52.173913043478258</v>
      </c>
      <c r="M182" s="188">
        <f t="shared" si="19"/>
        <v>1.5640218109950733E-2</v>
      </c>
      <c r="N182" s="189">
        <f t="shared" si="20"/>
        <v>3.1904121180175056E-2</v>
      </c>
    </row>
    <row r="183" spans="1:14" hidden="1" outlineLevel="1">
      <c r="A183" s="180"/>
      <c r="B183" s="190" t="s">
        <v>1148</v>
      </c>
      <c r="C183" s="186">
        <f t="shared" si="14"/>
        <v>0</v>
      </c>
      <c r="E183" s="182">
        <v>1</v>
      </c>
      <c r="F183" s="183">
        <v>0</v>
      </c>
      <c r="G183" s="191" t="str">
        <f t="shared" si="15"/>
        <v/>
      </c>
      <c r="H183" s="188">
        <f t="shared" si="16"/>
        <v>3.5356928190078845E-3</v>
      </c>
      <c r="I183" s="188" t="str">
        <f t="shared" si="17"/>
        <v/>
      </c>
      <c r="J183" s="182">
        <v>1</v>
      </c>
      <c r="K183" s="183">
        <v>1</v>
      </c>
      <c r="L183" s="191">
        <f t="shared" si="18"/>
        <v>0</v>
      </c>
      <c r="M183" s="188">
        <f t="shared" si="19"/>
        <v>7.1091900499776063E-4</v>
      </c>
      <c r="N183" s="189">
        <f t="shared" si="20"/>
        <v>6.9356785174293602E-4</v>
      </c>
    </row>
    <row r="184" spans="1:14" hidden="1" outlineLevel="1">
      <c r="A184" s="180"/>
      <c r="B184" s="190" t="s">
        <v>852</v>
      </c>
      <c r="C184" s="186">
        <f t="shared" si="14"/>
        <v>-100</v>
      </c>
      <c r="E184" s="182">
        <v>0</v>
      </c>
      <c r="F184" s="183">
        <v>27</v>
      </c>
      <c r="G184" s="191">
        <f t="shared" si="15"/>
        <v>-100</v>
      </c>
      <c r="H184" s="188" t="str">
        <f t="shared" si="16"/>
        <v/>
      </c>
      <c r="I184" s="188">
        <f t="shared" si="17"/>
        <v>0.10349586016559337</v>
      </c>
      <c r="J184" s="182">
        <v>0</v>
      </c>
      <c r="K184" s="183">
        <v>332</v>
      </c>
      <c r="L184" s="191">
        <f t="shared" si="18"/>
        <v>-100</v>
      </c>
      <c r="M184" s="188" t="str">
        <f t="shared" si="19"/>
        <v/>
      </c>
      <c r="N184" s="189">
        <f t="shared" si="20"/>
        <v>0.23026452677865475</v>
      </c>
    </row>
    <row r="185" spans="1:14" hidden="1" outlineLevel="1">
      <c r="A185" s="180"/>
      <c r="B185" s="190" t="s">
        <v>1116</v>
      </c>
      <c r="C185" s="186">
        <f t="shared" si="14"/>
        <v>-100</v>
      </c>
      <c r="E185" s="182">
        <v>0</v>
      </c>
      <c r="F185" s="183">
        <v>0</v>
      </c>
      <c r="G185" s="191" t="str">
        <f t="shared" si="15"/>
        <v/>
      </c>
      <c r="H185" s="188" t="str">
        <f t="shared" si="16"/>
        <v/>
      </c>
      <c r="I185" s="188" t="str">
        <f t="shared" si="17"/>
        <v/>
      </c>
      <c r="J185" s="182">
        <v>0</v>
      </c>
      <c r="K185" s="183">
        <v>1</v>
      </c>
      <c r="L185" s="191">
        <f t="shared" si="18"/>
        <v>-100</v>
      </c>
      <c r="M185" s="188" t="str">
        <f t="shared" si="19"/>
        <v/>
      </c>
      <c r="N185" s="189">
        <f t="shared" si="20"/>
        <v>6.9356785174293602E-4</v>
      </c>
    </row>
    <row r="186" spans="1:14" collapsed="1">
      <c r="A186" s="180" t="s">
        <v>1256</v>
      </c>
      <c r="B186" s="179" t="s">
        <v>287</v>
      </c>
      <c r="C186" s="186">
        <f t="shared" si="14"/>
        <v>-2.0919067215363509</v>
      </c>
      <c r="E186" s="182">
        <v>705</v>
      </c>
      <c r="F186" s="183">
        <v>448</v>
      </c>
      <c r="G186" s="191">
        <f t="shared" si="15"/>
        <v>57.366071428571431</v>
      </c>
      <c r="H186" s="188">
        <f t="shared" si="16"/>
        <v>2.4926634374005587</v>
      </c>
      <c r="I186" s="188">
        <f t="shared" si="17"/>
        <v>1.7172646427476235</v>
      </c>
      <c r="J186" s="182">
        <v>2855</v>
      </c>
      <c r="K186" s="183">
        <v>2916</v>
      </c>
      <c r="L186" s="191">
        <f t="shared" si="18"/>
        <v>-2.0919067215363509</v>
      </c>
      <c r="M186" s="188">
        <f t="shared" si="19"/>
        <v>2.0296737592686065</v>
      </c>
      <c r="N186" s="189">
        <f t="shared" si="20"/>
        <v>2.0224438556824014</v>
      </c>
    </row>
    <row r="187" spans="1:14" hidden="1" outlineLevel="1">
      <c r="A187" s="180"/>
      <c r="B187" s="190" t="s">
        <v>873</v>
      </c>
      <c r="C187" s="186">
        <f t="shared" si="14"/>
        <v>247.60147601476015</v>
      </c>
      <c r="E187" s="182">
        <v>116</v>
      </c>
      <c r="F187" s="183">
        <v>62</v>
      </c>
      <c r="G187" s="191">
        <f t="shared" si="15"/>
        <v>87.096774193548384</v>
      </c>
      <c r="H187" s="188">
        <f t="shared" si="16"/>
        <v>0.41014036700491463</v>
      </c>
      <c r="I187" s="188">
        <f t="shared" si="17"/>
        <v>0.23765716038025145</v>
      </c>
      <c r="J187" s="182">
        <v>942</v>
      </c>
      <c r="K187" s="183">
        <v>271</v>
      </c>
      <c r="L187" s="191">
        <f t="shared" si="18"/>
        <v>247.60147601476015</v>
      </c>
      <c r="M187" s="188">
        <f t="shared" si="19"/>
        <v>0.66968570270789052</v>
      </c>
      <c r="N187" s="189">
        <f t="shared" si="20"/>
        <v>0.18795688782233566</v>
      </c>
    </row>
    <row r="188" spans="1:14" hidden="1" outlineLevel="1">
      <c r="A188" s="180"/>
      <c r="B188" s="190" t="s">
        <v>870</v>
      </c>
      <c r="C188" s="186">
        <f t="shared" si="14"/>
        <v>-4.0595399188092021</v>
      </c>
      <c r="E188" s="182">
        <v>215</v>
      </c>
      <c r="F188" s="183">
        <v>71</v>
      </c>
      <c r="G188" s="191">
        <f t="shared" si="15"/>
        <v>202.81690140845069</v>
      </c>
      <c r="H188" s="188">
        <f t="shared" si="16"/>
        <v>0.76017395608669514</v>
      </c>
      <c r="I188" s="188">
        <f t="shared" si="17"/>
        <v>0.27215578043544925</v>
      </c>
      <c r="J188" s="182">
        <v>709</v>
      </c>
      <c r="K188" s="183">
        <v>739</v>
      </c>
      <c r="L188" s="191">
        <f t="shared" si="18"/>
        <v>-4.0595399188092021</v>
      </c>
      <c r="M188" s="188">
        <f t="shared" si="19"/>
        <v>0.50404157454341225</v>
      </c>
      <c r="N188" s="189">
        <f t="shared" si="20"/>
        <v>0.51254664243802972</v>
      </c>
    </row>
    <row r="189" spans="1:14" hidden="1" outlineLevel="1">
      <c r="A189" s="180"/>
      <c r="B189" s="190" t="s">
        <v>869</v>
      </c>
      <c r="C189" s="186">
        <f t="shared" si="14"/>
        <v>-29.837702871410738</v>
      </c>
      <c r="E189" s="182">
        <v>222</v>
      </c>
      <c r="F189" s="183">
        <v>107</v>
      </c>
      <c r="G189" s="191">
        <f t="shared" si="15"/>
        <v>107.4766355140187</v>
      </c>
      <c r="H189" s="188">
        <f t="shared" si="16"/>
        <v>0.78492380581975041</v>
      </c>
      <c r="I189" s="188">
        <f t="shared" si="17"/>
        <v>0.41015026065624044</v>
      </c>
      <c r="J189" s="182">
        <v>562</v>
      </c>
      <c r="K189" s="183">
        <v>801</v>
      </c>
      <c r="L189" s="191">
        <f t="shared" si="18"/>
        <v>-29.837702871410738</v>
      </c>
      <c r="M189" s="188">
        <f t="shared" si="19"/>
        <v>0.39953648080874143</v>
      </c>
      <c r="N189" s="189">
        <f t="shared" si="20"/>
        <v>0.5555478492460918</v>
      </c>
    </row>
    <row r="190" spans="1:14" hidden="1" outlineLevel="1">
      <c r="A190" s="180"/>
      <c r="B190" s="190" t="s">
        <v>871</v>
      </c>
      <c r="C190" s="186">
        <f t="shared" si="14"/>
        <v>-59.587628865979383</v>
      </c>
      <c r="E190" s="182">
        <v>41</v>
      </c>
      <c r="F190" s="183">
        <v>79</v>
      </c>
      <c r="G190" s="191">
        <f t="shared" si="15"/>
        <v>-48.101265822784811</v>
      </c>
      <c r="H190" s="188">
        <f t="shared" si="16"/>
        <v>0.14496340557932327</v>
      </c>
      <c r="I190" s="188">
        <f t="shared" si="17"/>
        <v>0.30282122048451399</v>
      </c>
      <c r="J190" s="182">
        <v>196</v>
      </c>
      <c r="K190" s="183">
        <v>485</v>
      </c>
      <c r="L190" s="191">
        <f t="shared" si="18"/>
        <v>-59.587628865979383</v>
      </c>
      <c r="M190" s="188">
        <f t="shared" si="19"/>
        <v>0.13934012497956108</v>
      </c>
      <c r="N190" s="189">
        <f t="shared" si="20"/>
        <v>0.33638040809532394</v>
      </c>
    </row>
    <row r="191" spans="1:14" hidden="1" outlineLevel="1">
      <c r="A191" s="180"/>
      <c r="B191" s="190" t="s">
        <v>872</v>
      </c>
      <c r="C191" s="186">
        <f t="shared" si="14"/>
        <v>-75.291375291375289</v>
      </c>
      <c r="E191" s="182">
        <v>3</v>
      </c>
      <c r="F191" s="183">
        <v>94</v>
      </c>
      <c r="G191" s="191">
        <f t="shared" si="15"/>
        <v>-96.808510638297875</v>
      </c>
      <c r="H191" s="188">
        <f t="shared" si="16"/>
        <v>1.0607078457023654E-2</v>
      </c>
      <c r="I191" s="188">
        <f t="shared" si="17"/>
        <v>0.36031892057651027</v>
      </c>
      <c r="J191" s="182">
        <v>106</v>
      </c>
      <c r="K191" s="183">
        <v>429</v>
      </c>
      <c r="L191" s="191">
        <f t="shared" si="18"/>
        <v>-75.291375291375289</v>
      </c>
      <c r="M191" s="188">
        <f t="shared" si="19"/>
        <v>7.5357414529762634E-2</v>
      </c>
      <c r="N191" s="189">
        <f t="shared" si="20"/>
        <v>0.29754060839771951</v>
      </c>
    </row>
    <row r="192" spans="1:14" hidden="1" outlineLevel="1">
      <c r="A192" s="180"/>
      <c r="B192" s="190" t="s">
        <v>1048</v>
      </c>
      <c r="C192" s="186" t="str">
        <f t="shared" si="14"/>
        <v/>
      </c>
      <c r="E192" s="182">
        <v>26</v>
      </c>
      <c r="F192" s="183">
        <v>0</v>
      </c>
      <c r="G192" s="191" t="str">
        <f t="shared" si="15"/>
        <v/>
      </c>
      <c r="H192" s="188">
        <f t="shared" si="16"/>
        <v>9.1928013294204997E-2</v>
      </c>
      <c r="I192" s="188" t="str">
        <f t="shared" si="17"/>
        <v/>
      </c>
      <c r="J192" s="182">
        <v>98</v>
      </c>
      <c r="K192" s="183">
        <v>0</v>
      </c>
      <c r="L192" s="191" t="str">
        <f t="shared" si="18"/>
        <v/>
      </c>
      <c r="M192" s="188">
        <f t="shared" si="19"/>
        <v>6.967006248978054E-2</v>
      </c>
      <c r="N192" s="189" t="str">
        <f t="shared" si="20"/>
        <v/>
      </c>
    </row>
    <row r="193" spans="1:14" hidden="1" outlineLevel="1">
      <c r="A193" s="180"/>
      <c r="B193" s="190" t="s">
        <v>876</v>
      </c>
      <c r="C193" s="186">
        <f t="shared" si="14"/>
        <v>165.71428571428572</v>
      </c>
      <c r="E193" s="182">
        <v>49</v>
      </c>
      <c r="F193" s="183">
        <v>7</v>
      </c>
      <c r="G193" s="191">
        <f t="shared" si="15"/>
        <v>600</v>
      </c>
      <c r="H193" s="188">
        <f t="shared" si="16"/>
        <v>0.17324894813138633</v>
      </c>
      <c r="I193" s="188">
        <f t="shared" si="17"/>
        <v>2.6832260042931617E-2</v>
      </c>
      <c r="J193" s="182">
        <v>93</v>
      </c>
      <c r="K193" s="183">
        <v>35</v>
      </c>
      <c r="L193" s="191">
        <f t="shared" si="18"/>
        <v>165.71428571428572</v>
      </c>
      <c r="M193" s="188">
        <f t="shared" si="19"/>
        <v>6.611546746479173E-2</v>
      </c>
      <c r="N193" s="189">
        <f t="shared" si="20"/>
        <v>2.427487481100276E-2</v>
      </c>
    </row>
    <row r="194" spans="1:14" hidden="1" outlineLevel="1">
      <c r="A194" s="180"/>
      <c r="B194" s="190" t="s">
        <v>1203</v>
      </c>
      <c r="C194" s="186" t="str">
        <f t="shared" si="14"/>
        <v/>
      </c>
      <c r="E194" s="182">
        <v>14</v>
      </c>
      <c r="F194" s="183">
        <v>0</v>
      </c>
      <c r="G194" s="191" t="str">
        <f t="shared" si="15"/>
        <v/>
      </c>
      <c r="H194" s="188">
        <f t="shared" si="16"/>
        <v>4.9499699466110388E-2</v>
      </c>
      <c r="I194" s="188" t="str">
        <f t="shared" si="17"/>
        <v/>
      </c>
      <c r="J194" s="182">
        <v>77</v>
      </c>
      <c r="K194" s="183">
        <v>0</v>
      </c>
      <c r="L194" s="191" t="str">
        <f t="shared" si="18"/>
        <v/>
      </c>
      <c r="M194" s="188">
        <f t="shared" si="19"/>
        <v>5.474076338482757E-2</v>
      </c>
      <c r="N194" s="189" t="str">
        <f t="shared" si="20"/>
        <v/>
      </c>
    </row>
    <row r="195" spans="1:14" hidden="1" outlineLevel="1">
      <c r="A195" s="180"/>
      <c r="B195" s="190" t="s">
        <v>874</v>
      </c>
      <c r="C195" s="186">
        <f t="shared" si="14"/>
        <v>-23.684210526315788</v>
      </c>
      <c r="E195" s="182">
        <v>19</v>
      </c>
      <c r="F195" s="183">
        <v>11</v>
      </c>
      <c r="G195" s="191">
        <f t="shared" si="15"/>
        <v>72.727272727272734</v>
      </c>
      <c r="H195" s="188">
        <f t="shared" si="16"/>
        <v>6.7178163561149806E-2</v>
      </c>
      <c r="I195" s="188">
        <f t="shared" si="17"/>
        <v>4.216498006746397E-2</v>
      </c>
      <c r="J195" s="182">
        <v>58</v>
      </c>
      <c r="K195" s="183">
        <v>76</v>
      </c>
      <c r="L195" s="191">
        <f t="shared" si="18"/>
        <v>-23.684210526315788</v>
      </c>
      <c r="M195" s="188">
        <f t="shared" si="19"/>
        <v>4.1233302289870113E-2</v>
      </c>
      <c r="N195" s="189">
        <f t="shared" si="20"/>
        <v>5.2711156732463141E-2</v>
      </c>
    </row>
    <row r="196" spans="1:14" hidden="1" outlineLevel="1">
      <c r="A196" s="180"/>
      <c r="B196" s="190" t="s">
        <v>875</v>
      </c>
      <c r="C196" s="186">
        <f t="shared" si="14"/>
        <v>-80.281690140845072</v>
      </c>
      <c r="E196" s="182">
        <v>0</v>
      </c>
      <c r="F196" s="183">
        <v>15</v>
      </c>
      <c r="G196" s="191">
        <f t="shared" si="15"/>
        <v>-100</v>
      </c>
      <c r="H196" s="188" t="str">
        <f t="shared" si="16"/>
        <v/>
      </c>
      <c r="I196" s="188">
        <f t="shared" si="17"/>
        <v>5.7497700091996319E-2</v>
      </c>
      <c r="J196" s="182">
        <v>14</v>
      </c>
      <c r="K196" s="183">
        <v>71</v>
      </c>
      <c r="L196" s="191">
        <f t="shared" si="18"/>
        <v>-80.281690140845072</v>
      </c>
      <c r="M196" s="188">
        <f t="shared" si="19"/>
        <v>9.9528660699686484E-3</v>
      </c>
      <c r="N196" s="189">
        <f t="shared" si="20"/>
        <v>4.9243317473748459E-2</v>
      </c>
    </row>
    <row r="197" spans="1:14" hidden="1" outlineLevel="1">
      <c r="A197" s="180"/>
      <c r="B197" s="190" t="s">
        <v>1115</v>
      </c>
      <c r="C197" s="186">
        <f t="shared" si="14"/>
        <v>-100</v>
      </c>
      <c r="E197" s="182">
        <v>0</v>
      </c>
      <c r="F197" s="183">
        <v>2</v>
      </c>
      <c r="G197" s="191">
        <f t="shared" si="15"/>
        <v>-100</v>
      </c>
      <c r="H197" s="188" t="str">
        <f t="shared" si="16"/>
        <v/>
      </c>
      <c r="I197" s="188">
        <f t="shared" si="17"/>
        <v>7.6663600122661765E-3</v>
      </c>
      <c r="J197" s="182">
        <v>0</v>
      </c>
      <c r="K197" s="183">
        <v>9</v>
      </c>
      <c r="L197" s="191">
        <f t="shared" si="18"/>
        <v>-100</v>
      </c>
      <c r="M197" s="188" t="str">
        <f t="shared" si="19"/>
        <v/>
      </c>
      <c r="N197" s="189">
        <f t="shared" si="20"/>
        <v>6.2421106656864239E-3</v>
      </c>
    </row>
    <row r="198" spans="1:14" collapsed="1">
      <c r="A198" s="180" t="s">
        <v>1257</v>
      </c>
      <c r="B198" s="179" t="s">
        <v>269</v>
      </c>
      <c r="C198" s="186">
        <f t="shared" si="14"/>
        <v>-7.3456352022711142</v>
      </c>
      <c r="E198" s="182">
        <v>497</v>
      </c>
      <c r="F198" s="183">
        <v>330</v>
      </c>
      <c r="G198" s="191">
        <f t="shared" si="15"/>
        <v>50.606060606060609</v>
      </c>
      <c r="H198" s="188">
        <f t="shared" si="16"/>
        <v>1.7572393310469188</v>
      </c>
      <c r="I198" s="188">
        <f t="shared" si="17"/>
        <v>1.2649494020239191</v>
      </c>
      <c r="J198" s="182">
        <v>2611</v>
      </c>
      <c r="K198" s="183">
        <v>2818</v>
      </c>
      <c r="L198" s="191">
        <f t="shared" si="18"/>
        <v>-7.3456352022711142</v>
      </c>
      <c r="M198" s="188">
        <f t="shared" si="19"/>
        <v>1.8562095220491528</v>
      </c>
      <c r="N198" s="189">
        <f t="shared" si="20"/>
        <v>1.9544742062115938</v>
      </c>
    </row>
    <row r="199" spans="1:14" hidden="1" outlineLevel="1">
      <c r="A199" s="180"/>
      <c r="B199" s="190" t="s">
        <v>877</v>
      </c>
      <c r="C199" s="186">
        <f t="shared" si="14"/>
        <v>15.075376884422109</v>
      </c>
      <c r="E199" s="182">
        <v>226</v>
      </c>
      <c r="F199" s="183">
        <v>137</v>
      </c>
      <c r="G199" s="191">
        <f t="shared" si="15"/>
        <v>64.96350364963503</v>
      </c>
      <c r="H199" s="188">
        <f t="shared" si="16"/>
        <v>0.79906657709578188</v>
      </c>
      <c r="I199" s="188">
        <f t="shared" si="17"/>
        <v>0.52514566084023306</v>
      </c>
      <c r="J199" s="182">
        <v>916</v>
      </c>
      <c r="K199" s="183">
        <v>796</v>
      </c>
      <c r="L199" s="191">
        <f t="shared" si="18"/>
        <v>15.075376884422109</v>
      </c>
      <c r="M199" s="188">
        <f t="shared" si="19"/>
        <v>0.65120180857794874</v>
      </c>
      <c r="N199" s="189">
        <f t="shared" si="20"/>
        <v>0.55208000998737705</v>
      </c>
    </row>
    <row r="200" spans="1:14" hidden="1" outlineLevel="1">
      <c r="A200" s="180"/>
      <c r="B200" s="190" t="s">
        <v>878</v>
      </c>
      <c r="C200" s="186">
        <f t="shared" si="14"/>
        <v>-43.56120826709062</v>
      </c>
      <c r="E200" s="182">
        <v>68</v>
      </c>
      <c r="F200" s="183">
        <v>43</v>
      </c>
      <c r="G200" s="191">
        <f t="shared" si="15"/>
        <v>58.139534883720934</v>
      </c>
      <c r="H200" s="188">
        <f t="shared" si="16"/>
        <v>0.24042711169253617</v>
      </c>
      <c r="I200" s="188">
        <f t="shared" si="17"/>
        <v>0.16482674026372279</v>
      </c>
      <c r="J200" s="182">
        <v>355</v>
      </c>
      <c r="K200" s="183">
        <v>629</v>
      </c>
      <c r="L200" s="191">
        <f t="shared" si="18"/>
        <v>-43.56120826709062</v>
      </c>
      <c r="M200" s="188">
        <f t="shared" si="19"/>
        <v>0.252376246774205</v>
      </c>
      <c r="N200" s="189">
        <f t="shared" si="20"/>
        <v>0.43625417874630673</v>
      </c>
    </row>
    <row r="201" spans="1:14" hidden="1" outlineLevel="1">
      <c r="A201" s="180"/>
      <c r="B201" s="190" t="s">
        <v>881</v>
      </c>
      <c r="C201" s="186">
        <f t="shared" si="14"/>
        <v>42.338709677419359</v>
      </c>
      <c r="E201" s="182">
        <v>51</v>
      </c>
      <c r="F201" s="183">
        <v>30</v>
      </c>
      <c r="G201" s="191">
        <f t="shared" si="15"/>
        <v>70</v>
      </c>
      <c r="H201" s="188">
        <f t="shared" si="16"/>
        <v>0.18032033376940212</v>
      </c>
      <c r="I201" s="188">
        <f t="shared" si="17"/>
        <v>0.11499540018399264</v>
      </c>
      <c r="J201" s="182">
        <v>353</v>
      </c>
      <c r="K201" s="183">
        <v>248</v>
      </c>
      <c r="L201" s="191">
        <f t="shared" si="18"/>
        <v>42.338709677419359</v>
      </c>
      <c r="M201" s="188">
        <f t="shared" si="19"/>
        <v>0.25095440876420949</v>
      </c>
      <c r="N201" s="189">
        <f t="shared" si="20"/>
        <v>0.17200482723224814</v>
      </c>
    </row>
    <row r="202" spans="1:14" hidden="1" outlineLevel="1">
      <c r="A202" s="180"/>
      <c r="B202" s="190" t="s">
        <v>880</v>
      </c>
      <c r="C202" s="186">
        <f t="shared" ref="C202:C265" si="21">IF(K202=0,"",SUM(((J202-K202)/K202)*100))</f>
        <v>4.2704626334519578</v>
      </c>
      <c r="E202" s="182">
        <v>6</v>
      </c>
      <c r="F202" s="183">
        <v>1</v>
      </c>
      <c r="G202" s="191">
        <f t="shared" ref="G202:G265" si="22">IF(F202=0,"",SUM(((E202-F202)/F202)*100))</f>
        <v>500</v>
      </c>
      <c r="H202" s="188">
        <f t="shared" ref="H202:H265" si="23">IF(E202=0,"",SUM((E202/CntPeriod)*100))</f>
        <v>2.1214156914047308E-2</v>
      </c>
      <c r="I202" s="188">
        <f t="shared" ref="I202:I265" si="24">IF(F202=0,"",SUM((F202/CntPeriodPrevYear)*100))</f>
        <v>3.8331800061330882E-3</v>
      </c>
      <c r="J202" s="182">
        <v>293</v>
      </c>
      <c r="K202" s="183">
        <v>281</v>
      </c>
      <c r="L202" s="191">
        <f t="shared" ref="L202:L265" si="25">IF(K202=0,"",SUM(((J202-K202)/K202)*100))</f>
        <v>4.2704626334519578</v>
      </c>
      <c r="M202" s="188">
        <f t="shared" ref="M202:M265" si="26">IF(J202=0,"",SUM((J202/CntYearAck)*100))</f>
        <v>0.20829926846434385</v>
      </c>
      <c r="N202" s="189">
        <f t="shared" ref="N202:N265" si="27">IF(K202=0,"",SUM((K202/CntPrevYearAck)*100))</f>
        <v>0.19489256633976501</v>
      </c>
    </row>
    <row r="203" spans="1:14" hidden="1" outlineLevel="1">
      <c r="A203" s="180"/>
      <c r="B203" s="190" t="s">
        <v>879</v>
      </c>
      <c r="C203" s="186">
        <f t="shared" si="21"/>
        <v>-21.529745042492916</v>
      </c>
      <c r="E203" s="182">
        <v>57</v>
      </c>
      <c r="F203" s="183">
        <v>79</v>
      </c>
      <c r="G203" s="191">
        <f t="shared" si="22"/>
        <v>-27.848101265822784</v>
      </c>
      <c r="H203" s="188">
        <f t="shared" si="23"/>
        <v>0.20153449068344942</v>
      </c>
      <c r="I203" s="188">
        <f t="shared" si="24"/>
        <v>0.30282122048451399</v>
      </c>
      <c r="J203" s="182">
        <v>277</v>
      </c>
      <c r="K203" s="183">
        <v>353</v>
      </c>
      <c r="L203" s="191">
        <f t="shared" si="25"/>
        <v>-21.529745042492916</v>
      </c>
      <c r="M203" s="188">
        <f t="shared" si="26"/>
        <v>0.19692456438437969</v>
      </c>
      <c r="N203" s="189">
        <f t="shared" si="27"/>
        <v>0.24482945166525641</v>
      </c>
    </row>
    <row r="204" spans="1:14" hidden="1" outlineLevel="1">
      <c r="A204" s="180"/>
      <c r="B204" s="190" t="s">
        <v>883</v>
      </c>
      <c r="C204" s="186">
        <f t="shared" si="21"/>
        <v>7.7844311377245514</v>
      </c>
      <c r="E204" s="182">
        <v>55</v>
      </c>
      <c r="F204" s="183">
        <v>25</v>
      </c>
      <c r="G204" s="191">
        <f t="shared" si="22"/>
        <v>120</v>
      </c>
      <c r="H204" s="188">
        <f t="shared" si="23"/>
        <v>0.19446310504543365</v>
      </c>
      <c r="I204" s="188">
        <f t="shared" si="24"/>
        <v>9.5829500153327196E-2</v>
      </c>
      <c r="J204" s="182">
        <v>180</v>
      </c>
      <c r="K204" s="183">
        <v>167</v>
      </c>
      <c r="L204" s="191">
        <f t="shared" si="25"/>
        <v>7.7844311377245514</v>
      </c>
      <c r="M204" s="188">
        <f t="shared" si="26"/>
        <v>0.12796542089959689</v>
      </c>
      <c r="N204" s="189">
        <f t="shared" si="27"/>
        <v>0.11582583124107031</v>
      </c>
    </row>
    <row r="205" spans="1:14" hidden="1" outlineLevel="1">
      <c r="A205" s="180"/>
      <c r="B205" s="190" t="s">
        <v>882</v>
      </c>
      <c r="C205" s="186">
        <f t="shared" si="21"/>
        <v>-25.396825396825395</v>
      </c>
      <c r="E205" s="182">
        <v>18</v>
      </c>
      <c r="F205" s="183">
        <v>11</v>
      </c>
      <c r="G205" s="191">
        <f t="shared" si="22"/>
        <v>63.636363636363633</v>
      </c>
      <c r="H205" s="188">
        <f t="shared" si="23"/>
        <v>6.3642470742141924E-2</v>
      </c>
      <c r="I205" s="188">
        <f t="shared" si="24"/>
        <v>4.216498006746397E-2</v>
      </c>
      <c r="J205" s="182">
        <v>141</v>
      </c>
      <c r="K205" s="183">
        <v>189</v>
      </c>
      <c r="L205" s="191">
        <f t="shared" si="25"/>
        <v>-25.396825396825395</v>
      </c>
      <c r="M205" s="188">
        <f t="shared" si="26"/>
        <v>0.10023957970468425</v>
      </c>
      <c r="N205" s="189">
        <f t="shared" si="27"/>
        <v>0.13108432397941491</v>
      </c>
    </row>
    <row r="206" spans="1:14" hidden="1" outlineLevel="1">
      <c r="A206" s="180"/>
      <c r="B206" s="190" t="s">
        <v>884</v>
      </c>
      <c r="C206" s="186">
        <f t="shared" si="21"/>
        <v>-54.794520547945204</v>
      </c>
      <c r="E206" s="182">
        <v>13</v>
      </c>
      <c r="F206" s="183">
        <v>4</v>
      </c>
      <c r="G206" s="191">
        <f t="shared" si="22"/>
        <v>225</v>
      </c>
      <c r="H206" s="188">
        <f t="shared" si="23"/>
        <v>4.5964006647102498E-2</v>
      </c>
      <c r="I206" s="188">
        <f t="shared" si="24"/>
        <v>1.5332720024532353E-2</v>
      </c>
      <c r="J206" s="182">
        <v>66</v>
      </c>
      <c r="K206" s="183">
        <v>146</v>
      </c>
      <c r="L206" s="191">
        <f t="shared" si="25"/>
        <v>-54.794520547945204</v>
      </c>
      <c r="M206" s="188">
        <f t="shared" si="26"/>
        <v>4.69206543298522E-2</v>
      </c>
      <c r="N206" s="189">
        <f t="shared" si="27"/>
        <v>0.10126090635446865</v>
      </c>
    </row>
    <row r="207" spans="1:14" hidden="1" outlineLevel="1">
      <c r="A207" s="180"/>
      <c r="B207" s="190" t="s">
        <v>885</v>
      </c>
      <c r="C207" s="186">
        <f t="shared" si="21"/>
        <v>233.33333333333334</v>
      </c>
      <c r="E207" s="182">
        <v>3</v>
      </c>
      <c r="F207" s="183">
        <v>0</v>
      </c>
      <c r="G207" s="191" t="str">
        <f t="shared" si="22"/>
        <v/>
      </c>
      <c r="H207" s="188">
        <f t="shared" si="23"/>
        <v>1.0607078457023654E-2</v>
      </c>
      <c r="I207" s="188" t="str">
        <f t="shared" si="24"/>
        <v/>
      </c>
      <c r="J207" s="182">
        <v>30</v>
      </c>
      <c r="K207" s="183">
        <v>9</v>
      </c>
      <c r="L207" s="191">
        <f t="shared" si="25"/>
        <v>233.33333333333334</v>
      </c>
      <c r="M207" s="188">
        <f t="shared" si="26"/>
        <v>2.1327570149932817E-2</v>
      </c>
      <c r="N207" s="189">
        <f t="shared" si="27"/>
        <v>6.2421106656864239E-3</v>
      </c>
    </row>
    <row r="208" spans="1:14" collapsed="1">
      <c r="A208" s="180" t="s">
        <v>1258</v>
      </c>
      <c r="B208" s="179" t="s">
        <v>283</v>
      </c>
      <c r="C208" s="186">
        <f t="shared" si="21"/>
        <v>-15.918958031837915</v>
      </c>
      <c r="E208" s="182">
        <v>420</v>
      </c>
      <c r="F208" s="183">
        <v>287</v>
      </c>
      <c r="G208" s="191">
        <f t="shared" si="22"/>
        <v>46.341463414634148</v>
      </c>
      <c r="H208" s="188">
        <f t="shared" si="23"/>
        <v>1.4849909839833115</v>
      </c>
      <c r="I208" s="188">
        <f t="shared" si="24"/>
        <v>1.1001226617601962</v>
      </c>
      <c r="J208" s="182">
        <v>2324</v>
      </c>
      <c r="K208" s="183">
        <v>2764</v>
      </c>
      <c r="L208" s="191">
        <f t="shared" si="25"/>
        <v>-15.918958031837915</v>
      </c>
      <c r="M208" s="188">
        <f t="shared" si="26"/>
        <v>1.6521757676147955</v>
      </c>
      <c r="N208" s="189">
        <f t="shared" si="27"/>
        <v>1.917021542217475</v>
      </c>
    </row>
    <row r="209" spans="1:14" hidden="1" outlineLevel="1">
      <c r="A209" s="180"/>
      <c r="B209" s="190" t="s">
        <v>887</v>
      </c>
      <c r="C209" s="186">
        <f t="shared" si="21"/>
        <v>-6.7812798471824252</v>
      </c>
      <c r="E209" s="182">
        <v>142</v>
      </c>
      <c r="F209" s="183">
        <v>176</v>
      </c>
      <c r="G209" s="191">
        <f t="shared" si="22"/>
        <v>-19.318181818181817</v>
      </c>
      <c r="H209" s="188">
        <f t="shared" si="23"/>
        <v>0.5020683802991196</v>
      </c>
      <c r="I209" s="188">
        <f t="shared" si="24"/>
        <v>0.67463968107942351</v>
      </c>
      <c r="J209" s="182">
        <v>976</v>
      </c>
      <c r="K209" s="183">
        <v>1047</v>
      </c>
      <c r="L209" s="191">
        <f t="shared" si="25"/>
        <v>-6.7812798471824252</v>
      </c>
      <c r="M209" s="188">
        <f t="shared" si="26"/>
        <v>0.69385694887781435</v>
      </c>
      <c r="N209" s="189">
        <f t="shared" si="27"/>
        <v>0.72616554077485407</v>
      </c>
    </row>
    <row r="210" spans="1:14" hidden="1" outlineLevel="1">
      <c r="A210" s="180"/>
      <c r="B210" s="190" t="s">
        <v>886</v>
      </c>
      <c r="C210" s="186">
        <f t="shared" si="21"/>
        <v>-43.214756258234523</v>
      </c>
      <c r="E210" s="182">
        <v>162</v>
      </c>
      <c r="F210" s="183">
        <v>68</v>
      </c>
      <c r="G210" s="191">
        <f t="shared" si="22"/>
        <v>138.23529411764704</v>
      </c>
      <c r="H210" s="188">
        <f t="shared" si="23"/>
        <v>0.5727822366792773</v>
      </c>
      <c r="I210" s="188">
        <f t="shared" si="24"/>
        <v>0.26065624041704999</v>
      </c>
      <c r="J210" s="182">
        <v>862</v>
      </c>
      <c r="K210" s="183">
        <v>1518</v>
      </c>
      <c r="L210" s="191">
        <f t="shared" si="25"/>
        <v>-43.214756258234523</v>
      </c>
      <c r="M210" s="188">
        <f t="shared" si="26"/>
        <v>0.61281218230806966</v>
      </c>
      <c r="N210" s="189">
        <f t="shared" si="27"/>
        <v>1.052835998945777</v>
      </c>
    </row>
    <row r="211" spans="1:14" hidden="1" outlineLevel="1">
      <c r="A211" s="180"/>
      <c r="B211" s="190" t="s">
        <v>890</v>
      </c>
      <c r="C211" s="186">
        <f t="shared" si="21"/>
        <v>451.72413793103453</v>
      </c>
      <c r="E211" s="182">
        <v>24</v>
      </c>
      <c r="F211" s="183">
        <v>1</v>
      </c>
      <c r="G211" s="191">
        <f t="shared" si="22"/>
        <v>2300</v>
      </c>
      <c r="H211" s="188">
        <f t="shared" si="23"/>
        <v>8.4856627656189232E-2</v>
      </c>
      <c r="I211" s="188">
        <f t="shared" si="24"/>
        <v>3.8331800061330882E-3</v>
      </c>
      <c r="J211" s="182">
        <v>160</v>
      </c>
      <c r="K211" s="183">
        <v>29</v>
      </c>
      <c r="L211" s="191">
        <f t="shared" si="25"/>
        <v>451.72413793103453</v>
      </c>
      <c r="M211" s="188">
        <f t="shared" si="26"/>
        <v>0.11374704079964171</v>
      </c>
      <c r="N211" s="189">
        <f t="shared" si="27"/>
        <v>2.0113467700545142E-2</v>
      </c>
    </row>
    <row r="212" spans="1:14" hidden="1" outlineLevel="1">
      <c r="A212" s="180"/>
      <c r="B212" s="190" t="s">
        <v>1011</v>
      </c>
      <c r="C212" s="186" t="str">
        <f t="shared" si="21"/>
        <v/>
      </c>
      <c r="E212" s="182">
        <v>37</v>
      </c>
      <c r="F212" s="183">
        <v>0</v>
      </c>
      <c r="G212" s="191" t="str">
        <f t="shared" si="22"/>
        <v/>
      </c>
      <c r="H212" s="188">
        <f t="shared" si="23"/>
        <v>0.13082063430329172</v>
      </c>
      <c r="I212" s="188" t="str">
        <f t="shared" si="24"/>
        <v/>
      </c>
      <c r="J212" s="182">
        <v>146</v>
      </c>
      <c r="K212" s="183">
        <v>0</v>
      </c>
      <c r="L212" s="191" t="str">
        <f t="shared" si="25"/>
        <v/>
      </c>
      <c r="M212" s="188">
        <f t="shared" si="26"/>
        <v>0.10379417472967305</v>
      </c>
      <c r="N212" s="189" t="str">
        <f t="shared" si="27"/>
        <v/>
      </c>
    </row>
    <row r="213" spans="1:14" hidden="1" outlineLevel="1">
      <c r="A213" s="180"/>
      <c r="B213" s="190" t="s">
        <v>888</v>
      </c>
      <c r="C213" s="186">
        <f t="shared" si="21"/>
        <v>-50</v>
      </c>
      <c r="E213" s="182">
        <v>32</v>
      </c>
      <c r="F213" s="183">
        <v>19</v>
      </c>
      <c r="G213" s="191">
        <f t="shared" si="22"/>
        <v>68.421052631578945</v>
      </c>
      <c r="H213" s="188">
        <f t="shared" si="23"/>
        <v>0.1131421702082523</v>
      </c>
      <c r="I213" s="188">
        <f t="shared" si="24"/>
        <v>7.2830420116528669E-2</v>
      </c>
      <c r="J213" s="182">
        <v>54</v>
      </c>
      <c r="K213" s="183">
        <v>108</v>
      </c>
      <c r="L213" s="191">
        <f t="shared" si="25"/>
        <v>-50</v>
      </c>
      <c r="M213" s="188">
        <f t="shared" si="26"/>
        <v>3.8389626269879074E-2</v>
      </c>
      <c r="N213" s="189">
        <f t="shared" si="27"/>
        <v>7.4905327988237097E-2</v>
      </c>
    </row>
    <row r="214" spans="1:14" hidden="1" outlineLevel="1">
      <c r="A214" s="180"/>
      <c r="B214" s="190" t="s">
        <v>889</v>
      </c>
      <c r="C214" s="186">
        <f t="shared" si="21"/>
        <v>-20.689655172413794</v>
      </c>
      <c r="E214" s="182">
        <v>1</v>
      </c>
      <c r="F214" s="183">
        <v>22</v>
      </c>
      <c r="G214" s="191">
        <f t="shared" si="22"/>
        <v>-95.454545454545453</v>
      </c>
      <c r="H214" s="188">
        <f t="shared" si="23"/>
        <v>3.5356928190078845E-3</v>
      </c>
      <c r="I214" s="188">
        <f t="shared" si="24"/>
        <v>8.4329960134927939E-2</v>
      </c>
      <c r="J214" s="182">
        <v>46</v>
      </c>
      <c r="K214" s="183">
        <v>58</v>
      </c>
      <c r="L214" s="191">
        <f t="shared" si="25"/>
        <v>-20.689655172413794</v>
      </c>
      <c r="M214" s="188">
        <f t="shared" si="26"/>
        <v>3.2702274229896994E-2</v>
      </c>
      <c r="N214" s="189">
        <f t="shared" si="27"/>
        <v>4.0226935401090284E-2</v>
      </c>
    </row>
    <row r="215" spans="1:14" hidden="1" outlineLevel="1">
      <c r="A215" s="180"/>
      <c r="B215" s="190" t="s">
        <v>1117</v>
      </c>
      <c r="C215" s="186" t="str">
        <f t="shared" si="21"/>
        <v/>
      </c>
      <c r="E215" s="182">
        <v>18</v>
      </c>
      <c r="F215" s="183">
        <v>0</v>
      </c>
      <c r="G215" s="191" t="str">
        <f t="shared" si="22"/>
        <v/>
      </c>
      <c r="H215" s="188">
        <f t="shared" si="23"/>
        <v>6.3642470742141924E-2</v>
      </c>
      <c r="I215" s="188" t="str">
        <f t="shared" si="24"/>
        <v/>
      </c>
      <c r="J215" s="182">
        <v>44</v>
      </c>
      <c r="K215" s="183">
        <v>0</v>
      </c>
      <c r="L215" s="191" t="str">
        <f t="shared" si="25"/>
        <v/>
      </c>
      <c r="M215" s="188">
        <f t="shared" si="26"/>
        <v>3.1280436219901467E-2</v>
      </c>
      <c r="N215" s="189" t="str">
        <f t="shared" si="27"/>
        <v/>
      </c>
    </row>
    <row r="216" spans="1:14" hidden="1" outlineLevel="1">
      <c r="A216" s="180"/>
      <c r="B216" s="190" t="s">
        <v>891</v>
      </c>
      <c r="C216" s="186">
        <f t="shared" si="21"/>
        <v>800</v>
      </c>
      <c r="E216" s="182">
        <v>4</v>
      </c>
      <c r="F216" s="183">
        <v>1</v>
      </c>
      <c r="G216" s="191">
        <f t="shared" si="22"/>
        <v>300</v>
      </c>
      <c r="H216" s="188">
        <f t="shared" si="23"/>
        <v>1.4142771276031538E-2</v>
      </c>
      <c r="I216" s="188">
        <f t="shared" si="24"/>
        <v>3.8331800061330882E-3</v>
      </c>
      <c r="J216" s="182">
        <v>36</v>
      </c>
      <c r="K216" s="183">
        <v>4</v>
      </c>
      <c r="L216" s="191">
        <f t="shared" si="25"/>
        <v>800</v>
      </c>
      <c r="M216" s="188">
        <f t="shared" si="26"/>
        <v>2.559308417991938E-2</v>
      </c>
      <c r="N216" s="189">
        <f t="shared" si="27"/>
        <v>2.7742714069717441E-3</v>
      </c>
    </row>
    <row r="217" spans="1:14" collapsed="1">
      <c r="A217" s="180" t="s">
        <v>1204</v>
      </c>
      <c r="B217" s="179" t="s">
        <v>278</v>
      </c>
      <c r="C217" s="186">
        <f t="shared" si="21"/>
        <v>155.09138381201043</v>
      </c>
      <c r="E217" s="182">
        <v>176</v>
      </c>
      <c r="F217" s="183">
        <v>118</v>
      </c>
      <c r="G217" s="191">
        <f t="shared" si="22"/>
        <v>49.152542372881356</v>
      </c>
      <c r="H217" s="188">
        <f t="shared" si="23"/>
        <v>0.62228193614538763</v>
      </c>
      <c r="I217" s="188">
        <f t="shared" si="24"/>
        <v>0.45231524072370433</v>
      </c>
      <c r="J217" s="182">
        <v>1954</v>
      </c>
      <c r="K217" s="183">
        <v>766</v>
      </c>
      <c r="L217" s="191">
        <f t="shared" si="25"/>
        <v>155.09138381201043</v>
      </c>
      <c r="M217" s="188">
        <f t="shared" si="26"/>
        <v>1.3891357357656242</v>
      </c>
      <c r="N217" s="189">
        <f t="shared" si="27"/>
        <v>0.53127297443508892</v>
      </c>
    </row>
    <row r="218" spans="1:14" hidden="1" outlineLevel="1">
      <c r="A218" s="180"/>
      <c r="B218" s="190" t="s">
        <v>990</v>
      </c>
      <c r="C218" s="186" t="str">
        <f t="shared" si="21"/>
        <v/>
      </c>
      <c r="E218" s="182">
        <v>62</v>
      </c>
      <c r="F218" s="183">
        <v>0</v>
      </c>
      <c r="G218" s="191" t="str">
        <f t="shared" si="22"/>
        <v/>
      </c>
      <c r="H218" s="188">
        <f t="shared" si="23"/>
        <v>0.21921295477848884</v>
      </c>
      <c r="I218" s="188" t="str">
        <f t="shared" si="24"/>
        <v/>
      </c>
      <c r="J218" s="182">
        <v>799</v>
      </c>
      <c r="K218" s="183">
        <v>0</v>
      </c>
      <c r="L218" s="191" t="str">
        <f t="shared" si="25"/>
        <v/>
      </c>
      <c r="M218" s="188">
        <f t="shared" si="26"/>
        <v>0.56802428499321078</v>
      </c>
      <c r="N218" s="189" t="str">
        <f t="shared" si="27"/>
        <v/>
      </c>
    </row>
    <row r="219" spans="1:14" hidden="1" outlineLevel="1">
      <c r="A219" s="180"/>
      <c r="B219" s="190" t="s">
        <v>941</v>
      </c>
      <c r="C219" s="186">
        <f t="shared" si="21"/>
        <v>61.928934010152282</v>
      </c>
      <c r="E219" s="182">
        <v>9</v>
      </c>
      <c r="F219" s="183">
        <v>51</v>
      </c>
      <c r="G219" s="191">
        <f t="shared" si="22"/>
        <v>-82.35294117647058</v>
      </c>
      <c r="H219" s="188">
        <f t="shared" si="23"/>
        <v>3.1821235371070962E-2</v>
      </c>
      <c r="I219" s="188">
        <f t="shared" si="24"/>
        <v>0.19549218031278751</v>
      </c>
      <c r="J219" s="182">
        <v>319</v>
      </c>
      <c r="K219" s="183">
        <v>197</v>
      </c>
      <c r="L219" s="191">
        <f t="shared" si="25"/>
        <v>61.928934010152282</v>
      </c>
      <c r="M219" s="188">
        <f t="shared" si="26"/>
        <v>0.22678316259428563</v>
      </c>
      <c r="N219" s="189">
        <f t="shared" si="27"/>
        <v>0.1366328667933584</v>
      </c>
    </row>
    <row r="220" spans="1:14" hidden="1" outlineLevel="1">
      <c r="A220" s="180"/>
      <c r="B220" s="190" t="s">
        <v>940</v>
      </c>
      <c r="C220" s="186">
        <f t="shared" si="21"/>
        <v>14.285714285714285</v>
      </c>
      <c r="E220" s="182">
        <v>38</v>
      </c>
      <c r="F220" s="183">
        <v>19</v>
      </c>
      <c r="G220" s="191">
        <f t="shared" si="22"/>
        <v>100</v>
      </c>
      <c r="H220" s="188">
        <f t="shared" si="23"/>
        <v>0.13435632712229961</v>
      </c>
      <c r="I220" s="188">
        <f t="shared" si="24"/>
        <v>7.2830420116528669E-2</v>
      </c>
      <c r="J220" s="182">
        <v>296</v>
      </c>
      <c r="K220" s="183">
        <v>259</v>
      </c>
      <c r="L220" s="191">
        <f t="shared" si="25"/>
        <v>14.285714285714285</v>
      </c>
      <c r="M220" s="188">
        <f t="shared" si="26"/>
        <v>0.21043202547933715</v>
      </c>
      <c r="N220" s="189">
        <f t="shared" si="27"/>
        <v>0.17963407360142042</v>
      </c>
    </row>
    <row r="221" spans="1:14" hidden="1" outlineLevel="1">
      <c r="A221" s="180"/>
      <c r="B221" s="190" t="s">
        <v>943</v>
      </c>
      <c r="C221" s="186">
        <f t="shared" si="21"/>
        <v>195.78947368421055</v>
      </c>
      <c r="E221" s="182">
        <v>31</v>
      </c>
      <c r="F221" s="183">
        <v>13</v>
      </c>
      <c r="G221" s="191">
        <f t="shared" si="22"/>
        <v>138.46153846153845</v>
      </c>
      <c r="H221" s="188">
        <f t="shared" si="23"/>
        <v>0.10960647738924442</v>
      </c>
      <c r="I221" s="188">
        <f t="shared" si="24"/>
        <v>4.9831340079730141E-2</v>
      </c>
      <c r="J221" s="182">
        <v>281</v>
      </c>
      <c r="K221" s="183">
        <v>95</v>
      </c>
      <c r="L221" s="191">
        <f t="shared" si="25"/>
        <v>195.78947368421055</v>
      </c>
      <c r="M221" s="188">
        <f t="shared" si="26"/>
        <v>0.19976824040437072</v>
      </c>
      <c r="N221" s="189">
        <f t="shared" si="27"/>
        <v>6.5888945915578923E-2</v>
      </c>
    </row>
    <row r="222" spans="1:14" hidden="1" outlineLevel="1">
      <c r="A222" s="180"/>
      <c r="B222" s="190" t="s">
        <v>944</v>
      </c>
      <c r="C222" s="186">
        <f t="shared" si="21"/>
        <v>31.764705882352938</v>
      </c>
      <c r="E222" s="182">
        <v>19</v>
      </c>
      <c r="F222" s="183">
        <v>9</v>
      </c>
      <c r="G222" s="191">
        <f t="shared" si="22"/>
        <v>111.11111111111111</v>
      </c>
      <c r="H222" s="188">
        <f t="shared" si="23"/>
        <v>6.7178163561149806E-2</v>
      </c>
      <c r="I222" s="188">
        <f t="shared" si="24"/>
        <v>3.4498620055197791E-2</v>
      </c>
      <c r="J222" s="182">
        <v>112</v>
      </c>
      <c r="K222" s="183">
        <v>85</v>
      </c>
      <c r="L222" s="191">
        <f t="shared" si="25"/>
        <v>31.764705882352938</v>
      </c>
      <c r="M222" s="188">
        <f t="shared" si="26"/>
        <v>7.9622928559749187E-2</v>
      </c>
      <c r="N222" s="189">
        <f t="shared" si="27"/>
        <v>5.8953267398149566E-2</v>
      </c>
    </row>
    <row r="223" spans="1:14" hidden="1" outlineLevel="1">
      <c r="A223" s="180"/>
      <c r="B223" s="190" t="s">
        <v>942</v>
      </c>
      <c r="C223" s="186">
        <f t="shared" si="21"/>
        <v>1.0309278350515463</v>
      </c>
      <c r="E223" s="182">
        <v>10</v>
      </c>
      <c r="F223" s="183">
        <v>21</v>
      </c>
      <c r="G223" s="191">
        <f t="shared" si="22"/>
        <v>-52.380952380952387</v>
      </c>
      <c r="H223" s="188">
        <f t="shared" si="23"/>
        <v>3.5356928190078844E-2</v>
      </c>
      <c r="I223" s="188">
        <f t="shared" si="24"/>
        <v>8.0496780128794854E-2</v>
      </c>
      <c r="J223" s="182">
        <v>98</v>
      </c>
      <c r="K223" s="183">
        <v>97</v>
      </c>
      <c r="L223" s="191">
        <f t="shared" si="25"/>
        <v>1.0309278350515463</v>
      </c>
      <c r="M223" s="188">
        <f t="shared" si="26"/>
        <v>6.967006248978054E-2</v>
      </c>
      <c r="N223" s="189">
        <f t="shared" si="27"/>
        <v>6.7276081619064801E-2</v>
      </c>
    </row>
    <row r="224" spans="1:14" hidden="1" outlineLevel="1">
      <c r="A224" s="180"/>
      <c r="B224" s="190" t="s">
        <v>945</v>
      </c>
      <c r="C224" s="186">
        <f t="shared" si="21"/>
        <v>131.57894736842107</v>
      </c>
      <c r="E224" s="182">
        <v>7</v>
      </c>
      <c r="F224" s="183">
        <v>3</v>
      </c>
      <c r="G224" s="191">
        <f t="shared" si="22"/>
        <v>133.33333333333331</v>
      </c>
      <c r="H224" s="188">
        <f t="shared" si="23"/>
        <v>2.4749849733055194E-2</v>
      </c>
      <c r="I224" s="188">
        <f t="shared" si="24"/>
        <v>1.1499540018399264E-2</v>
      </c>
      <c r="J224" s="182">
        <v>44</v>
      </c>
      <c r="K224" s="183">
        <v>19</v>
      </c>
      <c r="L224" s="191">
        <f t="shared" si="25"/>
        <v>131.57894736842107</v>
      </c>
      <c r="M224" s="188">
        <f t="shared" si="26"/>
        <v>3.1280436219901467E-2</v>
      </c>
      <c r="N224" s="189">
        <f t="shared" si="27"/>
        <v>1.3177789183115785E-2</v>
      </c>
    </row>
    <row r="225" spans="1:14" hidden="1" outlineLevel="1">
      <c r="A225" s="180"/>
      <c r="B225" s="190" t="s">
        <v>946</v>
      </c>
      <c r="C225" s="186">
        <f t="shared" si="21"/>
        <v>-50</v>
      </c>
      <c r="E225" s="182">
        <v>0</v>
      </c>
      <c r="F225" s="183">
        <v>2</v>
      </c>
      <c r="G225" s="191">
        <f t="shared" si="22"/>
        <v>-100</v>
      </c>
      <c r="H225" s="188" t="str">
        <f t="shared" si="23"/>
        <v/>
      </c>
      <c r="I225" s="188">
        <f t="shared" si="24"/>
        <v>7.6663600122661765E-3</v>
      </c>
      <c r="J225" s="182">
        <v>5</v>
      </c>
      <c r="K225" s="183">
        <v>10</v>
      </c>
      <c r="L225" s="191">
        <f t="shared" si="25"/>
        <v>-50</v>
      </c>
      <c r="M225" s="188">
        <f t="shared" si="26"/>
        <v>3.5545950249888034E-3</v>
      </c>
      <c r="N225" s="189">
        <f t="shared" si="27"/>
        <v>6.9356785174293605E-3</v>
      </c>
    </row>
    <row r="226" spans="1:14" hidden="1" outlineLevel="1">
      <c r="A226" s="180"/>
      <c r="B226" s="190" t="s">
        <v>947</v>
      </c>
      <c r="C226" s="186">
        <f t="shared" si="21"/>
        <v>-100</v>
      </c>
      <c r="E226" s="182">
        <v>0</v>
      </c>
      <c r="F226" s="183">
        <v>0</v>
      </c>
      <c r="G226" s="191" t="str">
        <f t="shared" si="22"/>
        <v/>
      </c>
      <c r="H226" s="188" t="str">
        <f t="shared" si="23"/>
        <v/>
      </c>
      <c r="I226" s="188" t="str">
        <f t="shared" si="24"/>
        <v/>
      </c>
      <c r="J226" s="182">
        <v>0</v>
      </c>
      <c r="K226" s="183">
        <v>4</v>
      </c>
      <c r="L226" s="191">
        <f t="shared" si="25"/>
        <v>-100</v>
      </c>
      <c r="M226" s="188" t="str">
        <f t="shared" si="26"/>
        <v/>
      </c>
      <c r="N226" s="189">
        <f t="shared" si="27"/>
        <v>2.7742714069717441E-3</v>
      </c>
    </row>
    <row r="227" spans="1:14" collapsed="1">
      <c r="A227" s="180" t="s">
        <v>1259</v>
      </c>
      <c r="B227" s="179" t="s">
        <v>264</v>
      </c>
      <c r="C227" s="186">
        <f t="shared" si="21"/>
        <v>0.58604155567394778</v>
      </c>
      <c r="E227" s="182">
        <v>527</v>
      </c>
      <c r="F227" s="183">
        <v>484</v>
      </c>
      <c r="G227" s="191">
        <f t="shared" si="22"/>
        <v>8.884297520661157</v>
      </c>
      <c r="H227" s="188">
        <f t="shared" si="23"/>
        <v>1.863310115617155</v>
      </c>
      <c r="I227" s="188">
        <f t="shared" si="24"/>
        <v>1.8552591229684148</v>
      </c>
      <c r="J227" s="182">
        <v>1888</v>
      </c>
      <c r="K227" s="183">
        <v>1877</v>
      </c>
      <c r="L227" s="191">
        <f t="shared" si="25"/>
        <v>0.58604155567394778</v>
      </c>
      <c r="M227" s="188">
        <f t="shared" si="26"/>
        <v>1.3422150814357721</v>
      </c>
      <c r="N227" s="189">
        <f t="shared" si="27"/>
        <v>1.3018268577214909</v>
      </c>
    </row>
    <row r="228" spans="1:14" hidden="1" outlineLevel="1">
      <c r="A228" s="180"/>
      <c r="B228" s="190" t="s">
        <v>899</v>
      </c>
      <c r="C228" s="186">
        <f t="shared" si="21"/>
        <v>47.704918032786885</v>
      </c>
      <c r="E228" s="182">
        <v>357</v>
      </c>
      <c r="F228" s="183">
        <v>251</v>
      </c>
      <c r="G228" s="191">
        <f t="shared" si="22"/>
        <v>42.231075697211153</v>
      </c>
      <c r="H228" s="188">
        <f t="shared" si="23"/>
        <v>1.2622423363858148</v>
      </c>
      <c r="I228" s="188">
        <f t="shared" si="24"/>
        <v>0.96212818153940516</v>
      </c>
      <c r="J228" s="182">
        <v>901</v>
      </c>
      <c r="K228" s="183">
        <v>610</v>
      </c>
      <c r="L228" s="191">
        <f t="shared" si="25"/>
        <v>47.704918032786885</v>
      </c>
      <c r="M228" s="188">
        <f t="shared" si="26"/>
        <v>0.64053802350298228</v>
      </c>
      <c r="N228" s="189">
        <f t="shared" si="27"/>
        <v>0.42307638956319099</v>
      </c>
    </row>
    <row r="229" spans="1:14" hidden="1" outlineLevel="1">
      <c r="A229" s="180"/>
      <c r="B229" s="190" t="s">
        <v>901</v>
      </c>
      <c r="C229" s="186">
        <f t="shared" si="21"/>
        <v>119.54022988505749</v>
      </c>
      <c r="E229" s="182">
        <v>117</v>
      </c>
      <c r="F229" s="183">
        <v>116</v>
      </c>
      <c r="G229" s="191">
        <f t="shared" si="22"/>
        <v>0.86206896551724133</v>
      </c>
      <c r="H229" s="188">
        <f t="shared" si="23"/>
        <v>0.41367605982392253</v>
      </c>
      <c r="I229" s="188">
        <f t="shared" si="24"/>
        <v>0.44464888071143827</v>
      </c>
      <c r="J229" s="182">
        <v>573</v>
      </c>
      <c r="K229" s="183">
        <v>261</v>
      </c>
      <c r="L229" s="191">
        <f t="shared" si="25"/>
        <v>119.54022988505749</v>
      </c>
      <c r="M229" s="188">
        <f t="shared" si="26"/>
        <v>0.40735658986371687</v>
      </c>
      <c r="N229" s="189">
        <f t="shared" si="27"/>
        <v>0.18102120930490631</v>
      </c>
    </row>
    <row r="230" spans="1:14" hidden="1" outlineLevel="1">
      <c r="A230" s="180"/>
      <c r="B230" s="190" t="s">
        <v>900</v>
      </c>
      <c r="C230" s="186">
        <f t="shared" si="21"/>
        <v>-48.638838475499092</v>
      </c>
      <c r="E230" s="182">
        <v>27</v>
      </c>
      <c r="F230" s="183">
        <v>13</v>
      </c>
      <c r="G230" s="191">
        <f t="shared" si="22"/>
        <v>107.69230769230769</v>
      </c>
      <c r="H230" s="188">
        <f t="shared" si="23"/>
        <v>9.5463706113212879E-2</v>
      </c>
      <c r="I230" s="188">
        <f t="shared" si="24"/>
        <v>4.9831340079730141E-2</v>
      </c>
      <c r="J230" s="182">
        <v>283</v>
      </c>
      <c r="K230" s="183">
        <v>551</v>
      </c>
      <c r="L230" s="191">
        <f t="shared" si="25"/>
        <v>-48.638838475499092</v>
      </c>
      <c r="M230" s="188">
        <f t="shared" si="26"/>
        <v>0.20119007841436623</v>
      </c>
      <c r="N230" s="189">
        <f t="shared" si="27"/>
        <v>0.38215588631035774</v>
      </c>
    </row>
    <row r="231" spans="1:14" hidden="1" outlineLevel="1">
      <c r="A231" s="180"/>
      <c r="B231" s="190" t="s">
        <v>903</v>
      </c>
      <c r="C231" s="186">
        <f t="shared" si="21"/>
        <v>-10.9375</v>
      </c>
      <c r="E231" s="182">
        <v>14</v>
      </c>
      <c r="F231" s="183">
        <v>19</v>
      </c>
      <c r="G231" s="191">
        <f t="shared" si="22"/>
        <v>-26.315789473684209</v>
      </c>
      <c r="H231" s="188">
        <f t="shared" si="23"/>
        <v>4.9499699466110388E-2</v>
      </c>
      <c r="I231" s="188">
        <f t="shared" si="24"/>
        <v>7.2830420116528669E-2</v>
      </c>
      <c r="J231" s="182">
        <v>57</v>
      </c>
      <c r="K231" s="183">
        <v>64</v>
      </c>
      <c r="L231" s="191">
        <f t="shared" si="25"/>
        <v>-10.9375</v>
      </c>
      <c r="M231" s="188">
        <f t="shared" si="26"/>
        <v>4.0522383284872357E-2</v>
      </c>
      <c r="N231" s="189">
        <f t="shared" si="27"/>
        <v>4.4388342511547906E-2</v>
      </c>
    </row>
    <row r="232" spans="1:14" hidden="1" outlineLevel="1">
      <c r="A232" s="180"/>
      <c r="B232" s="190" t="s">
        <v>907</v>
      </c>
      <c r="C232" s="186">
        <f t="shared" si="21"/>
        <v>61.904761904761905</v>
      </c>
      <c r="E232" s="182">
        <v>6</v>
      </c>
      <c r="F232" s="183">
        <v>2</v>
      </c>
      <c r="G232" s="191">
        <f t="shared" si="22"/>
        <v>200</v>
      </c>
      <c r="H232" s="188">
        <f t="shared" si="23"/>
        <v>2.1214156914047308E-2</v>
      </c>
      <c r="I232" s="188">
        <f t="shared" si="24"/>
        <v>7.6663600122661765E-3</v>
      </c>
      <c r="J232" s="182">
        <v>34</v>
      </c>
      <c r="K232" s="183">
        <v>21</v>
      </c>
      <c r="L232" s="191">
        <f t="shared" si="25"/>
        <v>61.904761904761905</v>
      </c>
      <c r="M232" s="188">
        <f t="shared" si="26"/>
        <v>2.417124616992386E-2</v>
      </c>
      <c r="N232" s="189">
        <f t="shared" si="27"/>
        <v>1.4564924886601655E-2</v>
      </c>
    </row>
    <row r="233" spans="1:14" hidden="1" outlineLevel="1">
      <c r="A233" s="180"/>
      <c r="B233" s="190" t="s">
        <v>904</v>
      </c>
      <c r="C233" s="186">
        <f t="shared" si="21"/>
        <v>-52.631578947368418</v>
      </c>
      <c r="E233" s="182">
        <v>2</v>
      </c>
      <c r="F233" s="183">
        <v>4</v>
      </c>
      <c r="G233" s="191">
        <f t="shared" si="22"/>
        <v>-50</v>
      </c>
      <c r="H233" s="188">
        <f t="shared" si="23"/>
        <v>7.071385638015769E-3</v>
      </c>
      <c r="I233" s="188">
        <f t="shared" si="24"/>
        <v>1.5332720024532353E-2</v>
      </c>
      <c r="J233" s="182">
        <v>27</v>
      </c>
      <c r="K233" s="183">
        <v>57</v>
      </c>
      <c r="L233" s="191">
        <f t="shared" si="25"/>
        <v>-52.631578947368418</v>
      </c>
      <c r="M233" s="188">
        <f t="shared" si="26"/>
        <v>1.9194813134939537E-2</v>
      </c>
      <c r="N233" s="189">
        <f t="shared" si="27"/>
        <v>3.9533367549347352E-2</v>
      </c>
    </row>
    <row r="234" spans="1:14" hidden="1" outlineLevel="1">
      <c r="A234" s="180"/>
      <c r="B234" s="190" t="s">
        <v>1118</v>
      </c>
      <c r="C234" s="186" t="str">
        <f t="shared" si="21"/>
        <v/>
      </c>
      <c r="E234" s="182">
        <v>4</v>
      </c>
      <c r="F234" s="183">
        <v>0</v>
      </c>
      <c r="G234" s="191" t="str">
        <f t="shared" si="22"/>
        <v/>
      </c>
      <c r="H234" s="188">
        <f t="shared" si="23"/>
        <v>1.4142771276031538E-2</v>
      </c>
      <c r="I234" s="188" t="str">
        <f t="shared" si="24"/>
        <v/>
      </c>
      <c r="J234" s="182">
        <v>13</v>
      </c>
      <c r="K234" s="183">
        <v>0</v>
      </c>
      <c r="L234" s="191" t="str">
        <f t="shared" si="25"/>
        <v/>
      </c>
      <c r="M234" s="188">
        <f t="shared" si="26"/>
        <v>9.2419470649708867E-3</v>
      </c>
      <c r="N234" s="189" t="str">
        <f t="shared" si="27"/>
        <v/>
      </c>
    </row>
    <row r="235" spans="1:14" hidden="1" outlineLevel="1">
      <c r="A235" s="180"/>
      <c r="B235" s="190" t="s">
        <v>902</v>
      </c>
      <c r="C235" s="186">
        <f t="shared" si="21"/>
        <v>-100</v>
      </c>
      <c r="E235" s="182">
        <v>0</v>
      </c>
      <c r="F235" s="183">
        <v>68</v>
      </c>
      <c r="G235" s="191">
        <f t="shared" si="22"/>
        <v>-100</v>
      </c>
      <c r="H235" s="188" t="str">
        <f t="shared" si="23"/>
        <v/>
      </c>
      <c r="I235" s="188">
        <f t="shared" si="24"/>
        <v>0.26065624041704999</v>
      </c>
      <c r="J235" s="182">
        <v>0</v>
      </c>
      <c r="K235" s="183">
        <v>214</v>
      </c>
      <c r="L235" s="191">
        <f t="shared" si="25"/>
        <v>-100</v>
      </c>
      <c r="M235" s="188" t="str">
        <f t="shared" si="26"/>
        <v/>
      </c>
      <c r="N235" s="189">
        <f t="shared" si="27"/>
        <v>0.1484235202729883</v>
      </c>
    </row>
    <row r="236" spans="1:14" hidden="1" outlineLevel="1">
      <c r="A236" s="180"/>
      <c r="B236" s="190" t="s">
        <v>905</v>
      </c>
      <c r="C236" s="186">
        <f t="shared" si="21"/>
        <v>-100</v>
      </c>
      <c r="E236" s="182">
        <v>0</v>
      </c>
      <c r="F236" s="183">
        <v>4</v>
      </c>
      <c r="G236" s="191">
        <f t="shared" si="22"/>
        <v>-100</v>
      </c>
      <c r="H236" s="188" t="str">
        <f t="shared" si="23"/>
        <v/>
      </c>
      <c r="I236" s="188">
        <f t="shared" si="24"/>
        <v>1.5332720024532353E-2</v>
      </c>
      <c r="J236" s="182">
        <v>0</v>
      </c>
      <c r="K236" s="183">
        <v>43</v>
      </c>
      <c r="L236" s="191">
        <f t="shared" si="25"/>
        <v>-100</v>
      </c>
      <c r="M236" s="188" t="str">
        <f t="shared" si="26"/>
        <v/>
      </c>
      <c r="N236" s="189">
        <f t="shared" si="27"/>
        <v>2.9823417624946249E-2</v>
      </c>
    </row>
    <row r="237" spans="1:14" hidden="1" outlineLevel="1">
      <c r="A237" s="180"/>
      <c r="B237" s="190" t="s">
        <v>1149</v>
      </c>
      <c r="C237" s="186">
        <f t="shared" si="21"/>
        <v>-100</v>
      </c>
      <c r="E237" s="182">
        <v>0</v>
      </c>
      <c r="F237" s="183">
        <v>7</v>
      </c>
      <c r="G237" s="191">
        <f t="shared" si="22"/>
        <v>-100</v>
      </c>
      <c r="H237" s="188" t="str">
        <f t="shared" si="23"/>
        <v/>
      </c>
      <c r="I237" s="188">
        <f t="shared" si="24"/>
        <v>2.6832260042931617E-2</v>
      </c>
      <c r="J237" s="182">
        <v>0</v>
      </c>
      <c r="K237" s="183">
        <v>34</v>
      </c>
      <c r="L237" s="191">
        <f t="shared" si="25"/>
        <v>-100</v>
      </c>
      <c r="M237" s="188" t="str">
        <f t="shared" si="26"/>
        <v/>
      </c>
      <c r="N237" s="189">
        <f t="shared" si="27"/>
        <v>2.3581306959259824E-2</v>
      </c>
    </row>
    <row r="238" spans="1:14" hidden="1" outlineLevel="1">
      <c r="A238" s="180"/>
      <c r="B238" s="190" t="s">
        <v>906</v>
      </c>
      <c r="C238" s="186">
        <f t="shared" si="21"/>
        <v>-100</v>
      </c>
      <c r="E238" s="182">
        <v>0</v>
      </c>
      <c r="F238" s="183">
        <v>0</v>
      </c>
      <c r="G238" s="191" t="str">
        <f t="shared" si="22"/>
        <v/>
      </c>
      <c r="H238" s="188" t="str">
        <f t="shared" si="23"/>
        <v/>
      </c>
      <c r="I238" s="188" t="str">
        <f t="shared" si="24"/>
        <v/>
      </c>
      <c r="J238" s="182">
        <v>0</v>
      </c>
      <c r="K238" s="183">
        <v>22</v>
      </c>
      <c r="L238" s="191">
        <f t="shared" si="25"/>
        <v>-100</v>
      </c>
      <c r="M238" s="188" t="str">
        <f t="shared" si="26"/>
        <v/>
      </c>
      <c r="N238" s="189">
        <f t="shared" si="27"/>
        <v>1.5258492738344592E-2</v>
      </c>
    </row>
    <row r="239" spans="1:14" collapsed="1">
      <c r="A239" s="180" t="s">
        <v>1260</v>
      </c>
      <c r="B239" s="179" t="s">
        <v>323</v>
      </c>
      <c r="C239" s="186">
        <f t="shared" si="21"/>
        <v>-22.0479302832244</v>
      </c>
      <c r="E239" s="182">
        <v>450</v>
      </c>
      <c r="F239" s="183">
        <v>291</v>
      </c>
      <c r="G239" s="191">
        <f t="shared" si="22"/>
        <v>54.639175257731956</v>
      </c>
      <c r="H239" s="188">
        <f t="shared" si="23"/>
        <v>1.5910617685535482</v>
      </c>
      <c r="I239" s="188">
        <f t="shared" si="24"/>
        <v>1.1154553817847286</v>
      </c>
      <c r="J239" s="182">
        <v>1789</v>
      </c>
      <c r="K239" s="183">
        <v>2295</v>
      </c>
      <c r="L239" s="191">
        <f t="shared" si="25"/>
        <v>-22.0479302832244</v>
      </c>
      <c r="M239" s="188">
        <f t="shared" si="26"/>
        <v>1.2718340999409936</v>
      </c>
      <c r="N239" s="189">
        <f t="shared" si="27"/>
        <v>1.591738219750038</v>
      </c>
    </row>
    <row r="240" spans="1:14" hidden="1" outlineLevel="1">
      <c r="A240" s="180"/>
      <c r="B240" s="190">
        <v>2</v>
      </c>
      <c r="C240" s="186">
        <f t="shared" si="21"/>
        <v>-21.80944055944056</v>
      </c>
      <c r="E240" s="182">
        <v>450</v>
      </c>
      <c r="F240" s="183">
        <v>289</v>
      </c>
      <c r="G240" s="191">
        <f t="shared" si="22"/>
        <v>55.70934256055363</v>
      </c>
      <c r="H240" s="188">
        <f t="shared" si="23"/>
        <v>1.5910617685535482</v>
      </c>
      <c r="I240" s="188">
        <f t="shared" si="24"/>
        <v>1.1077890217724624</v>
      </c>
      <c r="J240" s="182">
        <v>1789</v>
      </c>
      <c r="K240" s="183">
        <v>2288</v>
      </c>
      <c r="L240" s="191">
        <f t="shared" si="25"/>
        <v>-21.80944055944056</v>
      </c>
      <c r="M240" s="188">
        <f t="shared" si="26"/>
        <v>1.2718340999409936</v>
      </c>
      <c r="N240" s="189">
        <f t="shared" si="27"/>
        <v>1.5868832447878376</v>
      </c>
    </row>
    <row r="241" spans="1:14" hidden="1" outlineLevel="1">
      <c r="A241" s="180"/>
      <c r="B241" s="190">
        <v>1</v>
      </c>
      <c r="C241" s="186">
        <f t="shared" si="21"/>
        <v>-100</v>
      </c>
      <c r="E241" s="182">
        <v>0</v>
      </c>
      <c r="F241" s="183">
        <v>2</v>
      </c>
      <c r="G241" s="191">
        <f t="shared" si="22"/>
        <v>-100</v>
      </c>
      <c r="H241" s="188" t="str">
        <f t="shared" si="23"/>
        <v/>
      </c>
      <c r="I241" s="188">
        <f t="shared" si="24"/>
        <v>7.6663600122661765E-3</v>
      </c>
      <c r="J241" s="182">
        <v>0</v>
      </c>
      <c r="K241" s="183">
        <v>7</v>
      </c>
      <c r="L241" s="191">
        <f t="shared" si="25"/>
        <v>-100</v>
      </c>
      <c r="M241" s="188" t="str">
        <f t="shared" si="26"/>
        <v/>
      </c>
      <c r="N241" s="189">
        <f t="shared" si="27"/>
        <v>4.8549749622005516E-3</v>
      </c>
    </row>
    <row r="242" spans="1:14" collapsed="1">
      <c r="A242" s="180" t="s">
        <v>1261</v>
      </c>
      <c r="B242" s="179" t="s">
        <v>286</v>
      </c>
      <c r="C242" s="186">
        <f t="shared" si="21"/>
        <v>17.139001349527668</v>
      </c>
      <c r="E242" s="182">
        <v>307</v>
      </c>
      <c r="F242" s="183">
        <v>322</v>
      </c>
      <c r="G242" s="191">
        <f t="shared" si="22"/>
        <v>-4.658385093167702</v>
      </c>
      <c r="H242" s="188">
        <f t="shared" si="23"/>
        <v>1.0854576954354207</v>
      </c>
      <c r="I242" s="188">
        <f t="shared" si="24"/>
        <v>1.2342839619748545</v>
      </c>
      <c r="J242" s="182">
        <v>1736</v>
      </c>
      <c r="K242" s="183">
        <v>1482</v>
      </c>
      <c r="L242" s="191">
        <f t="shared" si="25"/>
        <v>17.139001349527668</v>
      </c>
      <c r="M242" s="188">
        <f t="shared" si="26"/>
        <v>1.2341553926761124</v>
      </c>
      <c r="N242" s="189">
        <f t="shared" si="27"/>
        <v>1.0278675562830311</v>
      </c>
    </row>
    <row r="243" spans="1:14" hidden="1" outlineLevel="1">
      <c r="A243" s="180"/>
      <c r="B243" s="190" t="s">
        <v>923</v>
      </c>
      <c r="C243" s="186">
        <f t="shared" si="21"/>
        <v>48.780487804878049</v>
      </c>
      <c r="E243" s="182">
        <v>69</v>
      </c>
      <c r="F243" s="183">
        <v>101</v>
      </c>
      <c r="G243" s="191">
        <f t="shared" si="22"/>
        <v>-31.683168316831683</v>
      </c>
      <c r="H243" s="188">
        <f t="shared" si="23"/>
        <v>0.24396280451154406</v>
      </c>
      <c r="I243" s="188">
        <f t="shared" si="24"/>
        <v>0.38715118061944187</v>
      </c>
      <c r="J243" s="182">
        <v>488</v>
      </c>
      <c r="K243" s="183">
        <v>328</v>
      </c>
      <c r="L243" s="191">
        <f t="shared" si="25"/>
        <v>48.780487804878049</v>
      </c>
      <c r="M243" s="188">
        <f t="shared" si="26"/>
        <v>0.34692847443890718</v>
      </c>
      <c r="N243" s="189">
        <f t="shared" si="27"/>
        <v>0.22749025537168302</v>
      </c>
    </row>
    <row r="244" spans="1:14" hidden="1" outlineLevel="1">
      <c r="A244" s="180"/>
      <c r="B244" s="190">
        <v>911</v>
      </c>
      <c r="C244" s="186">
        <f t="shared" si="21"/>
        <v>37.323943661971832</v>
      </c>
      <c r="E244" s="182">
        <v>87</v>
      </c>
      <c r="F244" s="183">
        <v>40</v>
      </c>
      <c r="G244" s="191">
        <f t="shared" si="22"/>
        <v>117.5</v>
      </c>
      <c r="H244" s="188">
        <f t="shared" si="23"/>
        <v>0.30760527525368597</v>
      </c>
      <c r="I244" s="188">
        <f t="shared" si="24"/>
        <v>0.15332720024532351</v>
      </c>
      <c r="J244" s="182">
        <v>390</v>
      </c>
      <c r="K244" s="183">
        <v>284</v>
      </c>
      <c r="L244" s="191">
        <f t="shared" si="25"/>
        <v>37.323943661971832</v>
      </c>
      <c r="M244" s="188">
        <f t="shared" si="26"/>
        <v>0.27725841194912665</v>
      </c>
      <c r="N244" s="189">
        <f t="shared" si="27"/>
        <v>0.19697326989499384</v>
      </c>
    </row>
    <row r="245" spans="1:14" hidden="1" outlineLevel="1">
      <c r="A245" s="180"/>
      <c r="B245" s="190" t="s">
        <v>922</v>
      </c>
      <c r="C245" s="186">
        <f t="shared" si="21"/>
        <v>-22.176591375770023</v>
      </c>
      <c r="E245" s="182">
        <v>70</v>
      </c>
      <c r="F245" s="183">
        <v>96</v>
      </c>
      <c r="G245" s="191">
        <f t="shared" si="22"/>
        <v>-27.083333333333332</v>
      </c>
      <c r="H245" s="188">
        <f t="shared" si="23"/>
        <v>0.2474984973305519</v>
      </c>
      <c r="I245" s="188">
        <f t="shared" si="24"/>
        <v>0.36798528058877644</v>
      </c>
      <c r="J245" s="182">
        <v>379</v>
      </c>
      <c r="K245" s="183">
        <v>487</v>
      </c>
      <c r="L245" s="191">
        <f t="shared" si="25"/>
        <v>-22.176591375770023</v>
      </c>
      <c r="M245" s="188">
        <f t="shared" si="26"/>
        <v>0.26943830289415127</v>
      </c>
      <c r="N245" s="189">
        <f t="shared" si="27"/>
        <v>0.3377675437988098</v>
      </c>
    </row>
    <row r="246" spans="1:14" hidden="1" outlineLevel="1">
      <c r="A246" s="180"/>
      <c r="B246" s="190" t="s">
        <v>924</v>
      </c>
      <c r="C246" s="186">
        <f t="shared" si="21"/>
        <v>51.912568306010932</v>
      </c>
      <c r="E246" s="182">
        <v>43</v>
      </c>
      <c r="F246" s="183">
        <v>38</v>
      </c>
      <c r="G246" s="191">
        <f t="shared" si="22"/>
        <v>13.157894736842104</v>
      </c>
      <c r="H246" s="188">
        <f t="shared" si="23"/>
        <v>0.15203479121733904</v>
      </c>
      <c r="I246" s="188">
        <f t="shared" si="24"/>
        <v>0.14566084023305734</v>
      </c>
      <c r="J246" s="182">
        <v>278</v>
      </c>
      <c r="K246" s="183">
        <v>183</v>
      </c>
      <c r="L246" s="191">
        <f t="shared" si="25"/>
        <v>51.912568306010932</v>
      </c>
      <c r="M246" s="188">
        <f t="shared" si="26"/>
        <v>0.19763548338937745</v>
      </c>
      <c r="N246" s="189">
        <f t="shared" si="27"/>
        <v>0.12692291686895729</v>
      </c>
    </row>
    <row r="247" spans="1:14" hidden="1" outlineLevel="1">
      <c r="A247" s="180"/>
      <c r="B247" s="190" t="s">
        <v>925</v>
      </c>
      <c r="C247" s="186">
        <f t="shared" si="21"/>
        <v>0.88495575221238942</v>
      </c>
      <c r="E247" s="182">
        <v>19</v>
      </c>
      <c r="F247" s="183">
        <v>25</v>
      </c>
      <c r="G247" s="191">
        <f t="shared" si="22"/>
        <v>-24</v>
      </c>
      <c r="H247" s="188">
        <f t="shared" si="23"/>
        <v>6.7178163561149806E-2</v>
      </c>
      <c r="I247" s="188">
        <f t="shared" si="24"/>
        <v>9.5829500153327196E-2</v>
      </c>
      <c r="J247" s="182">
        <v>114</v>
      </c>
      <c r="K247" s="183">
        <v>113</v>
      </c>
      <c r="L247" s="191">
        <f t="shared" si="25"/>
        <v>0.88495575221238942</v>
      </c>
      <c r="M247" s="188">
        <f t="shared" si="26"/>
        <v>8.1044766569744714E-2</v>
      </c>
      <c r="N247" s="189">
        <f t="shared" si="27"/>
        <v>7.8373167246951758E-2</v>
      </c>
    </row>
    <row r="248" spans="1:14" hidden="1" outlineLevel="1">
      <c r="A248" s="180"/>
      <c r="B248" s="190">
        <v>718</v>
      </c>
      <c r="C248" s="186">
        <f t="shared" si="21"/>
        <v>0</v>
      </c>
      <c r="E248" s="182">
        <v>19</v>
      </c>
      <c r="F248" s="183">
        <v>22</v>
      </c>
      <c r="G248" s="191">
        <f t="shared" si="22"/>
        <v>-13.636363636363635</v>
      </c>
      <c r="H248" s="188">
        <f t="shared" si="23"/>
        <v>6.7178163561149806E-2</v>
      </c>
      <c r="I248" s="188">
        <f t="shared" si="24"/>
        <v>8.4329960134927939E-2</v>
      </c>
      <c r="J248" s="182">
        <v>87</v>
      </c>
      <c r="K248" s="183">
        <v>87</v>
      </c>
      <c r="L248" s="191">
        <f t="shared" si="25"/>
        <v>0</v>
      </c>
      <c r="M248" s="188">
        <f t="shared" si="26"/>
        <v>6.184995343480517E-2</v>
      </c>
      <c r="N248" s="189">
        <f t="shared" si="27"/>
        <v>6.034040310163543E-2</v>
      </c>
    </row>
    <row r="249" spans="1:14" collapsed="1">
      <c r="A249" s="180" t="s">
        <v>1205</v>
      </c>
      <c r="B249" s="179" t="s">
        <v>265</v>
      </c>
      <c r="C249" s="186">
        <f t="shared" si="21"/>
        <v>6.9235793598954931</v>
      </c>
      <c r="E249" s="182">
        <v>348</v>
      </c>
      <c r="F249" s="183">
        <v>221</v>
      </c>
      <c r="G249" s="191">
        <f t="shared" si="22"/>
        <v>57.466063348416284</v>
      </c>
      <c r="H249" s="188">
        <f t="shared" si="23"/>
        <v>1.2304211010147439</v>
      </c>
      <c r="I249" s="188">
        <f t="shared" si="24"/>
        <v>0.84713278135541237</v>
      </c>
      <c r="J249" s="182">
        <v>1637</v>
      </c>
      <c r="K249" s="183">
        <v>1531</v>
      </c>
      <c r="L249" s="191">
        <f t="shared" si="25"/>
        <v>6.9235793598954931</v>
      </c>
      <c r="M249" s="188">
        <f t="shared" si="26"/>
        <v>1.1637744111813342</v>
      </c>
      <c r="N249" s="189">
        <f t="shared" si="27"/>
        <v>1.061852381018435</v>
      </c>
    </row>
    <row r="250" spans="1:14" hidden="1" outlineLevel="1">
      <c r="A250" s="180"/>
      <c r="B250" s="190" t="s">
        <v>920</v>
      </c>
      <c r="C250" s="186">
        <f t="shared" si="21"/>
        <v>32.6171875</v>
      </c>
      <c r="E250" s="182">
        <v>132</v>
      </c>
      <c r="F250" s="183">
        <v>34</v>
      </c>
      <c r="G250" s="191">
        <f t="shared" si="22"/>
        <v>288.23529411764707</v>
      </c>
      <c r="H250" s="188">
        <f t="shared" si="23"/>
        <v>0.4667114521090408</v>
      </c>
      <c r="I250" s="188">
        <f t="shared" si="24"/>
        <v>0.13032812020852499</v>
      </c>
      <c r="J250" s="182">
        <v>679</v>
      </c>
      <c r="K250" s="183">
        <v>512</v>
      </c>
      <c r="L250" s="191">
        <f t="shared" si="25"/>
        <v>32.6171875</v>
      </c>
      <c r="M250" s="188">
        <f t="shared" si="26"/>
        <v>0.4827140043934795</v>
      </c>
      <c r="N250" s="189">
        <f t="shared" si="27"/>
        <v>0.35510674009238324</v>
      </c>
    </row>
    <row r="251" spans="1:14" hidden="1" outlineLevel="1">
      <c r="A251" s="180"/>
      <c r="B251" s="190" t="s">
        <v>919</v>
      </c>
      <c r="C251" s="186">
        <f t="shared" si="21"/>
        <v>-25.589225589225588</v>
      </c>
      <c r="E251" s="182">
        <v>135</v>
      </c>
      <c r="F251" s="183">
        <v>149</v>
      </c>
      <c r="G251" s="191">
        <f t="shared" si="22"/>
        <v>-9.3959731543624159</v>
      </c>
      <c r="H251" s="188">
        <f t="shared" si="23"/>
        <v>0.47731853056606444</v>
      </c>
      <c r="I251" s="188">
        <f t="shared" si="24"/>
        <v>0.57114382091383009</v>
      </c>
      <c r="J251" s="182">
        <v>663</v>
      </c>
      <c r="K251" s="183">
        <v>891</v>
      </c>
      <c r="L251" s="191">
        <f t="shared" si="25"/>
        <v>-25.589225589225588</v>
      </c>
      <c r="M251" s="188">
        <f t="shared" si="26"/>
        <v>0.47133930031351523</v>
      </c>
      <c r="N251" s="189">
        <f t="shared" si="27"/>
        <v>0.61796895590295597</v>
      </c>
    </row>
    <row r="252" spans="1:14" hidden="1" outlineLevel="1">
      <c r="A252" s="180"/>
      <c r="B252" s="190" t="s">
        <v>921</v>
      </c>
      <c r="C252" s="186">
        <f t="shared" si="21"/>
        <v>130.46875</v>
      </c>
      <c r="E252" s="182">
        <v>81</v>
      </c>
      <c r="F252" s="183">
        <v>38</v>
      </c>
      <c r="G252" s="191">
        <f t="shared" si="22"/>
        <v>113.1578947368421</v>
      </c>
      <c r="H252" s="188">
        <f t="shared" si="23"/>
        <v>0.28639111833963865</v>
      </c>
      <c r="I252" s="188">
        <f t="shared" si="24"/>
        <v>0.14566084023305734</v>
      </c>
      <c r="J252" s="182">
        <v>295</v>
      </c>
      <c r="K252" s="183">
        <v>128</v>
      </c>
      <c r="L252" s="191">
        <f t="shared" si="25"/>
        <v>130.46875</v>
      </c>
      <c r="M252" s="188">
        <f t="shared" si="26"/>
        <v>0.20972110647433936</v>
      </c>
      <c r="N252" s="189">
        <f t="shared" si="27"/>
        <v>8.8776685023095811E-2</v>
      </c>
    </row>
    <row r="253" spans="1:14" collapsed="1">
      <c r="A253" s="180" t="s">
        <v>1262</v>
      </c>
      <c r="B253" s="179" t="s">
        <v>284</v>
      </c>
      <c r="C253" s="186">
        <f t="shared" si="21"/>
        <v>-12.276519666269369</v>
      </c>
      <c r="E253" s="182">
        <v>349</v>
      </c>
      <c r="F253" s="183">
        <v>193</v>
      </c>
      <c r="G253" s="191">
        <f t="shared" si="22"/>
        <v>80.829015544041454</v>
      </c>
      <c r="H253" s="188">
        <f t="shared" si="23"/>
        <v>1.2339567938337519</v>
      </c>
      <c r="I253" s="188">
        <f t="shared" si="24"/>
        <v>0.73980374118368608</v>
      </c>
      <c r="J253" s="182">
        <v>1472</v>
      </c>
      <c r="K253" s="183">
        <v>1678</v>
      </c>
      <c r="L253" s="191">
        <f t="shared" si="25"/>
        <v>-12.276519666269369</v>
      </c>
      <c r="M253" s="188">
        <f t="shared" si="26"/>
        <v>1.0464727753567038</v>
      </c>
      <c r="N253" s="189">
        <f t="shared" si="27"/>
        <v>1.1638068552246468</v>
      </c>
    </row>
    <row r="254" spans="1:14" hidden="1" outlineLevel="1">
      <c r="A254" s="180"/>
      <c r="B254" s="190" t="s">
        <v>908</v>
      </c>
      <c r="C254" s="186">
        <f t="shared" si="21"/>
        <v>-7.9768786127167628</v>
      </c>
      <c r="E254" s="182">
        <v>210</v>
      </c>
      <c r="F254" s="183">
        <v>42</v>
      </c>
      <c r="G254" s="191">
        <f t="shared" si="22"/>
        <v>400</v>
      </c>
      <c r="H254" s="188">
        <f t="shared" si="23"/>
        <v>0.74249549199165576</v>
      </c>
      <c r="I254" s="188">
        <f t="shared" si="24"/>
        <v>0.16099356025758971</v>
      </c>
      <c r="J254" s="182">
        <v>796</v>
      </c>
      <c r="K254" s="183">
        <v>865</v>
      </c>
      <c r="L254" s="191">
        <f t="shared" si="25"/>
        <v>-7.9768786127167628</v>
      </c>
      <c r="M254" s="188">
        <f t="shared" si="26"/>
        <v>0.5658915279782174</v>
      </c>
      <c r="N254" s="189">
        <f t="shared" si="27"/>
        <v>0.59993619175763968</v>
      </c>
    </row>
    <row r="255" spans="1:14" hidden="1" outlineLevel="1">
      <c r="A255" s="180"/>
      <c r="B255" s="190" t="s">
        <v>909</v>
      </c>
      <c r="C255" s="186">
        <f t="shared" si="21"/>
        <v>-29.065040650406505</v>
      </c>
      <c r="E255" s="182">
        <v>75</v>
      </c>
      <c r="F255" s="183">
        <v>58</v>
      </c>
      <c r="G255" s="191">
        <f t="shared" si="22"/>
        <v>29.310344827586203</v>
      </c>
      <c r="H255" s="188">
        <f t="shared" si="23"/>
        <v>0.26517696142559133</v>
      </c>
      <c r="I255" s="188">
        <f t="shared" si="24"/>
        <v>0.22232444035571913</v>
      </c>
      <c r="J255" s="182">
        <v>349</v>
      </c>
      <c r="K255" s="183">
        <v>492</v>
      </c>
      <c r="L255" s="191">
        <f t="shared" si="25"/>
        <v>-29.065040650406505</v>
      </c>
      <c r="M255" s="188">
        <f t="shared" si="26"/>
        <v>0.24811073274421847</v>
      </c>
      <c r="N255" s="189">
        <f t="shared" si="27"/>
        <v>0.34123538305752454</v>
      </c>
    </row>
    <row r="256" spans="1:14" hidden="1" outlineLevel="1">
      <c r="A256" s="180"/>
      <c r="B256" s="190" t="s">
        <v>912</v>
      </c>
      <c r="C256" s="186">
        <f t="shared" si="21"/>
        <v>278.72340425531917</v>
      </c>
      <c r="E256" s="182">
        <v>33</v>
      </c>
      <c r="F256" s="183">
        <v>31</v>
      </c>
      <c r="G256" s="191">
        <f t="shared" si="22"/>
        <v>6.4516129032258061</v>
      </c>
      <c r="H256" s="188">
        <f t="shared" si="23"/>
        <v>0.1166778630272602</v>
      </c>
      <c r="I256" s="188">
        <f t="shared" si="24"/>
        <v>0.11882858019012572</v>
      </c>
      <c r="J256" s="182">
        <v>178</v>
      </c>
      <c r="K256" s="183">
        <v>47</v>
      </c>
      <c r="L256" s="191">
        <f t="shared" si="25"/>
        <v>278.72340425531917</v>
      </c>
      <c r="M256" s="188">
        <f t="shared" si="26"/>
        <v>0.12654358288960141</v>
      </c>
      <c r="N256" s="189">
        <f t="shared" si="27"/>
        <v>3.2597689031917995E-2</v>
      </c>
    </row>
    <row r="257" spans="1:14" hidden="1" outlineLevel="1">
      <c r="A257" s="180"/>
      <c r="B257" s="190" t="s">
        <v>910</v>
      </c>
      <c r="C257" s="186">
        <f t="shared" si="21"/>
        <v>-37.078651685393261</v>
      </c>
      <c r="E257" s="182">
        <v>20</v>
      </c>
      <c r="F257" s="183">
        <v>58</v>
      </c>
      <c r="G257" s="191">
        <f t="shared" si="22"/>
        <v>-65.517241379310349</v>
      </c>
      <c r="H257" s="188">
        <f t="shared" si="23"/>
        <v>7.0713856380157689E-2</v>
      </c>
      <c r="I257" s="188">
        <f t="shared" si="24"/>
        <v>0.22232444035571913</v>
      </c>
      <c r="J257" s="182">
        <v>112</v>
      </c>
      <c r="K257" s="183">
        <v>178</v>
      </c>
      <c r="L257" s="191">
        <f t="shared" si="25"/>
        <v>-37.078651685393261</v>
      </c>
      <c r="M257" s="188">
        <f t="shared" si="26"/>
        <v>7.9622928559749187E-2</v>
      </c>
      <c r="N257" s="189">
        <f t="shared" si="27"/>
        <v>0.1234550776102426</v>
      </c>
    </row>
    <row r="258" spans="1:14" hidden="1" outlineLevel="1">
      <c r="A258" s="180"/>
      <c r="B258" s="190" t="s">
        <v>914</v>
      </c>
      <c r="C258" s="186">
        <f t="shared" si="21"/>
        <v>50</v>
      </c>
      <c r="E258" s="182">
        <v>7</v>
      </c>
      <c r="F258" s="183">
        <v>1</v>
      </c>
      <c r="G258" s="191">
        <f t="shared" si="22"/>
        <v>600</v>
      </c>
      <c r="H258" s="188">
        <f t="shared" si="23"/>
        <v>2.4749849733055194E-2</v>
      </c>
      <c r="I258" s="188">
        <f t="shared" si="24"/>
        <v>3.8331800061330882E-3</v>
      </c>
      <c r="J258" s="182">
        <v>24</v>
      </c>
      <c r="K258" s="183">
        <v>16</v>
      </c>
      <c r="L258" s="191">
        <f t="shared" si="25"/>
        <v>50</v>
      </c>
      <c r="M258" s="188">
        <f t="shared" si="26"/>
        <v>1.7062056119946253E-2</v>
      </c>
      <c r="N258" s="189">
        <f t="shared" si="27"/>
        <v>1.1097085627886976E-2</v>
      </c>
    </row>
    <row r="259" spans="1:14" hidden="1" outlineLevel="1">
      <c r="A259" s="180"/>
      <c r="B259" s="190" t="s">
        <v>915</v>
      </c>
      <c r="C259" s="186">
        <f t="shared" si="21"/>
        <v>0</v>
      </c>
      <c r="E259" s="182">
        <v>4</v>
      </c>
      <c r="F259" s="183">
        <v>1</v>
      </c>
      <c r="G259" s="191">
        <f t="shared" si="22"/>
        <v>300</v>
      </c>
      <c r="H259" s="188">
        <f t="shared" si="23"/>
        <v>1.4142771276031538E-2</v>
      </c>
      <c r="I259" s="188">
        <f t="shared" si="24"/>
        <v>3.8331800061330882E-3</v>
      </c>
      <c r="J259" s="182">
        <v>13</v>
      </c>
      <c r="K259" s="183">
        <v>13</v>
      </c>
      <c r="L259" s="191">
        <f t="shared" si="25"/>
        <v>0</v>
      </c>
      <c r="M259" s="188">
        <f t="shared" si="26"/>
        <v>9.2419470649708867E-3</v>
      </c>
      <c r="N259" s="189">
        <f t="shared" si="27"/>
        <v>9.0163820726581675E-3</v>
      </c>
    </row>
    <row r="260" spans="1:14" hidden="1" outlineLevel="1">
      <c r="A260" s="180"/>
      <c r="B260" s="190" t="s">
        <v>911</v>
      </c>
      <c r="C260" s="186">
        <f t="shared" si="21"/>
        <v>-100</v>
      </c>
      <c r="E260" s="182">
        <v>0</v>
      </c>
      <c r="F260" s="183">
        <v>1</v>
      </c>
      <c r="G260" s="191">
        <f t="shared" si="22"/>
        <v>-100</v>
      </c>
      <c r="H260" s="188" t="str">
        <f t="shared" si="23"/>
        <v/>
      </c>
      <c r="I260" s="188">
        <f t="shared" si="24"/>
        <v>3.8331800061330882E-3</v>
      </c>
      <c r="J260" s="182">
        <v>0</v>
      </c>
      <c r="K260" s="183">
        <v>49</v>
      </c>
      <c r="L260" s="191">
        <f t="shared" si="25"/>
        <v>-100</v>
      </c>
      <c r="M260" s="188" t="str">
        <f t="shared" si="26"/>
        <v/>
      </c>
      <c r="N260" s="189">
        <f t="shared" si="27"/>
        <v>3.3984824735403867E-2</v>
      </c>
    </row>
    <row r="261" spans="1:14" hidden="1" outlineLevel="1">
      <c r="A261" s="180"/>
      <c r="B261" s="190" t="s">
        <v>913</v>
      </c>
      <c r="C261" s="186">
        <f t="shared" si="21"/>
        <v>-100</v>
      </c>
      <c r="E261" s="182">
        <v>0</v>
      </c>
      <c r="F261" s="183">
        <v>1</v>
      </c>
      <c r="G261" s="191">
        <f t="shared" si="22"/>
        <v>-100</v>
      </c>
      <c r="H261" s="188" t="str">
        <f t="shared" si="23"/>
        <v/>
      </c>
      <c r="I261" s="188">
        <f t="shared" si="24"/>
        <v>3.8331800061330882E-3</v>
      </c>
      <c r="J261" s="182">
        <v>0</v>
      </c>
      <c r="K261" s="183">
        <v>17</v>
      </c>
      <c r="L261" s="191">
        <f t="shared" si="25"/>
        <v>-100</v>
      </c>
      <c r="M261" s="188" t="str">
        <f t="shared" si="26"/>
        <v/>
      </c>
      <c r="N261" s="189">
        <f t="shared" si="27"/>
        <v>1.1790653479629912E-2</v>
      </c>
    </row>
    <row r="262" spans="1:14" hidden="1" outlineLevel="1">
      <c r="A262" s="180"/>
      <c r="B262" s="190" t="s">
        <v>1206</v>
      </c>
      <c r="C262" s="186">
        <f t="shared" si="21"/>
        <v>-100</v>
      </c>
      <c r="E262" s="182">
        <v>0</v>
      </c>
      <c r="F262" s="183">
        <v>0</v>
      </c>
      <c r="G262" s="191" t="str">
        <f t="shared" si="22"/>
        <v/>
      </c>
      <c r="H262" s="188" t="str">
        <f t="shared" si="23"/>
        <v/>
      </c>
      <c r="I262" s="188" t="str">
        <f t="shared" si="24"/>
        <v/>
      </c>
      <c r="J262" s="182">
        <v>0</v>
      </c>
      <c r="K262" s="183">
        <v>1</v>
      </c>
      <c r="L262" s="191">
        <f t="shared" si="25"/>
        <v>-100</v>
      </c>
      <c r="M262" s="188" t="str">
        <f t="shared" si="26"/>
        <v/>
      </c>
      <c r="N262" s="189">
        <f t="shared" si="27"/>
        <v>6.9356785174293602E-4</v>
      </c>
    </row>
    <row r="263" spans="1:14" collapsed="1">
      <c r="A263" s="180" t="s">
        <v>1263</v>
      </c>
      <c r="B263" s="179" t="s">
        <v>290</v>
      </c>
      <c r="C263" s="186">
        <f t="shared" si="21"/>
        <v>28.205128205128204</v>
      </c>
      <c r="E263" s="182">
        <v>250</v>
      </c>
      <c r="F263" s="183">
        <v>98</v>
      </c>
      <c r="G263" s="191">
        <f t="shared" si="22"/>
        <v>155.10204081632654</v>
      </c>
      <c r="H263" s="188">
        <f t="shared" si="23"/>
        <v>0.88392320475197106</v>
      </c>
      <c r="I263" s="188">
        <f t="shared" si="24"/>
        <v>0.37565164060104261</v>
      </c>
      <c r="J263" s="182">
        <v>1400</v>
      </c>
      <c r="K263" s="183">
        <v>1092</v>
      </c>
      <c r="L263" s="191">
        <f t="shared" si="25"/>
        <v>28.205128205128204</v>
      </c>
      <c r="M263" s="188">
        <f t="shared" si="26"/>
        <v>0.99528660699686489</v>
      </c>
      <c r="N263" s="189">
        <f t="shared" si="27"/>
        <v>0.7573760941032861</v>
      </c>
    </row>
    <row r="264" spans="1:14" hidden="1" outlineLevel="1">
      <c r="A264" s="180"/>
      <c r="B264" s="190" t="s">
        <v>931</v>
      </c>
      <c r="C264" s="186">
        <f t="shared" si="21"/>
        <v>8.1318681318681314</v>
      </c>
      <c r="E264" s="182">
        <v>165</v>
      </c>
      <c r="F264" s="183">
        <v>94</v>
      </c>
      <c r="G264" s="191">
        <f t="shared" si="22"/>
        <v>75.531914893617028</v>
      </c>
      <c r="H264" s="188">
        <f t="shared" si="23"/>
        <v>0.58338931513630099</v>
      </c>
      <c r="I264" s="188">
        <f t="shared" si="24"/>
        <v>0.36031892057651027</v>
      </c>
      <c r="J264" s="182">
        <v>984</v>
      </c>
      <c r="K264" s="183">
        <v>910</v>
      </c>
      <c r="L264" s="191">
        <f t="shared" si="25"/>
        <v>8.1318681318681314</v>
      </c>
      <c r="M264" s="188">
        <f t="shared" si="26"/>
        <v>0.6995443009177964</v>
      </c>
      <c r="N264" s="189">
        <f t="shared" si="27"/>
        <v>0.63114674508607183</v>
      </c>
    </row>
    <row r="265" spans="1:14" hidden="1" outlineLevel="1">
      <c r="A265" s="180"/>
      <c r="B265" s="190" t="s">
        <v>932</v>
      </c>
      <c r="C265" s="186">
        <f t="shared" si="21"/>
        <v>96.808510638297875</v>
      </c>
      <c r="E265" s="182">
        <v>43</v>
      </c>
      <c r="F265" s="183">
        <v>0</v>
      </c>
      <c r="G265" s="191" t="str">
        <f t="shared" si="22"/>
        <v/>
      </c>
      <c r="H265" s="188">
        <f t="shared" si="23"/>
        <v>0.15203479121733904</v>
      </c>
      <c r="I265" s="188" t="str">
        <f t="shared" si="24"/>
        <v/>
      </c>
      <c r="J265" s="182">
        <v>185</v>
      </c>
      <c r="K265" s="183">
        <v>94</v>
      </c>
      <c r="L265" s="191">
        <f t="shared" si="25"/>
        <v>96.808510638297875</v>
      </c>
      <c r="M265" s="188">
        <f t="shared" si="26"/>
        <v>0.1315200159245857</v>
      </c>
      <c r="N265" s="189">
        <f t="shared" si="27"/>
        <v>6.519537806383599E-2</v>
      </c>
    </row>
    <row r="266" spans="1:14" hidden="1" outlineLevel="1">
      <c r="A266" s="180"/>
      <c r="B266" s="190" t="s">
        <v>933</v>
      </c>
      <c r="C266" s="186">
        <f t="shared" ref="C266:C329" si="28">IF(K266=0,"",SUM(((J266-K266)/K266)*100))</f>
        <v>59.302325581395351</v>
      </c>
      <c r="E266" s="182">
        <v>26</v>
      </c>
      <c r="F266" s="183">
        <v>2</v>
      </c>
      <c r="G266" s="191">
        <f t="shared" ref="G266:G329" si="29">IF(F266=0,"",SUM(((E266-F266)/F266)*100))</f>
        <v>1200</v>
      </c>
      <c r="H266" s="188">
        <f t="shared" ref="H266:H329" si="30">IF(E266=0,"",SUM((E266/CntPeriod)*100))</f>
        <v>9.1928013294204997E-2</v>
      </c>
      <c r="I266" s="188">
        <f t="shared" ref="I266:I329" si="31">IF(F266=0,"",SUM((F266/CntPeriodPrevYear)*100))</f>
        <v>7.6663600122661765E-3</v>
      </c>
      <c r="J266" s="182">
        <v>137</v>
      </c>
      <c r="K266" s="183">
        <v>86</v>
      </c>
      <c r="L266" s="191">
        <f t="shared" ref="L266:L329" si="32">IF(K266=0,"",SUM(((J266-K266)/K266)*100))</f>
        <v>59.302325581395351</v>
      </c>
      <c r="M266" s="188">
        <f t="shared" ref="M266:M329" si="33">IF(J266=0,"",SUM((J266/CntYearAck)*100))</f>
        <v>9.7395903684693197E-2</v>
      </c>
      <c r="N266" s="189">
        <f t="shared" ref="N266:N329" si="34">IF(K266=0,"",SUM((K266/CntPrevYearAck)*100))</f>
        <v>5.9646835249892498E-2</v>
      </c>
    </row>
    <row r="267" spans="1:14" hidden="1" outlineLevel="1">
      <c r="A267" s="180"/>
      <c r="B267" s="190" t="s">
        <v>934</v>
      </c>
      <c r="C267" s="186">
        <f t="shared" si="28"/>
        <v>4600</v>
      </c>
      <c r="E267" s="182">
        <v>16</v>
      </c>
      <c r="F267" s="183">
        <v>2</v>
      </c>
      <c r="G267" s="191">
        <f t="shared" si="29"/>
        <v>700</v>
      </c>
      <c r="H267" s="188">
        <f t="shared" si="30"/>
        <v>5.6571085104126152E-2</v>
      </c>
      <c r="I267" s="188">
        <f t="shared" si="31"/>
        <v>7.6663600122661765E-3</v>
      </c>
      <c r="J267" s="182">
        <v>94</v>
      </c>
      <c r="K267" s="183">
        <v>2</v>
      </c>
      <c r="L267" s="191">
        <f t="shared" si="32"/>
        <v>4600</v>
      </c>
      <c r="M267" s="188">
        <f t="shared" si="33"/>
        <v>6.68263864697895E-2</v>
      </c>
      <c r="N267" s="189">
        <f t="shared" si="34"/>
        <v>1.387135703485872E-3</v>
      </c>
    </row>
    <row r="268" spans="1:14" collapsed="1">
      <c r="A268" s="180" t="s">
        <v>1207</v>
      </c>
      <c r="B268" s="179" t="s">
        <v>288</v>
      </c>
      <c r="C268" s="186">
        <f t="shared" si="28"/>
        <v>-50.231303006939086</v>
      </c>
      <c r="E268" s="182">
        <v>209</v>
      </c>
      <c r="F268" s="183">
        <v>476</v>
      </c>
      <c r="G268" s="191">
        <f t="shared" si="29"/>
        <v>-56.092436974789919</v>
      </c>
      <c r="H268" s="188">
        <f t="shared" si="30"/>
        <v>0.73895979917264787</v>
      </c>
      <c r="I268" s="188">
        <f t="shared" si="31"/>
        <v>1.8245936829193499</v>
      </c>
      <c r="J268" s="182">
        <v>1291</v>
      </c>
      <c r="K268" s="183">
        <v>2594</v>
      </c>
      <c r="L268" s="191">
        <f t="shared" si="32"/>
        <v>-50.231303006939086</v>
      </c>
      <c r="M268" s="188">
        <f t="shared" si="33"/>
        <v>0.91779643545210898</v>
      </c>
      <c r="N268" s="189">
        <f t="shared" si="34"/>
        <v>1.7991150074211759</v>
      </c>
    </row>
    <row r="269" spans="1:14" hidden="1" outlineLevel="1">
      <c r="A269" s="180"/>
      <c r="B269" s="190" t="s">
        <v>895</v>
      </c>
      <c r="C269" s="186">
        <f t="shared" si="28"/>
        <v>33.489461358313818</v>
      </c>
      <c r="E269" s="182">
        <v>51</v>
      </c>
      <c r="F269" s="183">
        <v>58</v>
      </c>
      <c r="G269" s="191">
        <f t="shared" si="29"/>
        <v>-12.068965517241379</v>
      </c>
      <c r="H269" s="188">
        <f t="shared" si="30"/>
        <v>0.18032033376940212</v>
      </c>
      <c r="I269" s="188">
        <f t="shared" si="31"/>
        <v>0.22232444035571913</v>
      </c>
      <c r="J269" s="182">
        <v>570</v>
      </c>
      <c r="K269" s="183">
        <v>427</v>
      </c>
      <c r="L269" s="191">
        <f t="shared" si="32"/>
        <v>33.489461358313818</v>
      </c>
      <c r="M269" s="188">
        <f t="shared" si="33"/>
        <v>0.40522383284872354</v>
      </c>
      <c r="N269" s="189">
        <f t="shared" si="34"/>
        <v>0.29615347269423364</v>
      </c>
    </row>
    <row r="270" spans="1:14" hidden="1" outlineLevel="1">
      <c r="A270" s="180"/>
      <c r="B270" s="190" t="s">
        <v>896</v>
      </c>
      <c r="C270" s="186">
        <f t="shared" si="28"/>
        <v>5.6603773584905666</v>
      </c>
      <c r="E270" s="182">
        <v>20</v>
      </c>
      <c r="F270" s="183">
        <v>23</v>
      </c>
      <c r="G270" s="191">
        <f t="shared" si="29"/>
        <v>-13.043478260869565</v>
      </c>
      <c r="H270" s="188">
        <f t="shared" si="30"/>
        <v>7.0713856380157689E-2</v>
      </c>
      <c r="I270" s="188">
        <f t="shared" si="31"/>
        <v>8.8163140141061025E-2</v>
      </c>
      <c r="J270" s="182">
        <v>224</v>
      </c>
      <c r="K270" s="183">
        <v>212</v>
      </c>
      <c r="L270" s="191">
        <f t="shared" si="32"/>
        <v>5.6603773584905666</v>
      </c>
      <c r="M270" s="188">
        <f t="shared" si="33"/>
        <v>0.15924585711949837</v>
      </c>
      <c r="N270" s="189">
        <f t="shared" si="34"/>
        <v>0.14703638456950244</v>
      </c>
    </row>
    <row r="271" spans="1:14" hidden="1" outlineLevel="1">
      <c r="A271" s="180"/>
      <c r="B271" s="190" t="s">
        <v>897</v>
      </c>
      <c r="C271" s="186">
        <f t="shared" si="28"/>
        <v>-19.806763285024154</v>
      </c>
      <c r="E271" s="182">
        <v>57</v>
      </c>
      <c r="F271" s="183">
        <v>30</v>
      </c>
      <c r="G271" s="191">
        <f t="shared" si="29"/>
        <v>90</v>
      </c>
      <c r="H271" s="188">
        <f t="shared" si="30"/>
        <v>0.20153449068344942</v>
      </c>
      <c r="I271" s="188">
        <f t="shared" si="31"/>
        <v>0.11499540018399264</v>
      </c>
      <c r="J271" s="182">
        <v>166</v>
      </c>
      <c r="K271" s="183">
        <v>207</v>
      </c>
      <c r="L271" s="191">
        <f t="shared" si="32"/>
        <v>-19.806763285024154</v>
      </c>
      <c r="M271" s="188">
        <f t="shared" si="33"/>
        <v>0.11801255482962827</v>
      </c>
      <c r="N271" s="189">
        <f t="shared" si="34"/>
        <v>0.14356854531078775</v>
      </c>
    </row>
    <row r="272" spans="1:14" hidden="1" outlineLevel="1">
      <c r="A272" s="180"/>
      <c r="B272" s="190" t="s">
        <v>894</v>
      </c>
      <c r="C272" s="186">
        <f t="shared" si="28"/>
        <v>-66.954643628509729</v>
      </c>
      <c r="E272" s="182">
        <v>71</v>
      </c>
      <c r="F272" s="183">
        <v>73</v>
      </c>
      <c r="G272" s="191">
        <f t="shared" si="29"/>
        <v>-2.7397260273972601</v>
      </c>
      <c r="H272" s="188">
        <f t="shared" si="30"/>
        <v>0.2510341901495598</v>
      </c>
      <c r="I272" s="188">
        <f t="shared" si="31"/>
        <v>0.27982214044771542</v>
      </c>
      <c r="J272" s="182">
        <v>153</v>
      </c>
      <c r="K272" s="183">
        <v>463</v>
      </c>
      <c r="L272" s="191">
        <f t="shared" si="32"/>
        <v>-66.954643628509729</v>
      </c>
      <c r="M272" s="188">
        <f t="shared" si="33"/>
        <v>0.10877060776465737</v>
      </c>
      <c r="N272" s="189">
        <f t="shared" si="34"/>
        <v>0.32112191535697937</v>
      </c>
    </row>
    <row r="273" spans="1:14" hidden="1" outlineLevel="1">
      <c r="A273" s="180"/>
      <c r="B273" s="190" t="s">
        <v>892</v>
      </c>
      <c r="C273" s="186">
        <f t="shared" si="28"/>
        <v>-89.473684210526315</v>
      </c>
      <c r="E273" s="182">
        <v>1</v>
      </c>
      <c r="F273" s="183">
        <v>118</v>
      </c>
      <c r="G273" s="191">
        <f t="shared" si="29"/>
        <v>-99.152542372881356</v>
      </c>
      <c r="H273" s="188">
        <f t="shared" si="30"/>
        <v>3.5356928190078845E-3</v>
      </c>
      <c r="I273" s="188">
        <f t="shared" si="31"/>
        <v>0.45231524072370433</v>
      </c>
      <c r="J273" s="182">
        <v>66</v>
      </c>
      <c r="K273" s="183">
        <v>627</v>
      </c>
      <c r="L273" s="191">
        <f t="shared" si="32"/>
        <v>-89.473684210526315</v>
      </c>
      <c r="M273" s="188">
        <f t="shared" si="33"/>
        <v>4.69206543298522E-2</v>
      </c>
      <c r="N273" s="189">
        <f t="shared" si="34"/>
        <v>0.43486704304282087</v>
      </c>
    </row>
    <row r="274" spans="1:14" hidden="1" outlineLevel="1">
      <c r="A274" s="180"/>
      <c r="B274" s="190" t="s">
        <v>893</v>
      </c>
      <c r="C274" s="186">
        <f t="shared" si="28"/>
        <v>-90.0489396411093</v>
      </c>
      <c r="E274" s="182">
        <v>7</v>
      </c>
      <c r="F274" s="183">
        <v>171</v>
      </c>
      <c r="G274" s="191">
        <f t="shared" si="29"/>
        <v>-95.906432748538009</v>
      </c>
      <c r="H274" s="188">
        <f t="shared" si="30"/>
        <v>2.4749849733055194E-2</v>
      </c>
      <c r="I274" s="188">
        <f t="shared" si="31"/>
        <v>0.65547378104875809</v>
      </c>
      <c r="J274" s="182">
        <v>61</v>
      </c>
      <c r="K274" s="183">
        <v>613</v>
      </c>
      <c r="L274" s="191">
        <f t="shared" si="32"/>
        <v>-90.0489396411093</v>
      </c>
      <c r="M274" s="188">
        <f t="shared" si="33"/>
        <v>4.3366059304863397E-2</v>
      </c>
      <c r="N274" s="189">
        <f t="shared" si="34"/>
        <v>0.42515709311841982</v>
      </c>
    </row>
    <row r="275" spans="1:14" hidden="1" outlineLevel="1">
      <c r="A275" s="180"/>
      <c r="B275" s="190" t="s">
        <v>898</v>
      </c>
      <c r="C275" s="186">
        <f t="shared" si="28"/>
        <v>13.333333333333334</v>
      </c>
      <c r="E275" s="182">
        <v>2</v>
      </c>
      <c r="F275" s="183">
        <v>3</v>
      </c>
      <c r="G275" s="191">
        <f t="shared" si="29"/>
        <v>-33.333333333333329</v>
      </c>
      <c r="H275" s="188">
        <f t="shared" si="30"/>
        <v>7.071385638015769E-3</v>
      </c>
      <c r="I275" s="188">
        <f t="shared" si="31"/>
        <v>1.1499540018399264E-2</v>
      </c>
      <c r="J275" s="182">
        <v>51</v>
      </c>
      <c r="K275" s="183">
        <v>45</v>
      </c>
      <c r="L275" s="191">
        <f t="shared" si="32"/>
        <v>13.333333333333334</v>
      </c>
      <c r="M275" s="188">
        <f t="shared" si="33"/>
        <v>3.625686925488579E-2</v>
      </c>
      <c r="N275" s="189">
        <f t="shared" si="34"/>
        <v>3.1210553328432117E-2</v>
      </c>
    </row>
    <row r="276" spans="1:14" collapsed="1">
      <c r="A276" s="180" t="s">
        <v>1208</v>
      </c>
      <c r="B276" s="179" t="s">
        <v>1075</v>
      </c>
      <c r="C276" s="186" t="str">
        <f t="shared" si="28"/>
        <v/>
      </c>
      <c r="E276" s="182">
        <v>301</v>
      </c>
      <c r="F276" s="183">
        <v>0</v>
      </c>
      <c r="G276" s="191" t="str">
        <f t="shared" si="29"/>
        <v/>
      </c>
      <c r="H276" s="188">
        <f t="shared" si="30"/>
        <v>1.0642435385213733</v>
      </c>
      <c r="I276" s="188" t="str">
        <f t="shared" si="31"/>
        <v/>
      </c>
      <c r="J276" s="182">
        <v>1285</v>
      </c>
      <c r="K276" s="183">
        <v>0</v>
      </c>
      <c r="L276" s="191" t="str">
        <f t="shared" si="32"/>
        <v/>
      </c>
      <c r="M276" s="188">
        <f t="shared" si="33"/>
        <v>0.91353092142212233</v>
      </c>
      <c r="N276" s="189" t="str">
        <f t="shared" si="34"/>
        <v/>
      </c>
    </row>
    <row r="277" spans="1:14" hidden="1" outlineLevel="1">
      <c r="A277" s="180"/>
      <c r="B277" s="190" t="s">
        <v>1076</v>
      </c>
      <c r="C277" s="186" t="str">
        <f t="shared" si="28"/>
        <v/>
      </c>
      <c r="E277" s="182">
        <v>121</v>
      </c>
      <c r="F277" s="183">
        <v>0</v>
      </c>
      <c r="G277" s="191" t="str">
        <f t="shared" si="29"/>
        <v/>
      </c>
      <c r="H277" s="188">
        <f t="shared" si="30"/>
        <v>0.427818831099954</v>
      </c>
      <c r="I277" s="188" t="str">
        <f t="shared" si="31"/>
        <v/>
      </c>
      <c r="J277" s="182">
        <v>571</v>
      </c>
      <c r="K277" s="183">
        <v>0</v>
      </c>
      <c r="L277" s="191" t="str">
        <f t="shared" si="32"/>
        <v/>
      </c>
      <c r="M277" s="188">
        <f t="shared" si="33"/>
        <v>0.4059347518537213</v>
      </c>
      <c r="N277" s="189" t="str">
        <f t="shared" si="34"/>
        <v/>
      </c>
    </row>
    <row r="278" spans="1:14" hidden="1" outlineLevel="1">
      <c r="A278" s="180"/>
      <c r="B278" s="190" t="s">
        <v>1077</v>
      </c>
      <c r="C278" s="186" t="str">
        <f t="shared" si="28"/>
        <v/>
      </c>
      <c r="E278" s="182">
        <v>64</v>
      </c>
      <c r="F278" s="183">
        <v>0</v>
      </c>
      <c r="G278" s="191" t="str">
        <f t="shared" si="29"/>
        <v/>
      </c>
      <c r="H278" s="188">
        <f t="shared" si="30"/>
        <v>0.22628434041650461</v>
      </c>
      <c r="I278" s="188" t="str">
        <f t="shared" si="31"/>
        <v/>
      </c>
      <c r="J278" s="182">
        <v>406</v>
      </c>
      <c r="K278" s="183">
        <v>0</v>
      </c>
      <c r="L278" s="191" t="str">
        <f t="shared" si="32"/>
        <v/>
      </c>
      <c r="M278" s="188">
        <f t="shared" si="33"/>
        <v>0.28863311602909081</v>
      </c>
      <c r="N278" s="189" t="str">
        <f t="shared" si="34"/>
        <v/>
      </c>
    </row>
    <row r="279" spans="1:14" hidden="1" outlineLevel="1">
      <c r="A279" s="180"/>
      <c r="B279" s="190" t="s">
        <v>894</v>
      </c>
      <c r="C279" s="186" t="str">
        <f t="shared" si="28"/>
        <v/>
      </c>
      <c r="E279" s="182">
        <v>115</v>
      </c>
      <c r="F279" s="183">
        <v>0</v>
      </c>
      <c r="G279" s="191" t="str">
        <f t="shared" si="29"/>
        <v/>
      </c>
      <c r="H279" s="188">
        <f t="shared" si="30"/>
        <v>0.40660467418590673</v>
      </c>
      <c r="I279" s="188" t="str">
        <f t="shared" si="31"/>
        <v/>
      </c>
      <c r="J279" s="182">
        <v>278</v>
      </c>
      <c r="K279" s="183">
        <v>0</v>
      </c>
      <c r="L279" s="191" t="str">
        <f t="shared" si="32"/>
        <v/>
      </c>
      <c r="M279" s="188">
        <f t="shared" si="33"/>
        <v>0.19763548338937745</v>
      </c>
      <c r="N279" s="189" t="str">
        <f t="shared" si="34"/>
        <v/>
      </c>
    </row>
    <row r="280" spans="1:14" hidden="1" outlineLevel="1">
      <c r="A280" s="180"/>
      <c r="B280" s="190" t="s">
        <v>897</v>
      </c>
      <c r="C280" s="186" t="str">
        <f t="shared" si="28"/>
        <v/>
      </c>
      <c r="E280" s="182">
        <v>1</v>
      </c>
      <c r="F280" s="183">
        <v>0</v>
      </c>
      <c r="G280" s="191" t="str">
        <f t="shared" si="29"/>
        <v/>
      </c>
      <c r="H280" s="188">
        <f t="shared" si="30"/>
        <v>3.5356928190078845E-3</v>
      </c>
      <c r="I280" s="188" t="str">
        <f t="shared" si="31"/>
        <v/>
      </c>
      <c r="J280" s="182">
        <v>30</v>
      </c>
      <c r="K280" s="183">
        <v>0</v>
      </c>
      <c r="L280" s="191" t="str">
        <f t="shared" si="32"/>
        <v/>
      </c>
      <c r="M280" s="188">
        <f t="shared" si="33"/>
        <v>2.1327570149932817E-2</v>
      </c>
      <c r="N280" s="189" t="str">
        <f t="shared" si="34"/>
        <v/>
      </c>
    </row>
    <row r="281" spans="1:14" collapsed="1">
      <c r="A281" s="180" t="s">
        <v>1209</v>
      </c>
      <c r="B281" s="179" t="s">
        <v>266</v>
      </c>
      <c r="C281" s="186">
        <f t="shared" si="28"/>
        <v>-32.194244604316545</v>
      </c>
      <c r="E281" s="182">
        <v>229</v>
      </c>
      <c r="F281" s="183">
        <v>325</v>
      </c>
      <c r="G281" s="191">
        <f t="shared" si="29"/>
        <v>-29.53846153846154</v>
      </c>
      <c r="H281" s="188">
        <f t="shared" si="30"/>
        <v>0.80967365555280557</v>
      </c>
      <c r="I281" s="188">
        <f t="shared" si="31"/>
        <v>1.2457835019932535</v>
      </c>
      <c r="J281" s="182">
        <v>1131</v>
      </c>
      <c r="K281" s="183">
        <v>1668</v>
      </c>
      <c r="L281" s="191">
        <f t="shared" si="32"/>
        <v>-32.194244604316545</v>
      </c>
      <c r="M281" s="188">
        <f t="shared" si="33"/>
        <v>0.80404939465246716</v>
      </c>
      <c r="N281" s="189">
        <f t="shared" si="34"/>
        <v>1.1568711767072173</v>
      </c>
    </row>
    <row r="282" spans="1:14" hidden="1" outlineLevel="1">
      <c r="A282" s="180"/>
      <c r="B282" s="190" t="s">
        <v>916</v>
      </c>
      <c r="C282" s="186">
        <f t="shared" si="28"/>
        <v>-33.664185277088507</v>
      </c>
      <c r="E282" s="182">
        <v>182</v>
      </c>
      <c r="F282" s="183">
        <v>264</v>
      </c>
      <c r="G282" s="191">
        <f t="shared" si="29"/>
        <v>-31.060606060606062</v>
      </c>
      <c r="H282" s="188">
        <f t="shared" si="30"/>
        <v>0.643496093059435</v>
      </c>
      <c r="I282" s="188">
        <f t="shared" si="31"/>
        <v>1.011959521619135</v>
      </c>
      <c r="J282" s="182">
        <v>802</v>
      </c>
      <c r="K282" s="183">
        <v>1209</v>
      </c>
      <c r="L282" s="191">
        <f t="shared" si="32"/>
        <v>-33.664185277088507</v>
      </c>
      <c r="M282" s="188">
        <f t="shared" si="33"/>
        <v>0.57015704200820394</v>
      </c>
      <c r="N282" s="189">
        <f t="shared" si="34"/>
        <v>0.83852353275720959</v>
      </c>
    </row>
    <row r="283" spans="1:14" hidden="1" outlineLevel="1">
      <c r="A283" s="180"/>
      <c r="B283" s="190" t="s">
        <v>917</v>
      </c>
      <c r="C283" s="186">
        <f t="shared" si="28"/>
        <v>286.36363636363637</v>
      </c>
      <c r="E283" s="182">
        <v>18</v>
      </c>
      <c r="F283" s="183">
        <v>8</v>
      </c>
      <c r="G283" s="191">
        <f t="shared" si="29"/>
        <v>125</v>
      </c>
      <c r="H283" s="188">
        <f t="shared" si="30"/>
        <v>6.3642470742141924E-2</v>
      </c>
      <c r="I283" s="188">
        <f t="shared" si="31"/>
        <v>3.0665440049064706E-2</v>
      </c>
      <c r="J283" s="182">
        <v>170</v>
      </c>
      <c r="K283" s="183">
        <v>44</v>
      </c>
      <c r="L283" s="191">
        <f t="shared" si="32"/>
        <v>286.36363636363637</v>
      </c>
      <c r="M283" s="188">
        <f t="shared" si="33"/>
        <v>0.1208562308496193</v>
      </c>
      <c r="N283" s="189">
        <f t="shared" si="34"/>
        <v>3.0516985476689185E-2</v>
      </c>
    </row>
    <row r="284" spans="1:14" hidden="1" outlineLevel="1">
      <c r="A284" s="180"/>
      <c r="B284" s="190">
        <v>500</v>
      </c>
      <c r="C284" s="186">
        <f t="shared" si="28"/>
        <v>-60.750000000000007</v>
      </c>
      <c r="E284" s="182">
        <v>29</v>
      </c>
      <c r="F284" s="183">
        <v>53</v>
      </c>
      <c r="G284" s="191">
        <f t="shared" si="29"/>
        <v>-45.283018867924532</v>
      </c>
      <c r="H284" s="188">
        <f t="shared" si="30"/>
        <v>0.10253509175122866</v>
      </c>
      <c r="I284" s="188">
        <f t="shared" si="31"/>
        <v>0.20315854032505365</v>
      </c>
      <c r="J284" s="182">
        <v>157</v>
      </c>
      <c r="K284" s="183">
        <v>400</v>
      </c>
      <c r="L284" s="191">
        <f t="shared" si="32"/>
        <v>-60.750000000000007</v>
      </c>
      <c r="M284" s="188">
        <f t="shared" si="33"/>
        <v>0.11161428378464841</v>
      </c>
      <c r="N284" s="189">
        <f t="shared" si="34"/>
        <v>0.27742714069717439</v>
      </c>
    </row>
    <row r="285" spans="1:14" hidden="1" outlineLevel="1">
      <c r="A285" s="180"/>
      <c r="B285" s="190" t="s">
        <v>918</v>
      </c>
      <c r="C285" s="186">
        <f t="shared" si="28"/>
        <v>-85.714285714285708</v>
      </c>
      <c r="E285" s="182">
        <v>0</v>
      </c>
      <c r="F285" s="183">
        <v>0</v>
      </c>
      <c r="G285" s="191" t="str">
        <f t="shared" si="29"/>
        <v/>
      </c>
      <c r="H285" s="188" t="str">
        <f t="shared" si="30"/>
        <v/>
      </c>
      <c r="I285" s="188" t="str">
        <f t="shared" si="31"/>
        <v/>
      </c>
      <c r="J285" s="182">
        <v>2</v>
      </c>
      <c r="K285" s="183">
        <v>14</v>
      </c>
      <c r="L285" s="191">
        <f t="shared" si="32"/>
        <v>-85.714285714285708</v>
      </c>
      <c r="M285" s="188">
        <f t="shared" si="33"/>
        <v>1.4218380099955213E-3</v>
      </c>
      <c r="N285" s="189">
        <f t="shared" si="34"/>
        <v>9.7099499244011032E-3</v>
      </c>
    </row>
    <row r="286" spans="1:14" hidden="1" outlineLevel="1">
      <c r="A286" s="180"/>
      <c r="B286" s="190" t="s">
        <v>1210</v>
      </c>
      <c r="C286" s="186">
        <f t="shared" si="28"/>
        <v>-100</v>
      </c>
      <c r="E286" s="182">
        <v>0</v>
      </c>
      <c r="F286" s="183">
        <v>0</v>
      </c>
      <c r="G286" s="191" t="str">
        <f t="shared" si="29"/>
        <v/>
      </c>
      <c r="H286" s="188" t="str">
        <f t="shared" si="30"/>
        <v/>
      </c>
      <c r="I286" s="188" t="str">
        <f t="shared" si="31"/>
        <v/>
      </c>
      <c r="J286" s="182">
        <v>0</v>
      </c>
      <c r="K286" s="183">
        <v>1</v>
      </c>
      <c r="L286" s="191">
        <f t="shared" si="32"/>
        <v>-100</v>
      </c>
      <c r="M286" s="188" t="str">
        <f t="shared" si="33"/>
        <v/>
      </c>
      <c r="N286" s="189">
        <f t="shared" si="34"/>
        <v>6.9356785174293602E-4</v>
      </c>
    </row>
    <row r="287" spans="1:14" collapsed="1">
      <c r="A287" s="180" t="s">
        <v>1264</v>
      </c>
      <c r="B287" s="179" t="s">
        <v>276</v>
      </c>
      <c r="C287" s="186">
        <f t="shared" si="28"/>
        <v>106.22710622710623</v>
      </c>
      <c r="E287" s="182">
        <v>242</v>
      </c>
      <c r="F287" s="183">
        <v>91</v>
      </c>
      <c r="G287" s="191">
        <f t="shared" si="29"/>
        <v>165.93406593406596</v>
      </c>
      <c r="H287" s="188">
        <f t="shared" si="30"/>
        <v>0.855637662199908</v>
      </c>
      <c r="I287" s="188">
        <f t="shared" si="31"/>
        <v>0.34881938055811101</v>
      </c>
      <c r="J287" s="182">
        <v>1126</v>
      </c>
      <c r="K287" s="183">
        <v>546</v>
      </c>
      <c r="L287" s="191">
        <f t="shared" si="32"/>
        <v>106.22710622710623</v>
      </c>
      <c r="M287" s="188">
        <f t="shared" si="33"/>
        <v>0.80049479962747849</v>
      </c>
      <c r="N287" s="189">
        <f t="shared" si="34"/>
        <v>0.37868804705164305</v>
      </c>
    </row>
    <row r="288" spans="1:14" hidden="1" outlineLevel="1">
      <c r="A288" s="180"/>
      <c r="B288" s="190" t="s">
        <v>953</v>
      </c>
      <c r="C288" s="186">
        <f t="shared" si="28"/>
        <v>107.94979079497908</v>
      </c>
      <c r="E288" s="182">
        <v>114</v>
      </c>
      <c r="F288" s="183">
        <v>43</v>
      </c>
      <c r="G288" s="191">
        <f t="shared" si="29"/>
        <v>165.11627906976744</v>
      </c>
      <c r="H288" s="188">
        <f t="shared" si="30"/>
        <v>0.40306898136689884</v>
      </c>
      <c r="I288" s="188">
        <f t="shared" si="31"/>
        <v>0.16482674026372279</v>
      </c>
      <c r="J288" s="182">
        <v>497</v>
      </c>
      <c r="K288" s="183">
        <v>239</v>
      </c>
      <c r="L288" s="191">
        <f t="shared" si="32"/>
        <v>107.94979079497908</v>
      </c>
      <c r="M288" s="188">
        <f t="shared" si="33"/>
        <v>0.35332674548388704</v>
      </c>
      <c r="N288" s="189">
        <f t="shared" si="34"/>
        <v>0.16576271656656172</v>
      </c>
    </row>
    <row r="289" spans="1:14" hidden="1" outlineLevel="1">
      <c r="A289" s="180"/>
      <c r="B289" s="190" t="s">
        <v>1211</v>
      </c>
      <c r="C289" s="186">
        <f t="shared" si="28"/>
        <v>261.53846153846155</v>
      </c>
      <c r="E289" s="182">
        <v>22</v>
      </c>
      <c r="F289" s="183">
        <v>7</v>
      </c>
      <c r="G289" s="191">
        <f t="shared" si="29"/>
        <v>214.28571428571428</v>
      </c>
      <c r="H289" s="188">
        <f t="shared" si="30"/>
        <v>7.7785242018173453E-2</v>
      </c>
      <c r="I289" s="188">
        <f t="shared" si="31"/>
        <v>2.6832260042931617E-2</v>
      </c>
      <c r="J289" s="182">
        <v>235</v>
      </c>
      <c r="K289" s="183">
        <v>65</v>
      </c>
      <c r="L289" s="191">
        <f t="shared" si="32"/>
        <v>261.53846153846155</v>
      </c>
      <c r="M289" s="188">
        <f t="shared" si="33"/>
        <v>0.16706596617447375</v>
      </c>
      <c r="N289" s="189">
        <f t="shared" si="34"/>
        <v>4.5081910363290838E-2</v>
      </c>
    </row>
    <row r="290" spans="1:14" hidden="1" outlineLevel="1">
      <c r="A290" s="180"/>
      <c r="B290" s="190" t="s">
        <v>1033</v>
      </c>
      <c r="C290" s="186">
        <f t="shared" si="28"/>
        <v>40.458015267175576</v>
      </c>
      <c r="E290" s="182">
        <v>46</v>
      </c>
      <c r="F290" s="183">
        <v>20</v>
      </c>
      <c r="G290" s="191">
        <f t="shared" si="29"/>
        <v>130</v>
      </c>
      <c r="H290" s="188">
        <f t="shared" si="30"/>
        <v>0.1626418696743627</v>
      </c>
      <c r="I290" s="188">
        <f t="shared" si="31"/>
        <v>7.6663600122661754E-2</v>
      </c>
      <c r="J290" s="182">
        <v>184</v>
      </c>
      <c r="K290" s="183">
        <v>131</v>
      </c>
      <c r="L290" s="191">
        <f t="shared" si="32"/>
        <v>40.458015267175576</v>
      </c>
      <c r="M290" s="188">
        <f t="shared" si="33"/>
        <v>0.13080909691958797</v>
      </c>
      <c r="N290" s="189">
        <f t="shared" si="34"/>
        <v>9.0857388578324622E-2</v>
      </c>
    </row>
    <row r="291" spans="1:14" hidden="1" outlineLevel="1">
      <c r="A291" s="180"/>
      <c r="B291" s="190" t="s">
        <v>955</v>
      </c>
      <c r="C291" s="186">
        <f t="shared" si="28"/>
        <v>122.05882352941177</v>
      </c>
      <c r="E291" s="182">
        <v>38</v>
      </c>
      <c r="F291" s="183">
        <v>12</v>
      </c>
      <c r="G291" s="191">
        <f t="shared" si="29"/>
        <v>216.66666666666666</v>
      </c>
      <c r="H291" s="188">
        <f t="shared" si="30"/>
        <v>0.13435632712229961</v>
      </c>
      <c r="I291" s="188">
        <f t="shared" si="31"/>
        <v>4.5998160073597055E-2</v>
      </c>
      <c r="J291" s="182">
        <v>151</v>
      </c>
      <c r="K291" s="183">
        <v>68</v>
      </c>
      <c r="L291" s="191">
        <f t="shared" si="32"/>
        <v>122.05882352941177</v>
      </c>
      <c r="M291" s="188">
        <f t="shared" si="33"/>
        <v>0.10734876975466184</v>
      </c>
      <c r="N291" s="189">
        <f t="shared" si="34"/>
        <v>4.7162613918519648E-2</v>
      </c>
    </row>
    <row r="292" spans="1:14" hidden="1" outlineLevel="1">
      <c r="A292" s="180"/>
      <c r="B292" s="190" t="s">
        <v>1177</v>
      </c>
      <c r="C292" s="186" t="str">
        <f t="shared" si="28"/>
        <v/>
      </c>
      <c r="E292" s="182">
        <v>18</v>
      </c>
      <c r="F292" s="183">
        <v>0</v>
      </c>
      <c r="G292" s="191" t="str">
        <f t="shared" si="29"/>
        <v/>
      </c>
      <c r="H292" s="188">
        <f t="shared" si="30"/>
        <v>6.3642470742141924E-2</v>
      </c>
      <c r="I292" s="188" t="str">
        <f t="shared" si="31"/>
        <v/>
      </c>
      <c r="J292" s="182">
        <v>46</v>
      </c>
      <c r="K292" s="183">
        <v>0</v>
      </c>
      <c r="L292" s="191" t="str">
        <f t="shared" si="32"/>
        <v/>
      </c>
      <c r="M292" s="188">
        <f t="shared" si="33"/>
        <v>3.2702274229896994E-2</v>
      </c>
      <c r="N292" s="189" t="str">
        <f t="shared" si="34"/>
        <v/>
      </c>
    </row>
    <row r="293" spans="1:14" hidden="1" outlineLevel="1">
      <c r="A293" s="180"/>
      <c r="B293" s="190" t="s">
        <v>1212</v>
      </c>
      <c r="C293" s="186">
        <f t="shared" si="28"/>
        <v>200</v>
      </c>
      <c r="E293" s="182">
        <v>0</v>
      </c>
      <c r="F293" s="183">
        <v>1</v>
      </c>
      <c r="G293" s="191">
        <f t="shared" si="29"/>
        <v>-100</v>
      </c>
      <c r="H293" s="188" t="str">
        <f t="shared" si="30"/>
        <v/>
      </c>
      <c r="I293" s="188">
        <f t="shared" si="31"/>
        <v>3.8331800061330882E-3</v>
      </c>
      <c r="J293" s="182">
        <v>6</v>
      </c>
      <c r="K293" s="183">
        <v>2</v>
      </c>
      <c r="L293" s="191">
        <f t="shared" si="32"/>
        <v>200</v>
      </c>
      <c r="M293" s="188">
        <f t="shared" si="33"/>
        <v>4.2655140299865633E-3</v>
      </c>
      <c r="N293" s="189">
        <f t="shared" si="34"/>
        <v>1.387135703485872E-3</v>
      </c>
    </row>
    <row r="294" spans="1:14" hidden="1" outlineLevel="1">
      <c r="A294" s="180"/>
      <c r="B294" s="190" t="s">
        <v>955</v>
      </c>
      <c r="C294" s="186" t="str">
        <f t="shared" si="28"/>
        <v/>
      </c>
      <c r="E294" s="182">
        <v>4</v>
      </c>
      <c r="F294" s="183">
        <v>0</v>
      </c>
      <c r="G294" s="191" t="str">
        <f t="shared" si="29"/>
        <v/>
      </c>
      <c r="H294" s="188">
        <f t="shared" si="30"/>
        <v>1.4142771276031538E-2</v>
      </c>
      <c r="I294" s="188" t="str">
        <f t="shared" si="31"/>
        <v/>
      </c>
      <c r="J294" s="182">
        <v>4</v>
      </c>
      <c r="K294" s="183">
        <v>0</v>
      </c>
      <c r="L294" s="191" t="str">
        <f t="shared" si="32"/>
        <v/>
      </c>
      <c r="M294" s="188">
        <f t="shared" si="33"/>
        <v>2.8436760199910425E-3</v>
      </c>
      <c r="N294" s="189" t="str">
        <f t="shared" si="34"/>
        <v/>
      </c>
    </row>
    <row r="295" spans="1:14" hidden="1" outlineLevel="1">
      <c r="A295" s="180"/>
      <c r="B295" s="190" t="s">
        <v>1213</v>
      </c>
      <c r="C295" s="186" t="str">
        <f t="shared" si="28"/>
        <v/>
      </c>
      <c r="E295" s="182">
        <v>0</v>
      </c>
      <c r="F295" s="183">
        <v>0</v>
      </c>
      <c r="G295" s="191" t="str">
        <f t="shared" si="29"/>
        <v/>
      </c>
      <c r="H295" s="188" t="str">
        <f t="shared" si="30"/>
        <v/>
      </c>
      <c r="I295" s="188" t="str">
        <f t="shared" si="31"/>
        <v/>
      </c>
      <c r="J295" s="182">
        <v>2</v>
      </c>
      <c r="K295" s="183">
        <v>0</v>
      </c>
      <c r="L295" s="191" t="str">
        <f t="shared" si="32"/>
        <v/>
      </c>
      <c r="M295" s="188">
        <f t="shared" si="33"/>
        <v>1.4218380099955213E-3</v>
      </c>
      <c r="N295" s="189" t="str">
        <f t="shared" si="34"/>
        <v/>
      </c>
    </row>
    <row r="296" spans="1:14" hidden="1" outlineLevel="1">
      <c r="A296" s="180"/>
      <c r="B296" s="190" t="s">
        <v>1214</v>
      </c>
      <c r="C296" s="186" t="str">
        <f t="shared" si="28"/>
        <v/>
      </c>
      <c r="E296" s="182">
        <v>0</v>
      </c>
      <c r="F296" s="183">
        <v>0</v>
      </c>
      <c r="G296" s="191" t="str">
        <f t="shared" si="29"/>
        <v/>
      </c>
      <c r="H296" s="188" t="str">
        <f t="shared" si="30"/>
        <v/>
      </c>
      <c r="I296" s="188" t="str">
        <f t="shared" si="31"/>
        <v/>
      </c>
      <c r="J296" s="182">
        <v>1</v>
      </c>
      <c r="K296" s="183">
        <v>0</v>
      </c>
      <c r="L296" s="191" t="str">
        <f t="shared" si="32"/>
        <v/>
      </c>
      <c r="M296" s="188">
        <f t="shared" si="33"/>
        <v>7.1091900499776063E-4</v>
      </c>
      <c r="N296" s="189" t="str">
        <f t="shared" si="34"/>
        <v/>
      </c>
    </row>
    <row r="297" spans="1:14" hidden="1" outlineLevel="1">
      <c r="A297" s="180"/>
      <c r="B297" s="190" t="s">
        <v>954</v>
      </c>
      <c r="C297" s="186">
        <f t="shared" si="28"/>
        <v>-100</v>
      </c>
      <c r="E297" s="182">
        <v>0</v>
      </c>
      <c r="F297" s="183">
        <v>8</v>
      </c>
      <c r="G297" s="191">
        <f t="shared" si="29"/>
        <v>-100</v>
      </c>
      <c r="H297" s="188" t="str">
        <f t="shared" si="30"/>
        <v/>
      </c>
      <c r="I297" s="188">
        <f t="shared" si="31"/>
        <v>3.0665440049064706E-2</v>
      </c>
      <c r="J297" s="182">
        <v>0</v>
      </c>
      <c r="K297" s="183">
        <v>41</v>
      </c>
      <c r="L297" s="191">
        <f t="shared" si="32"/>
        <v>-100</v>
      </c>
      <c r="M297" s="188" t="str">
        <f t="shared" si="33"/>
        <v/>
      </c>
      <c r="N297" s="189">
        <f t="shared" si="34"/>
        <v>2.8436281921460378E-2</v>
      </c>
    </row>
    <row r="298" spans="1:14" collapsed="1">
      <c r="A298" s="180" t="s">
        <v>1265</v>
      </c>
      <c r="B298" s="179" t="s">
        <v>280</v>
      </c>
      <c r="C298" s="186">
        <f t="shared" si="28"/>
        <v>-21.726190476190478</v>
      </c>
      <c r="E298" s="182">
        <v>159</v>
      </c>
      <c r="F298" s="183">
        <v>174</v>
      </c>
      <c r="G298" s="191">
        <f t="shared" si="29"/>
        <v>-8.6206896551724146</v>
      </c>
      <c r="H298" s="188">
        <f t="shared" si="30"/>
        <v>0.56217515822225361</v>
      </c>
      <c r="I298" s="188">
        <f t="shared" si="31"/>
        <v>0.66697332106715723</v>
      </c>
      <c r="J298" s="182">
        <v>1052</v>
      </c>
      <c r="K298" s="183">
        <v>1344</v>
      </c>
      <c r="L298" s="191">
        <f t="shared" si="32"/>
        <v>-21.726190476190478</v>
      </c>
      <c r="M298" s="188">
        <f t="shared" si="33"/>
        <v>0.74788679325764418</v>
      </c>
      <c r="N298" s="189">
        <f t="shared" si="34"/>
        <v>0.93215519274250591</v>
      </c>
    </row>
    <row r="299" spans="1:14" hidden="1" outlineLevel="1">
      <c r="A299" s="180"/>
      <c r="B299" s="190" t="s">
        <v>926</v>
      </c>
      <c r="C299" s="186">
        <f t="shared" si="28"/>
        <v>-8.085106382978724</v>
      </c>
      <c r="E299" s="182">
        <v>133</v>
      </c>
      <c r="F299" s="183">
        <v>130</v>
      </c>
      <c r="G299" s="191">
        <f t="shared" si="29"/>
        <v>2.3076923076923079</v>
      </c>
      <c r="H299" s="188">
        <f t="shared" si="30"/>
        <v>0.47024714492804864</v>
      </c>
      <c r="I299" s="188">
        <f t="shared" si="31"/>
        <v>0.49831340079730146</v>
      </c>
      <c r="J299" s="182">
        <v>864</v>
      </c>
      <c r="K299" s="183">
        <v>940</v>
      </c>
      <c r="L299" s="191">
        <f t="shared" si="32"/>
        <v>-8.085106382978724</v>
      </c>
      <c r="M299" s="188">
        <f t="shared" si="33"/>
        <v>0.61423402031806518</v>
      </c>
      <c r="N299" s="189">
        <f t="shared" si="34"/>
        <v>0.65195378063835985</v>
      </c>
    </row>
    <row r="300" spans="1:14" hidden="1" outlineLevel="1">
      <c r="A300" s="180"/>
      <c r="B300" s="190" t="s">
        <v>927</v>
      </c>
      <c r="C300" s="186">
        <f t="shared" si="28"/>
        <v>-40</v>
      </c>
      <c r="E300" s="182">
        <v>20</v>
      </c>
      <c r="F300" s="183">
        <v>31</v>
      </c>
      <c r="G300" s="191">
        <f t="shared" si="29"/>
        <v>-35.483870967741936</v>
      </c>
      <c r="H300" s="188">
        <f t="shared" si="30"/>
        <v>7.0713856380157689E-2</v>
      </c>
      <c r="I300" s="188">
        <f t="shared" si="31"/>
        <v>0.11882858019012572</v>
      </c>
      <c r="J300" s="182">
        <v>180</v>
      </c>
      <c r="K300" s="183">
        <v>300</v>
      </c>
      <c r="L300" s="191">
        <f t="shared" si="32"/>
        <v>-40</v>
      </c>
      <c r="M300" s="188">
        <f t="shared" si="33"/>
        <v>0.12796542089959689</v>
      </c>
      <c r="N300" s="189">
        <f t="shared" si="34"/>
        <v>0.20807035552288081</v>
      </c>
    </row>
    <row r="301" spans="1:14" hidden="1" outlineLevel="1">
      <c r="A301" s="180"/>
      <c r="B301" s="190" t="s">
        <v>928</v>
      </c>
      <c r="C301" s="186">
        <f t="shared" si="28"/>
        <v>-92.307692307692307</v>
      </c>
      <c r="E301" s="182">
        <v>6</v>
      </c>
      <c r="F301" s="183">
        <v>13</v>
      </c>
      <c r="G301" s="191">
        <f t="shared" si="29"/>
        <v>-53.846153846153847</v>
      </c>
      <c r="H301" s="188">
        <f t="shared" si="30"/>
        <v>2.1214156914047308E-2</v>
      </c>
      <c r="I301" s="188">
        <f t="shared" si="31"/>
        <v>4.9831340079730141E-2</v>
      </c>
      <c r="J301" s="182">
        <v>8</v>
      </c>
      <c r="K301" s="183">
        <v>104</v>
      </c>
      <c r="L301" s="191">
        <f t="shared" si="32"/>
        <v>-92.307692307692307</v>
      </c>
      <c r="M301" s="188">
        <f t="shared" si="33"/>
        <v>5.687352039982085E-3</v>
      </c>
      <c r="N301" s="189">
        <f t="shared" si="34"/>
        <v>7.213105658126534E-2</v>
      </c>
    </row>
    <row r="302" spans="1:14" collapsed="1">
      <c r="A302" s="180" t="s">
        <v>1266</v>
      </c>
      <c r="B302" s="179" t="s">
        <v>929</v>
      </c>
      <c r="C302" s="186">
        <f t="shared" si="28"/>
        <v>-10.118505013673655</v>
      </c>
      <c r="E302" s="182">
        <v>200</v>
      </c>
      <c r="F302" s="183">
        <v>139</v>
      </c>
      <c r="G302" s="191">
        <f t="shared" si="29"/>
        <v>43.884892086330936</v>
      </c>
      <c r="H302" s="188">
        <f t="shared" si="30"/>
        <v>0.70713856380157691</v>
      </c>
      <c r="I302" s="188">
        <f t="shared" si="31"/>
        <v>0.53281202085249924</v>
      </c>
      <c r="J302" s="182">
        <v>986</v>
      </c>
      <c r="K302" s="183">
        <v>1097</v>
      </c>
      <c r="L302" s="191">
        <f t="shared" si="32"/>
        <v>-10.118505013673655</v>
      </c>
      <c r="M302" s="188">
        <f t="shared" si="33"/>
        <v>0.70096613892779192</v>
      </c>
      <c r="N302" s="189">
        <f t="shared" si="34"/>
        <v>0.76084393336200085</v>
      </c>
    </row>
    <row r="303" spans="1:14" hidden="1" outlineLevel="1">
      <c r="A303" s="180"/>
      <c r="B303" s="190" t="s">
        <v>930</v>
      </c>
      <c r="C303" s="186">
        <f t="shared" si="28"/>
        <v>-10.118505013673655</v>
      </c>
      <c r="E303" s="182">
        <v>200</v>
      </c>
      <c r="F303" s="183">
        <v>139</v>
      </c>
      <c r="G303" s="191">
        <f t="shared" si="29"/>
        <v>43.884892086330936</v>
      </c>
      <c r="H303" s="188">
        <f t="shared" si="30"/>
        <v>0.70713856380157691</v>
      </c>
      <c r="I303" s="188">
        <f t="shared" si="31"/>
        <v>0.53281202085249924</v>
      </c>
      <c r="J303" s="182">
        <v>986</v>
      </c>
      <c r="K303" s="183">
        <v>1097</v>
      </c>
      <c r="L303" s="191">
        <f t="shared" si="32"/>
        <v>-10.118505013673655</v>
      </c>
      <c r="M303" s="188">
        <f t="shared" si="33"/>
        <v>0.70096613892779192</v>
      </c>
      <c r="N303" s="189">
        <f t="shared" si="34"/>
        <v>0.76084393336200085</v>
      </c>
    </row>
    <row r="304" spans="1:14" collapsed="1">
      <c r="A304" s="180" t="s">
        <v>1267</v>
      </c>
      <c r="B304" s="179" t="s">
        <v>507</v>
      </c>
      <c r="C304" s="186" t="str">
        <f t="shared" si="28"/>
        <v/>
      </c>
      <c r="E304" s="182">
        <v>307</v>
      </c>
      <c r="F304" s="183">
        <v>0</v>
      </c>
      <c r="G304" s="191" t="str">
        <f t="shared" si="29"/>
        <v/>
      </c>
      <c r="H304" s="188">
        <f t="shared" si="30"/>
        <v>1.0854576954354207</v>
      </c>
      <c r="I304" s="188" t="str">
        <f t="shared" si="31"/>
        <v/>
      </c>
      <c r="J304" s="182">
        <v>722</v>
      </c>
      <c r="K304" s="183">
        <v>0</v>
      </c>
      <c r="L304" s="191" t="str">
        <f t="shared" si="32"/>
        <v/>
      </c>
      <c r="M304" s="188">
        <f t="shared" si="33"/>
        <v>0.5132835216083832</v>
      </c>
      <c r="N304" s="189" t="str">
        <f t="shared" si="34"/>
        <v/>
      </c>
    </row>
    <row r="305" spans="1:14" hidden="1" outlineLevel="1">
      <c r="A305" s="180"/>
      <c r="B305" s="190" t="s">
        <v>1034</v>
      </c>
      <c r="C305" s="186" t="str">
        <f t="shared" si="28"/>
        <v/>
      </c>
      <c r="E305" s="182">
        <v>302</v>
      </c>
      <c r="F305" s="183">
        <v>0</v>
      </c>
      <c r="G305" s="191" t="str">
        <f t="shared" si="29"/>
        <v/>
      </c>
      <c r="H305" s="188">
        <f t="shared" si="30"/>
        <v>1.0677792313403811</v>
      </c>
      <c r="I305" s="188" t="str">
        <f t="shared" si="31"/>
        <v/>
      </c>
      <c r="J305" s="182">
        <v>675</v>
      </c>
      <c r="K305" s="183">
        <v>0</v>
      </c>
      <c r="L305" s="191" t="str">
        <f t="shared" si="32"/>
        <v/>
      </c>
      <c r="M305" s="188">
        <f t="shared" si="33"/>
        <v>0.47987032837348842</v>
      </c>
      <c r="N305" s="189" t="str">
        <f t="shared" si="34"/>
        <v/>
      </c>
    </row>
    <row r="306" spans="1:14" hidden="1" outlineLevel="1">
      <c r="A306" s="180"/>
      <c r="B306" s="190" t="s">
        <v>1078</v>
      </c>
      <c r="C306" s="186" t="str">
        <f t="shared" si="28"/>
        <v/>
      </c>
      <c r="E306" s="182">
        <v>3</v>
      </c>
      <c r="F306" s="183">
        <v>0</v>
      </c>
      <c r="G306" s="191" t="str">
        <f t="shared" si="29"/>
        <v/>
      </c>
      <c r="H306" s="188">
        <f t="shared" si="30"/>
        <v>1.0607078457023654E-2</v>
      </c>
      <c r="I306" s="188" t="str">
        <f t="shared" si="31"/>
        <v/>
      </c>
      <c r="J306" s="182">
        <v>38</v>
      </c>
      <c r="K306" s="183">
        <v>0</v>
      </c>
      <c r="L306" s="191" t="str">
        <f t="shared" si="32"/>
        <v/>
      </c>
      <c r="M306" s="188">
        <f t="shared" si="33"/>
        <v>2.7014922189914903E-2</v>
      </c>
      <c r="N306" s="189" t="str">
        <f t="shared" si="34"/>
        <v/>
      </c>
    </row>
    <row r="307" spans="1:14" hidden="1" outlineLevel="1">
      <c r="A307" s="180"/>
      <c r="B307" s="190" t="s">
        <v>1023</v>
      </c>
      <c r="C307" s="186" t="str">
        <f t="shared" si="28"/>
        <v/>
      </c>
      <c r="E307" s="182">
        <v>2</v>
      </c>
      <c r="F307" s="183">
        <v>0</v>
      </c>
      <c r="G307" s="191" t="str">
        <f t="shared" si="29"/>
        <v/>
      </c>
      <c r="H307" s="188">
        <f t="shared" si="30"/>
        <v>7.071385638015769E-3</v>
      </c>
      <c r="I307" s="188" t="str">
        <f t="shared" si="31"/>
        <v/>
      </c>
      <c r="J307" s="182">
        <v>9</v>
      </c>
      <c r="K307" s="183">
        <v>0</v>
      </c>
      <c r="L307" s="191" t="str">
        <f t="shared" si="32"/>
        <v/>
      </c>
      <c r="M307" s="188">
        <f t="shared" si="33"/>
        <v>6.398271044979845E-3</v>
      </c>
      <c r="N307" s="189" t="str">
        <f t="shared" si="34"/>
        <v/>
      </c>
    </row>
    <row r="308" spans="1:14" collapsed="1">
      <c r="A308" s="180" t="s">
        <v>1268</v>
      </c>
      <c r="B308" s="179" t="s">
        <v>291</v>
      </c>
      <c r="C308" s="186">
        <f t="shared" si="28"/>
        <v>-40.447154471544714</v>
      </c>
      <c r="E308" s="182">
        <v>160</v>
      </c>
      <c r="F308" s="183">
        <v>130</v>
      </c>
      <c r="G308" s="191">
        <f t="shared" si="29"/>
        <v>23.076923076923077</v>
      </c>
      <c r="H308" s="188">
        <f t="shared" si="30"/>
        <v>0.56571085104126151</v>
      </c>
      <c r="I308" s="188">
        <f t="shared" si="31"/>
        <v>0.49831340079730146</v>
      </c>
      <c r="J308" s="182">
        <v>586</v>
      </c>
      <c r="K308" s="183">
        <v>984</v>
      </c>
      <c r="L308" s="191">
        <f t="shared" si="32"/>
        <v>-40.447154471544714</v>
      </c>
      <c r="M308" s="188">
        <f t="shared" si="33"/>
        <v>0.4165985369286877</v>
      </c>
      <c r="N308" s="189">
        <f t="shared" si="34"/>
        <v>0.68247076611504909</v>
      </c>
    </row>
    <row r="309" spans="1:14" hidden="1" outlineLevel="1">
      <c r="A309" s="180"/>
      <c r="B309" s="190" t="s">
        <v>935</v>
      </c>
      <c r="C309" s="186">
        <f t="shared" si="28"/>
        <v>-25.391849529780565</v>
      </c>
      <c r="E309" s="182">
        <v>92</v>
      </c>
      <c r="F309" s="183">
        <v>44</v>
      </c>
      <c r="G309" s="191">
        <f t="shared" si="29"/>
        <v>109.09090909090908</v>
      </c>
      <c r="H309" s="188">
        <f t="shared" si="30"/>
        <v>0.3252837393487254</v>
      </c>
      <c r="I309" s="188">
        <f t="shared" si="31"/>
        <v>0.16865992026985588</v>
      </c>
      <c r="J309" s="182">
        <v>238</v>
      </c>
      <c r="K309" s="183">
        <v>319</v>
      </c>
      <c r="L309" s="191">
        <f t="shared" si="32"/>
        <v>-25.391849529780565</v>
      </c>
      <c r="M309" s="188">
        <f t="shared" si="33"/>
        <v>0.16919872318946702</v>
      </c>
      <c r="N309" s="189">
        <f t="shared" si="34"/>
        <v>0.2212481447059966</v>
      </c>
    </row>
    <row r="310" spans="1:14" hidden="1" outlineLevel="1">
      <c r="A310" s="180"/>
      <c r="B310" s="190" t="s">
        <v>936</v>
      </c>
      <c r="C310" s="186">
        <f t="shared" si="28"/>
        <v>-60.389610389610397</v>
      </c>
      <c r="E310" s="182">
        <v>33</v>
      </c>
      <c r="F310" s="183">
        <v>45</v>
      </c>
      <c r="G310" s="191">
        <f t="shared" si="29"/>
        <v>-26.666666666666668</v>
      </c>
      <c r="H310" s="188">
        <f t="shared" si="30"/>
        <v>0.1166778630272602</v>
      </c>
      <c r="I310" s="188">
        <f t="shared" si="31"/>
        <v>0.17249310027598896</v>
      </c>
      <c r="J310" s="182">
        <v>122</v>
      </c>
      <c r="K310" s="183">
        <v>308</v>
      </c>
      <c r="L310" s="191">
        <f t="shared" si="32"/>
        <v>-60.389610389610397</v>
      </c>
      <c r="M310" s="188">
        <f t="shared" si="33"/>
        <v>8.6732118609726794E-2</v>
      </c>
      <c r="N310" s="189">
        <f t="shared" si="34"/>
        <v>0.21361889833682429</v>
      </c>
    </row>
    <row r="311" spans="1:14" hidden="1" outlineLevel="1">
      <c r="A311" s="180"/>
      <c r="B311" s="190" t="s">
        <v>938</v>
      </c>
      <c r="C311" s="186">
        <f t="shared" si="28"/>
        <v>-15.503875968992247</v>
      </c>
      <c r="E311" s="182">
        <v>12</v>
      </c>
      <c r="F311" s="183">
        <v>15</v>
      </c>
      <c r="G311" s="191">
        <f t="shared" si="29"/>
        <v>-20</v>
      </c>
      <c r="H311" s="188">
        <f t="shared" si="30"/>
        <v>4.2428313828094616E-2</v>
      </c>
      <c r="I311" s="188">
        <f t="shared" si="31"/>
        <v>5.7497700091996319E-2</v>
      </c>
      <c r="J311" s="182">
        <v>109</v>
      </c>
      <c r="K311" s="183">
        <v>129</v>
      </c>
      <c r="L311" s="191">
        <f t="shared" si="32"/>
        <v>-15.503875968992247</v>
      </c>
      <c r="M311" s="188">
        <f t="shared" si="33"/>
        <v>7.7490171544755904E-2</v>
      </c>
      <c r="N311" s="189">
        <f t="shared" si="34"/>
        <v>8.9470252874838743E-2</v>
      </c>
    </row>
    <row r="312" spans="1:14" hidden="1" outlineLevel="1">
      <c r="A312" s="180"/>
      <c r="B312" s="190" t="s">
        <v>937</v>
      </c>
      <c r="C312" s="186">
        <f t="shared" si="28"/>
        <v>-39.751552795031053</v>
      </c>
      <c r="E312" s="182">
        <v>20</v>
      </c>
      <c r="F312" s="183">
        <v>8</v>
      </c>
      <c r="G312" s="191">
        <f t="shared" si="29"/>
        <v>150</v>
      </c>
      <c r="H312" s="188">
        <f t="shared" si="30"/>
        <v>7.0713856380157689E-2</v>
      </c>
      <c r="I312" s="188">
        <f t="shared" si="31"/>
        <v>3.0665440049064706E-2</v>
      </c>
      <c r="J312" s="182">
        <v>97</v>
      </c>
      <c r="K312" s="183">
        <v>161</v>
      </c>
      <c r="L312" s="191">
        <f t="shared" si="32"/>
        <v>-39.751552795031053</v>
      </c>
      <c r="M312" s="188">
        <f t="shared" si="33"/>
        <v>6.8959143484782784E-2</v>
      </c>
      <c r="N312" s="189">
        <f t="shared" si="34"/>
        <v>0.1116644241306127</v>
      </c>
    </row>
    <row r="313" spans="1:14" hidden="1" outlineLevel="1">
      <c r="A313" s="180"/>
      <c r="B313" s="190" t="s">
        <v>939</v>
      </c>
      <c r="C313" s="186">
        <f t="shared" si="28"/>
        <v>-70.149253731343293</v>
      </c>
      <c r="E313" s="182">
        <v>3</v>
      </c>
      <c r="F313" s="183">
        <v>18</v>
      </c>
      <c r="G313" s="191">
        <f t="shared" si="29"/>
        <v>-83.333333333333343</v>
      </c>
      <c r="H313" s="188">
        <f t="shared" si="30"/>
        <v>1.0607078457023654E-2</v>
      </c>
      <c r="I313" s="188">
        <f t="shared" si="31"/>
        <v>6.8997240110395583E-2</v>
      </c>
      <c r="J313" s="182">
        <v>20</v>
      </c>
      <c r="K313" s="183">
        <v>67</v>
      </c>
      <c r="L313" s="191">
        <f t="shared" si="32"/>
        <v>-70.149253731343293</v>
      </c>
      <c r="M313" s="188">
        <f t="shared" si="33"/>
        <v>1.4218380099955213E-2</v>
      </c>
      <c r="N313" s="189">
        <f t="shared" si="34"/>
        <v>4.6469046066776716E-2</v>
      </c>
    </row>
    <row r="314" spans="1:14" collapsed="1">
      <c r="A314" s="180" t="s">
        <v>1178</v>
      </c>
      <c r="B314" s="179" t="s">
        <v>281</v>
      </c>
      <c r="C314" s="186">
        <f t="shared" si="28"/>
        <v>23.140495867768596</v>
      </c>
      <c r="E314" s="182">
        <v>170</v>
      </c>
      <c r="F314" s="183">
        <v>91</v>
      </c>
      <c r="G314" s="191">
        <f t="shared" si="29"/>
        <v>86.813186813186817</v>
      </c>
      <c r="H314" s="188">
        <f t="shared" si="30"/>
        <v>0.60106777923134036</v>
      </c>
      <c r="I314" s="188">
        <f t="shared" si="31"/>
        <v>0.34881938055811101</v>
      </c>
      <c r="J314" s="182">
        <v>447</v>
      </c>
      <c r="K314" s="183">
        <v>363</v>
      </c>
      <c r="L314" s="191">
        <f t="shared" si="32"/>
        <v>23.140495867768596</v>
      </c>
      <c r="M314" s="188">
        <f t="shared" si="33"/>
        <v>0.31778079523399899</v>
      </c>
      <c r="N314" s="189">
        <f t="shared" si="34"/>
        <v>0.25176513018268576</v>
      </c>
    </row>
    <row r="315" spans="1:14" hidden="1" outlineLevel="1">
      <c r="A315" s="180"/>
      <c r="B315" s="190" t="s">
        <v>956</v>
      </c>
      <c r="C315" s="186">
        <f t="shared" si="28"/>
        <v>19.587628865979383</v>
      </c>
      <c r="E315" s="182">
        <v>132</v>
      </c>
      <c r="F315" s="183">
        <v>59</v>
      </c>
      <c r="G315" s="191">
        <f t="shared" si="29"/>
        <v>123.72881355932203</v>
      </c>
      <c r="H315" s="188">
        <f t="shared" si="30"/>
        <v>0.4667114521090408</v>
      </c>
      <c r="I315" s="188">
        <f t="shared" si="31"/>
        <v>0.22615762036185216</v>
      </c>
      <c r="J315" s="182">
        <v>232</v>
      </c>
      <c r="K315" s="183">
        <v>194</v>
      </c>
      <c r="L315" s="191">
        <f t="shared" si="32"/>
        <v>19.587628865979383</v>
      </c>
      <c r="M315" s="188">
        <f t="shared" si="33"/>
        <v>0.16493320915948045</v>
      </c>
      <c r="N315" s="189">
        <f t="shared" si="34"/>
        <v>0.1345521632381296</v>
      </c>
    </row>
    <row r="316" spans="1:14" hidden="1" outlineLevel="1">
      <c r="A316" s="180"/>
      <c r="B316" s="190" t="s">
        <v>957</v>
      </c>
      <c r="C316" s="186">
        <f t="shared" si="28"/>
        <v>-15.384615384615385</v>
      </c>
      <c r="E316" s="182">
        <v>18</v>
      </c>
      <c r="F316" s="183">
        <v>32</v>
      </c>
      <c r="G316" s="191">
        <f t="shared" si="29"/>
        <v>-43.75</v>
      </c>
      <c r="H316" s="188">
        <f t="shared" si="30"/>
        <v>6.3642470742141924E-2</v>
      </c>
      <c r="I316" s="188">
        <f t="shared" si="31"/>
        <v>0.12266176019625882</v>
      </c>
      <c r="J316" s="182">
        <v>143</v>
      </c>
      <c r="K316" s="183">
        <v>169</v>
      </c>
      <c r="L316" s="191">
        <f t="shared" si="32"/>
        <v>-15.384615384615385</v>
      </c>
      <c r="M316" s="188">
        <f t="shared" si="33"/>
        <v>0.10166141771467978</v>
      </c>
      <c r="N316" s="189">
        <f t="shared" si="34"/>
        <v>0.11721296694455617</v>
      </c>
    </row>
    <row r="317" spans="1:14" hidden="1" outlineLevel="1">
      <c r="A317" s="180"/>
      <c r="B317" s="190" t="s">
        <v>1150</v>
      </c>
      <c r="C317" s="186" t="str">
        <f t="shared" si="28"/>
        <v/>
      </c>
      <c r="E317" s="182">
        <v>20</v>
      </c>
      <c r="F317" s="183">
        <v>0</v>
      </c>
      <c r="G317" s="191" t="str">
        <f t="shared" si="29"/>
        <v/>
      </c>
      <c r="H317" s="188">
        <f t="shared" si="30"/>
        <v>7.0713856380157689E-2</v>
      </c>
      <c r="I317" s="188" t="str">
        <f t="shared" si="31"/>
        <v/>
      </c>
      <c r="J317" s="182">
        <v>72</v>
      </c>
      <c r="K317" s="183">
        <v>0</v>
      </c>
      <c r="L317" s="191" t="str">
        <f t="shared" si="32"/>
        <v/>
      </c>
      <c r="M317" s="188">
        <f t="shared" si="33"/>
        <v>5.118616835983876E-2</v>
      </c>
      <c r="N317" s="189" t="str">
        <f t="shared" si="34"/>
        <v/>
      </c>
    </row>
    <row r="318" spans="1:14" collapsed="1">
      <c r="A318" s="180" t="s">
        <v>1215</v>
      </c>
      <c r="B318" s="179" t="s">
        <v>268</v>
      </c>
      <c r="C318" s="186">
        <f t="shared" si="28"/>
        <v>-53.075822603719601</v>
      </c>
      <c r="E318" s="182">
        <v>62</v>
      </c>
      <c r="F318" s="183">
        <v>69</v>
      </c>
      <c r="G318" s="191">
        <f t="shared" si="29"/>
        <v>-10.144927536231885</v>
      </c>
      <c r="H318" s="188">
        <f t="shared" si="30"/>
        <v>0.21921295477848884</v>
      </c>
      <c r="I318" s="188">
        <f t="shared" si="31"/>
        <v>0.26448942042318307</v>
      </c>
      <c r="J318" s="182">
        <v>328</v>
      </c>
      <c r="K318" s="183">
        <v>699</v>
      </c>
      <c r="L318" s="191">
        <f t="shared" si="32"/>
        <v>-53.075822603719601</v>
      </c>
      <c r="M318" s="188">
        <f t="shared" si="33"/>
        <v>0.23318143363926547</v>
      </c>
      <c r="N318" s="189">
        <f t="shared" si="34"/>
        <v>0.48480392836831221</v>
      </c>
    </row>
    <row r="319" spans="1:14" hidden="1" outlineLevel="1">
      <c r="A319" s="180"/>
      <c r="B319" s="190" t="s">
        <v>949</v>
      </c>
      <c r="C319" s="186">
        <f t="shared" si="28"/>
        <v>45.689655172413794</v>
      </c>
      <c r="E319" s="182">
        <v>19</v>
      </c>
      <c r="F319" s="183">
        <v>18</v>
      </c>
      <c r="G319" s="191">
        <f t="shared" si="29"/>
        <v>5.5555555555555554</v>
      </c>
      <c r="H319" s="188">
        <f t="shared" si="30"/>
        <v>6.7178163561149806E-2</v>
      </c>
      <c r="I319" s="188">
        <f t="shared" si="31"/>
        <v>6.8997240110395583E-2</v>
      </c>
      <c r="J319" s="182">
        <v>169</v>
      </c>
      <c r="K319" s="183">
        <v>116</v>
      </c>
      <c r="L319" s="191">
        <f t="shared" si="32"/>
        <v>45.689655172413794</v>
      </c>
      <c r="M319" s="188">
        <f t="shared" si="33"/>
        <v>0.12014531184462154</v>
      </c>
      <c r="N319" s="189">
        <f t="shared" si="34"/>
        <v>8.0453870802180569E-2</v>
      </c>
    </row>
    <row r="320" spans="1:14" hidden="1" outlineLevel="1">
      <c r="A320" s="180"/>
      <c r="B320" s="190" t="s">
        <v>948</v>
      </c>
      <c r="C320" s="186">
        <f t="shared" si="28"/>
        <v>-84.126984126984127</v>
      </c>
      <c r="E320" s="182">
        <v>22</v>
      </c>
      <c r="F320" s="183">
        <v>28</v>
      </c>
      <c r="G320" s="191">
        <f t="shared" si="29"/>
        <v>-21.428571428571427</v>
      </c>
      <c r="H320" s="188">
        <f t="shared" si="30"/>
        <v>7.7785242018173453E-2</v>
      </c>
      <c r="I320" s="188">
        <f t="shared" si="31"/>
        <v>0.10732904017172647</v>
      </c>
      <c r="J320" s="182">
        <v>60</v>
      </c>
      <c r="K320" s="183">
        <v>378</v>
      </c>
      <c r="L320" s="191">
        <f t="shared" si="32"/>
        <v>-84.126984126984127</v>
      </c>
      <c r="M320" s="188">
        <f t="shared" si="33"/>
        <v>4.2655140299865633E-2</v>
      </c>
      <c r="N320" s="189">
        <f t="shared" si="34"/>
        <v>0.26216864795882983</v>
      </c>
    </row>
    <row r="321" spans="1:14" hidden="1" outlineLevel="1">
      <c r="A321" s="180"/>
      <c r="B321" s="190" t="s">
        <v>952</v>
      </c>
      <c r="C321" s="186">
        <f t="shared" si="28"/>
        <v>66.666666666666657</v>
      </c>
      <c r="E321" s="182">
        <v>9</v>
      </c>
      <c r="F321" s="183">
        <v>0</v>
      </c>
      <c r="G321" s="191" t="str">
        <f t="shared" si="29"/>
        <v/>
      </c>
      <c r="H321" s="188">
        <f t="shared" si="30"/>
        <v>3.1821235371070962E-2</v>
      </c>
      <c r="I321" s="188" t="str">
        <f t="shared" si="31"/>
        <v/>
      </c>
      <c r="J321" s="182">
        <v>55</v>
      </c>
      <c r="K321" s="183">
        <v>33</v>
      </c>
      <c r="L321" s="191">
        <f t="shared" si="32"/>
        <v>66.666666666666657</v>
      </c>
      <c r="M321" s="188">
        <f t="shared" si="33"/>
        <v>3.910054527487683E-2</v>
      </c>
      <c r="N321" s="189">
        <f t="shared" si="34"/>
        <v>2.2887739107516888E-2</v>
      </c>
    </row>
    <row r="322" spans="1:14" hidden="1" outlineLevel="1">
      <c r="A322" s="180"/>
      <c r="B322" s="190" t="s">
        <v>950</v>
      </c>
      <c r="C322" s="186">
        <f t="shared" si="28"/>
        <v>-66.666666666666657</v>
      </c>
      <c r="E322" s="182">
        <v>5</v>
      </c>
      <c r="F322" s="183">
        <v>12</v>
      </c>
      <c r="G322" s="191">
        <f t="shared" si="29"/>
        <v>-58.333333333333336</v>
      </c>
      <c r="H322" s="188">
        <f t="shared" si="30"/>
        <v>1.7678464095039422E-2</v>
      </c>
      <c r="I322" s="188">
        <f t="shared" si="31"/>
        <v>4.5998160073597055E-2</v>
      </c>
      <c r="J322" s="182">
        <v>31</v>
      </c>
      <c r="K322" s="183">
        <v>93</v>
      </c>
      <c r="L322" s="191">
        <f t="shared" si="32"/>
        <v>-66.666666666666657</v>
      </c>
      <c r="M322" s="188">
        <f t="shared" si="33"/>
        <v>2.203848915493058E-2</v>
      </c>
      <c r="N322" s="189">
        <f t="shared" si="34"/>
        <v>6.4501810212093044E-2</v>
      </c>
    </row>
    <row r="323" spans="1:14" hidden="1" outlineLevel="1">
      <c r="A323" s="180"/>
      <c r="B323" s="190" t="s">
        <v>951</v>
      </c>
      <c r="C323" s="186">
        <f t="shared" si="28"/>
        <v>-88.60759493670885</v>
      </c>
      <c r="E323" s="182">
        <v>3</v>
      </c>
      <c r="F323" s="183">
        <v>11</v>
      </c>
      <c r="G323" s="191">
        <f t="shared" si="29"/>
        <v>-72.727272727272734</v>
      </c>
      <c r="H323" s="188">
        <f t="shared" si="30"/>
        <v>1.0607078457023654E-2</v>
      </c>
      <c r="I323" s="188">
        <f t="shared" si="31"/>
        <v>4.216498006746397E-2</v>
      </c>
      <c r="J323" s="182">
        <v>9</v>
      </c>
      <c r="K323" s="183">
        <v>79</v>
      </c>
      <c r="L323" s="191">
        <f t="shared" si="32"/>
        <v>-88.60759493670885</v>
      </c>
      <c r="M323" s="188">
        <f t="shared" si="33"/>
        <v>6.398271044979845E-3</v>
      </c>
      <c r="N323" s="189">
        <f t="shared" si="34"/>
        <v>5.4791860287691951E-2</v>
      </c>
    </row>
    <row r="324" spans="1:14" hidden="1" outlineLevel="1">
      <c r="A324" s="180"/>
      <c r="B324" s="190" t="s">
        <v>1269</v>
      </c>
      <c r="C324" s="186" t="str">
        <f t="shared" si="28"/>
        <v/>
      </c>
      <c r="E324" s="182">
        <v>4</v>
      </c>
      <c r="F324" s="183">
        <v>0</v>
      </c>
      <c r="G324" s="191" t="str">
        <f t="shared" si="29"/>
        <v/>
      </c>
      <c r="H324" s="188">
        <f t="shared" si="30"/>
        <v>1.4142771276031538E-2</v>
      </c>
      <c r="I324" s="188" t="str">
        <f t="shared" si="31"/>
        <v/>
      </c>
      <c r="J324" s="182">
        <v>4</v>
      </c>
      <c r="K324" s="183">
        <v>0</v>
      </c>
      <c r="L324" s="191" t="str">
        <f t="shared" si="32"/>
        <v/>
      </c>
      <c r="M324" s="188">
        <f t="shared" si="33"/>
        <v>2.8436760199910425E-3</v>
      </c>
      <c r="N324" s="189" t="str">
        <f t="shared" si="34"/>
        <v/>
      </c>
    </row>
    <row r="325" spans="1:14" collapsed="1">
      <c r="A325" s="180" t="s">
        <v>1216</v>
      </c>
      <c r="B325" s="179" t="s">
        <v>297</v>
      </c>
      <c r="C325" s="186">
        <f t="shared" si="28"/>
        <v>-13.043478260869565</v>
      </c>
      <c r="E325" s="182">
        <v>40</v>
      </c>
      <c r="F325" s="183">
        <v>46</v>
      </c>
      <c r="G325" s="191">
        <f t="shared" si="29"/>
        <v>-13.043478260869565</v>
      </c>
      <c r="H325" s="188">
        <f t="shared" si="30"/>
        <v>0.14142771276031538</v>
      </c>
      <c r="I325" s="188">
        <f t="shared" si="31"/>
        <v>0.17632628028212205</v>
      </c>
      <c r="J325" s="182">
        <v>240</v>
      </c>
      <c r="K325" s="183">
        <v>276</v>
      </c>
      <c r="L325" s="191">
        <f t="shared" si="32"/>
        <v>-13.043478260869565</v>
      </c>
      <c r="M325" s="188">
        <f t="shared" si="33"/>
        <v>0.17062056119946253</v>
      </c>
      <c r="N325" s="189">
        <f t="shared" si="34"/>
        <v>0.19142472708105035</v>
      </c>
    </row>
    <row r="326" spans="1:14" hidden="1" outlineLevel="1">
      <c r="A326" s="180"/>
      <c r="B326" s="190">
        <v>4</v>
      </c>
      <c r="C326" s="186">
        <f t="shared" si="28"/>
        <v>1177.7777777777778</v>
      </c>
      <c r="E326" s="182">
        <v>10</v>
      </c>
      <c r="F326" s="183">
        <v>7</v>
      </c>
      <c r="G326" s="191">
        <f t="shared" si="29"/>
        <v>42.857142857142854</v>
      </c>
      <c r="H326" s="188">
        <f t="shared" si="30"/>
        <v>3.5356928190078844E-2</v>
      </c>
      <c r="I326" s="188">
        <f t="shared" si="31"/>
        <v>2.6832260042931617E-2</v>
      </c>
      <c r="J326" s="182">
        <v>115</v>
      </c>
      <c r="K326" s="183">
        <v>9</v>
      </c>
      <c r="L326" s="191">
        <f t="shared" si="32"/>
        <v>1177.7777777777778</v>
      </c>
      <c r="M326" s="188">
        <f t="shared" si="33"/>
        <v>8.175568557474247E-2</v>
      </c>
      <c r="N326" s="189">
        <f t="shared" si="34"/>
        <v>6.2421106656864239E-3</v>
      </c>
    </row>
    <row r="327" spans="1:14" hidden="1" outlineLevel="1">
      <c r="A327" s="180"/>
      <c r="B327" s="190">
        <v>3</v>
      </c>
      <c r="C327" s="186">
        <f t="shared" si="28"/>
        <v>-23.931623931623932</v>
      </c>
      <c r="E327" s="182">
        <v>22</v>
      </c>
      <c r="F327" s="183">
        <v>19</v>
      </c>
      <c r="G327" s="191">
        <f t="shared" si="29"/>
        <v>15.789473684210526</v>
      </c>
      <c r="H327" s="188">
        <f t="shared" si="30"/>
        <v>7.7785242018173453E-2</v>
      </c>
      <c r="I327" s="188">
        <f t="shared" si="31"/>
        <v>7.2830420116528669E-2</v>
      </c>
      <c r="J327" s="182">
        <v>89</v>
      </c>
      <c r="K327" s="183">
        <v>117</v>
      </c>
      <c r="L327" s="191">
        <f t="shared" si="32"/>
        <v>-23.931623931623932</v>
      </c>
      <c r="M327" s="188">
        <f t="shared" si="33"/>
        <v>6.3271791444800704E-2</v>
      </c>
      <c r="N327" s="189">
        <f t="shared" si="34"/>
        <v>8.1147438653923515E-2</v>
      </c>
    </row>
    <row r="328" spans="1:14" hidden="1" outlineLevel="1">
      <c r="A328" s="180"/>
      <c r="B328" s="190">
        <v>7</v>
      </c>
      <c r="C328" s="186">
        <f t="shared" si="28"/>
        <v>-76</v>
      </c>
      <c r="E328" s="182">
        <v>8</v>
      </c>
      <c r="F328" s="183">
        <v>20</v>
      </c>
      <c r="G328" s="191">
        <f t="shared" si="29"/>
        <v>-60</v>
      </c>
      <c r="H328" s="188">
        <f t="shared" si="30"/>
        <v>2.8285542552063076E-2</v>
      </c>
      <c r="I328" s="188">
        <f t="shared" si="31"/>
        <v>7.6663600122661754E-2</v>
      </c>
      <c r="J328" s="182">
        <v>36</v>
      </c>
      <c r="K328" s="183">
        <v>150</v>
      </c>
      <c r="L328" s="191">
        <f t="shared" si="32"/>
        <v>-76</v>
      </c>
      <c r="M328" s="188">
        <f t="shared" si="33"/>
        <v>2.559308417991938E-2</v>
      </c>
      <c r="N328" s="189">
        <f t="shared" si="34"/>
        <v>0.1040351777614404</v>
      </c>
    </row>
    <row r="329" spans="1:14" collapsed="1">
      <c r="A329" s="180" t="s">
        <v>1270</v>
      </c>
      <c r="B329" s="179" t="s">
        <v>259</v>
      </c>
      <c r="C329" s="186">
        <f t="shared" si="28"/>
        <v>431.25</v>
      </c>
      <c r="E329" s="182">
        <v>5</v>
      </c>
      <c r="F329" s="183">
        <v>1</v>
      </c>
      <c r="G329" s="191">
        <f t="shared" si="29"/>
        <v>400</v>
      </c>
      <c r="H329" s="188">
        <f t="shared" si="30"/>
        <v>1.7678464095039422E-2</v>
      </c>
      <c r="I329" s="188">
        <f t="shared" si="31"/>
        <v>3.8331800061330882E-3</v>
      </c>
      <c r="J329" s="182">
        <v>170</v>
      </c>
      <c r="K329" s="183">
        <v>32</v>
      </c>
      <c r="L329" s="191">
        <f t="shared" si="32"/>
        <v>431.25</v>
      </c>
      <c r="M329" s="188">
        <f t="shared" si="33"/>
        <v>0.1208562308496193</v>
      </c>
      <c r="N329" s="189">
        <f t="shared" si="34"/>
        <v>2.2194171255773953E-2</v>
      </c>
    </row>
    <row r="330" spans="1:14" hidden="1" outlineLevel="1">
      <c r="A330" s="180"/>
      <c r="B330" s="190" t="s">
        <v>1120</v>
      </c>
      <c r="C330" s="186" t="str">
        <f t="shared" ref="C330:C393" si="35">IF(K330=0,"",SUM(((J330-K330)/K330)*100))</f>
        <v/>
      </c>
      <c r="E330" s="182">
        <v>5</v>
      </c>
      <c r="F330" s="183">
        <v>0</v>
      </c>
      <c r="G330" s="191" t="str">
        <f t="shared" ref="G330:G393" si="36">IF(F330=0,"",SUM(((E330-F330)/F330)*100))</f>
        <v/>
      </c>
      <c r="H330" s="188">
        <f t="shared" ref="H330:H393" si="37">IF(E330=0,"",SUM((E330/CntPeriod)*100))</f>
        <v>1.7678464095039422E-2</v>
      </c>
      <c r="I330" s="188" t="str">
        <f t="shared" ref="I330:I393" si="38">IF(F330=0,"",SUM((F330/CntPeriodPrevYear)*100))</f>
        <v/>
      </c>
      <c r="J330" s="182">
        <v>104</v>
      </c>
      <c r="K330" s="183">
        <v>0</v>
      </c>
      <c r="L330" s="191" t="str">
        <f t="shared" ref="L330:L393" si="39">IF(K330=0,"",SUM(((J330-K330)/K330)*100))</f>
        <v/>
      </c>
      <c r="M330" s="188">
        <f t="shared" ref="M330:M393" si="40">IF(J330=0,"",SUM((J330/CntYearAck)*100))</f>
        <v>7.3935576519767093E-2</v>
      </c>
      <c r="N330" s="189" t="str">
        <f t="shared" ref="N330:N393" si="41">IF(K330=0,"",SUM((K330/CntPrevYearAck)*100))</f>
        <v/>
      </c>
    </row>
    <row r="331" spans="1:14" hidden="1" outlineLevel="1">
      <c r="A331" s="180"/>
      <c r="B331" s="190" t="s">
        <v>971</v>
      </c>
      <c r="C331" s="186">
        <f t="shared" si="35"/>
        <v>88.888888888888886</v>
      </c>
      <c r="E331" s="182">
        <v>0</v>
      </c>
      <c r="F331" s="183">
        <v>0</v>
      </c>
      <c r="G331" s="191" t="str">
        <f t="shared" si="36"/>
        <v/>
      </c>
      <c r="H331" s="188" t="str">
        <f t="shared" si="37"/>
        <v/>
      </c>
      <c r="I331" s="188" t="str">
        <f t="shared" si="38"/>
        <v/>
      </c>
      <c r="J331" s="182">
        <v>34</v>
      </c>
      <c r="K331" s="183">
        <v>18</v>
      </c>
      <c r="L331" s="191">
        <f t="shared" si="39"/>
        <v>88.888888888888886</v>
      </c>
      <c r="M331" s="188">
        <f t="shared" si="40"/>
        <v>2.417124616992386E-2</v>
      </c>
      <c r="N331" s="189">
        <f t="shared" si="41"/>
        <v>1.2484221331372848E-2</v>
      </c>
    </row>
    <row r="332" spans="1:14" hidden="1" outlineLevel="1">
      <c r="A332" s="180"/>
      <c r="B332" s="190" t="s">
        <v>1119</v>
      </c>
      <c r="C332" s="186">
        <f t="shared" si="35"/>
        <v>128.57142857142858</v>
      </c>
      <c r="E332" s="182">
        <v>0</v>
      </c>
      <c r="F332" s="183">
        <v>1</v>
      </c>
      <c r="G332" s="191">
        <f t="shared" si="36"/>
        <v>-100</v>
      </c>
      <c r="H332" s="188" t="str">
        <f t="shared" si="37"/>
        <v/>
      </c>
      <c r="I332" s="188">
        <f t="shared" si="38"/>
        <v>3.8331800061330882E-3</v>
      </c>
      <c r="J332" s="182">
        <v>32</v>
      </c>
      <c r="K332" s="183">
        <v>14</v>
      </c>
      <c r="L332" s="191">
        <f t="shared" si="39"/>
        <v>128.57142857142858</v>
      </c>
      <c r="M332" s="188">
        <f t="shared" si="40"/>
        <v>2.274940815992834E-2</v>
      </c>
      <c r="N332" s="189">
        <f t="shared" si="41"/>
        <v>9.7099499244011032E-3</v>
      </c>
    </row>
    <row r="333" spans="1:14" collapsed="1">
      <c r="A333" s="180" t="s">
        <v>1217</v>
      </c>
      <c r="B333" s="179" t="s">
        <v>275</v>
      </c>
      <c r="C333" s="186">
        <f t="shared" si="35"/>
        <v>-43.459915611814345</v>
      </c>
      <c r="E333" s="182">
        <v>14</v>
      </c>
      <c r="F333" s="183">
        <v>46</v>
      </c>
      <c r="G333" s="191">
        <f t="shared" si="36"/>
        <v>-69.565217391304344</v>
      </c>
      <c r="H333" s="188">
        <f t="shared" si="37"/>
        <v>4.9499699466110388E-2</v>
      </c>
      <c r="I333" s="188">
        <f t="shared" si="38"/>
        <v>0.17632628028212205</v>
      </c>
      <c r="J333" s="182">
        <v>134</v>
      </c>
      <c r="K333" s="183">
        <v>237</v>
      </c>
      <c r="L333" s="191">
        <f t="shared" si="39"/>
        <v>-43.459915611814345</v>
      </c>
      <c r="M333" s="188">
        <f t="shared" si="40"/>
        <v>9.5263146669699914E-2</v>
      </c>
      <c r="N333" s="189">
        <f t="shared" si="41"/>
        <v>0.16437558086307583</v>
      </c>
    </row>
    <row r="334" spans="1:14" hidden="1" outlineLevel="1">
      <c r="A334" s="180"/>
      <c r="B334" s="190" t="s">
        <v>958</v>
      </c>
      <c r="C334" s="186">
        <f t="shared" si="35"/>
        <v>-26.804123711340207</v>
      </c>
      <c r="E334" s="182">
        <v>4</v>
      </c>
      <c r="F334" s="183">
        <v>29</v>
      </c>
      <c r="G334" s="191">
        <f t="shared" si="36"/>
        <v>-86.206896551724128</v>
      </c>
      <c r="H334" s="188">
        <f t="shared" si="37"/>
        <v>1.4142771276031538E-2</v>
      </c>
      <c r="I334" s="188">
        <f t="shared" si="38"/>
        <v>0.11116222017785957</v>
      </c>
      <c r="J334" s="182">
        <v>71</v>
      </c>
      <c r="K334" s="183">
        <v>97</v>
      </c>
      <c r="L334" s="191">
        <f t="shared" si="39"/>
        <v>-26.804123711340207</v>
      </c>
      <c r="M334" s="188">
        <f t="shared" si="40"/>
        <v>5.0475249354841004E-2</v>
      </c>
      <c r="N334" s="189">
        <f t="shared" si="41"/>
        <v>6.7276081619064801E-2</v>
      </c>
    </row>
    <row r="335" spans="1:14" hidden="1" outlineLevel="1">
      <c r="A335" s="180"/>
      <c r="B335" s="190" t="s">
        <v>961</v>
      </c>
      <c r="C335" s="186">
        <f t="shared" si="35"/>
        <v>-12.121212121212121</v>
      </c>
      <c r="E335" s="182">
        <v>4</v>
      </c>
      <c r="F335" s="183">
        <v>2</v>
      </c>
      <c r="G335" s="191">
        <f t="shared" si="36"/>
        <v>100</v>
      </c>
      <c r="H335" s="188">
        <f t="shared" si="37"/>
        <v>1.4142771276031538E-2</v>
      </c>
      <c r="I335" s="188">
        <f t="shared" si="38"/>
        <v>7.6663600122661765E-3</v>
      </c>
      <c r="J335" s="182">
        <v>29</v>
      </c>
      <c r="K335" s="183">
        <v>33</v>
      </c>
      <c r="L335" s="191">
        <f t="shared" si="39"/>
        <v>-12.121212121212121</v>
      </c>
      <c r="M335" s="188">
        <f t="shared" si="40"/>
        <v>2.0616651144935057E-2</v>
      </c>
      <c r="N335" s="189">
        <f t="shared" si="41"/>
        <v>2.2887739107516888E-2</v>
      </c>
    </row>
    <row r="336" spans="1:14" hidden="1" outlineLevel="1">
      <c r="A336" s="180"/>
      <c r="B336" s="190" t="s">
        <v>959</v>
      </c>
      <c r="C336" s="186">
        <f t="shared" si="35"/>
        <v>-62.295081967213115</v>
      </c>
      <c r="E336" s="182">
        <v>4</v>
      </c>
      <c r="F336" s="183">
        <v>9</v>
      </c>
      <c r="G336" s="191">
        <f t="shared" si="36"/>
        <v>-55.555555555555557</v>
      </c>
      <c r="H336" s="188">
        <f t="shared" si="37"/>
        <v>1.4142771276031538E-2</v>
      </c>
      <c r="I336" s="188">
        <f t="shared" si="38"/>
        <v>3.4498620055197791E-2</v>
      </c>
      <c r="J336" s="182">
        <v>23</v>
      </c>
      <c r="K336" s="183">
        <v>61</v>
      </c>
      <c r="L336" s="191">
        <f t="shared" si="39"/>
        <v>-62.295081967213115</v>
      </c>
      <c r="M336" s="188">
        <f t="shared" si="40"/>
        <v>1.6351137114948497E-2</v>
      </c>
      <c r="N336" s="189">
        <f t="shared" si="41"/>
        <v>4.2307638956319102E-2</v>
      </c>
    </row>
    <row r="337" spans="1:14" hidden="1" outlineLevel="1">
      <c r="A337" s="180"/>
      <c r="B337" s="190" t="s">
        <v>960</v>
      </c>
      <c r="C337" s="186">
        <f t="shared" si="35"/>
        <v>-80.434782608695656</v>
      </c>
      <c r="E337" s="182">
        <v>1</v>
      </c>
      <c r="F337" s="183">
        <v>6</v>
      </c>
      <c r="G337" s="191">
        <f t="shared" si="36"/>
        <v>-83.333333333333343</v>
      </c>
      <c r="H337" s="188">
        <f t="shared" si="37"/>
        <v>3.5356928190078845E-3</v>
      </c>
      <c r="I337" s="188">
        <f t="shared" si="38"/>
        <v>2.2999080036798528E-2</v>
      </c>
      <c r="J337" s="182">
        <v>9</v>
      </c>
      <c r="K337" s="183">
        <v>46</v>
      </c>
      <c r="L337" s="191">
        <f t="shared" si="39"/>
        <v>-80.434782608695656</v>
      </c>
      <c r="M337" s="188">
        <f t="shared" si="40"/>
        <v>6.398271044979845E-3</v>
      </c>
      <c r="N337" s="189">
        <f t="shared" si="41"/>
        <v>3.1904121180175056E-2</v>
      </c>
    </row>
    <row r="338" spans="1:14" hidden="1" outlineLevel="1">
      <c r="A338" s="180"/>
      <c r="B338" s="190" t="s">
        <v>1218</v>
      </c>
      <c r="C338" s="186" t="str">
        <f t="shared" si="35"/>
        <v/>
      </c>
      <c r="E338" s="182">
        <v>1</v>
      </c>
      <c r="F338" s="183">
        <v>0</v>
      </c>
      <c r="G338" s="191" t="str">
        <f t="shared" si="36"/>
        <v/>
      </c>
      <c r="H338" s="188">
        <f t="shared" si="37"/>
        <v>3.5356928190078845E-3</v>
      </c>
      <c r="I338" s="188" t="str">
        <f t="shared" si="38"/>
        <v/>
      </c>
      <c r="J338" s="182">
        <v>2</v>
      </c>
      <c r="K338" s="183">
        <v>0</v>
      </c>
      <c r="L338" s="191" t="str">
        <f t="shared" si="39"/>
        <v/>
      </c>
      <c r="M338" s="188">
        <f t="shared" si="40"/>
        <v>1.4218380099955213E-3</v>
      </c>
      <c r="N338" s="189" t="str">
        <f t="shared" si="41"/>
        <v/>
      </c>
    </row>
    <row r="339" spans="1:14" collapsed="1">
      <c r="A339" s="180" t="s">
        <v>1219</v>
      </c>
      <c r="B339" s="179" t="s">
        <v>272</v>
      </c>
      <c r="C339" s="186">
        <f t="shared" si="35"/>
        <v>-56.59574468085107</v>
      </c>
      <c r="E339" s="182">
        <v>18</v>
      </c>
      <c r="F339" s="183">
        <v>50</v>
      </c>
      <c r="G339" s="191">
        <f t="shared" si="36"/>
        <v>-64</v>
      </c>
      <c r="H339" s="188">
        <f t="shared" si="37"/>
        <v>6.3642470742141924E-2</v>
      </c>
      <c r="I339" s="188">
        <f t="shared" si="38"/>
        <v>0.19165900030665439</v>
      </c>
      <c r="J339" s="182">
        <v>102</v>
      </c>
      <c r="K339" s="183">
        <v>235</v>
      </c>
      <c r="L339" s="191">
        <f t="shared" si="39"/>
        <v>-56.59574468085107</v>
      </c>
      <c r="M339" s="188">
        <f t="shared" si="40"/>
        <v>7.251373850977158E-2</v>
      </c>
      <c r="N339" s="189">
        <f t="shared" si="41"/>
        <v>0.16298844515958996</v>
      </c>
    </row>
    <row r="340" spans="1:14" hidden="1" outlineLevel="1">
      <c r="A340" s="180"/>
      <c r="B340" s="190" t="s">
        <v>962</v>
      </c>
      <c r="C340" s="186">
        <f t="shared" si="35"/>
        <v>-46.103896103896105</v>
      </c>
      <c r="E340" s="182">
        <v>11</v>
      </c>
      <c r="F340" s="183">
        <v>47</v>
      </c>
      <c r="G340" s="191">
        <f t="shared" si="36"/>
        <v>-76.59574468085107</v>
      </c>
      <c r="H340" s="188">
        <f t="shared" si="37"/>
        <v>3.8892621009086727E-2</v>
      </c>
      <c r="I340" s="188">
        <f t="shared" si="38"/>
        <v>0.18015946028825514</v>
      </c>
      <c r="J340" s="182">
        <v>83</v>
      </c>
      <c r="K340" s="183">
        <v>154</v>
      </c>
      <c r="L340" s="191">
        <f t="shared" si="39"/>
        <v>-46.103896103896105</v>
      </c>
      <c r="M340" s="188">
        <f t="shared" si="40"/>
        <v>5.9006277414814137E-2</v>
      </c>
      <c r="N340" s="189">
        <f t="shared" si="41"/>
        <v>0.10680944916841215</v>
      </c>
    </row>
    <row r="341" spans="1:14" hidden="1" outlineLevel="1">
      <c r="A341" s="180"/>
      <c r="B341" s="190" t="s">
        <v>963</v>
      </c>
      <c r="C341" s="186">
        <f t="shared" si="35"/>
        <v>-62.222222222222221</v>
      </c>
      <c r="E341" s="182">
        <v>7</v>
      </c>
      <c r="F341" s="183">
        <v>1</v>
      </c>
      <c r="G341" s="191">
        <f t="shared" si="36"/>
        <v>600</v>
      </c>
      <c r="H341" s="188">
        <f t="shared" si="37"/>
        <v>2.4749849733055194E-2</v>
      </c>
      <c r="I341" s="188">
        <f t="shared" si="38"/>
        <v>3.8331800061330882E-3</v>
      </c>
      <c r="J341" s="182">
        <v>17</v>
      </c>
      <c r="K341" s="183">
        <v>45</v>
      </c>
      <c r="L341" s="191">
        <f t="shared" si="39"/>
        <v>-62.222222222222221</v>
      </c>
      <c r="M341" s="188">
        <f t="shared" si="40"/>
        <v>1.208562308496193E-2</v>
      </c>
      <c r="N341" s="189">
        <f t="shared" si="41"/>
        <v>3.1210553328432117E-2</v>
      </c>
    </row>
    <row r="342" spans="1:14" hidden="1" outlineLevel="1">
      <c r="A342" s="180"/>
      <c r="B342" s="190" t="s">
        <v>1127</v>
      </c>
      <c r="C342" s="186">
        <f t="shared" si="35"/>
        <v>-97.058823529411768</v>
      </c>
      <c r="E342" s="182">
        <v>0</v>
      </c>
      <c r="F342" s="183">
        <v>2</v>
      </c>
      <c r="G342" s="191">
        <f t="shared" si="36"/>
        <v>-100</v>
      </c>
      <c r="H342" s="188" t="str">
        <f t="shared" si="37"/>
        <v/>
      </c>
      <c r="I342" s="188">
        <f t="shared" si="38"/>
        <v>7.6663600122661765E-3</v>
      </c>
      <c r="J342" s="182">
        <v>1</v>
      </c>
      <c r="K342" s="183">
        <v>34</v>
      </c>
      <c r="L342" s="191">
        <f t="shared" si="39"/>
        <v>-97.058823529411768</v>
      </c>
      <c r="M342" s="188">
        <f t="shared" si="40"/>
        <v>7.1091900499776063E-4</v>
      </c>
      <c r="N342" s="189">
        <f t="shared" si="41"/>
        <v>2.3581306959259824E-2</v>
      </c>
    </row>
    <row r="343" spans="1:14" hidden="1" outlineLevel="1">
      <c r="A343" s="180"/>
      <c r="B343" s="190" t="s">
        <v>1126</v>
      </c>
      <c r="C343" s="186">
        <f t="shared" si="35"/>
        <v>0</v>
      </c>
      <c r="E343" s="182">
        <v>0</v>
      </c>
      <c r="F343" s="183">
        <v>0</v>
      </c>
      <c r="G343" s="191" t="str">
        <f t="shared" si="36"/>
        <v/>
      </c>
      <c r="H343" s="188" t="str">
        <f t="shared" si="37"/>
        <v/>
      </c>
      <c r="I343" s="188" t="str">
        <f t="shared" si="38"/>
        <v/>
      </c>
      <c r="J343" s="182">
        <v>1</v>
      </c>
      <c r="K343" s="183">
        <v>1</v>
      </c>
      <c r="L343" s="191">
        <f t="shared" si="39"/>
        <v>0</v>
      </c>
      <c r="M343" s="188">
        <f t="shared" si="40"/>
        <v>7.1091900499776063E-4</v>
      </c>
      <c r="N343" s="189">
        <f t="shared" si="41"/>
        <v>6.9356785174293602E-4</v>
      </c>
    </row>
    <row r="344" spans="1:14" hidden="1" outlineLevel="1">
      <c r="A344" s="180"/>
      <c r="B344" s="190" t="s">
        <v>1220</v>
      </c>
      <c r="C344" s="186">
        <f t="shared" si="35"/>
        <v>-100</v>
      </c>
      <c r="E344" s="182">
        <v>0</v>
      </c>
      <c r="F344" s="183">
        <v>0</v>
      </c>
      <c r="G344" s="191" t="str">
        <f t="shared" si="36"/>
        <v/>
      </c>
      <c r="H344" s="188" t="str">
        <f t="shared" si="37"/>
        <v/>
      </c>
      <c r="I344" s="188" t="str">
        <f t="shared" si="38"/>
        <v/>
      </c>
      <c r="J344" s="182">
        <v>0</v>
      </c>
      <c r="K344" s="183">
        <v>1</v>
      </c>
      <c r="L344" s="191">
        <f t="shared" si="39"/>
        <v>-100</v>
      </c>
      <c r="M344" s="188" t="str">
        <f t="shared" si="40"/>
        <v/>
      </c>
      <c r="N344" s="189">
        <f t="shared" si="41"/>
        <v>6.9356785174293602E-4</v>
      </c>
    </row>
    <row r="345" spans="1:14" collapsed="1">
      <c r="A345" s="180" t="s">
        <v>1271</v>
      </c>
      <c r="B345" s="179" t="s">
        <v>1068</v>
      </c>
      <c r="C345" s="186" t="str">
        <f t="shared" si="35"/>
        <v/>
      </c>
      <c r="E345" s="182">
        <v>24</v>
      </c>
      <c r="F345" s="183">
        <v>0</v>
      </c>
      <c r="G345" s="191" t="str">
        <f t="shared" si="36"/>
        <v/>
      </c>
      <c r="H345" s="188">
        <f t="shared" si="37"/>
        <v>8.4856627656189232E-2</v>
      </c>
      <c r="I345" s="188" t="str">
        <f t="shared" si="38"/>
        <v/>
      </c>
      <c r="J345" s="182">
        <v>99</v>
      </c>
      <c r="K345" s="183">
        <v>0</v>
      </c>
      <c r="L345" s="191" t="str">
        <f t="shared" si="39"/>
        <v/>
      </c>
      <c r="M345" s="188">
        <f t="shared" si="40"/>
        <v>7.0380981494778297E-2</v>
      </c>
      <c r="N345" s="189" t="str">
        <f t="shared" si="41"/>
        <v/>
      </c>
    </row>
    <row r="346" spans="1:14" hidden="1" outlineLevel="1">
      <c r="A346" s="180"/>
      <c r="B346" s="190" t="s">
        <v>1079</v>
      </c>
      <c r="C346" s="186" t="str">
        <f t="shared" si="35"/>
        <v/>
      </c>
      <c r="E346" s="182">
        <v>15</v>
      </c>
      <c r="F346" s="183">
        <v>0</v>
      </c>
      <c r="G346" s="191" t="str">
        <f t="shared" si="36"/>
        <v/>
      </c>
      <c r="H346" s="188">
        <f t="shared" si="37"/>
        <v>5.3035392285118277E-2</v>
      </c>
      <c r="I346" s="188" t="str">
        <f t="shared" si="38"/>
        <v/>
      </c>
      <c r="J346" s="182">
        <v>51</v>
      </c>
      <c r="K346" s="183">
        <v>0</v>
      </c>
      <c r="L346" s="191" t="str">
        <f t="shared" si="39"/>
        <v/>
      </c>
      <c r="M346" s="188">
        <f t="shared" si="40"/>
        <v>3.625686925488579E-2</v>
      </c>
      <c r="N346" s="189" t="str">
        <f t="shared" si="41"/>
        <v/>
      </c>
    </row>
    <row r="347" spans="1:14" hidden="1" outlineLevel="1">
      <c r="A347" s="180"/>
      <c r="B347" s="190" t="s">
        <v>1121</v>
      </c>
      <c r="C347" s="186" t="str">
        <f t="shared" si="35"/>
        <v/>
      </c>
      <c r="E347" s="182">
        <v>6</v>
      </c>
      <c r="F347" s="183">
        <v>0</v>
      </c>
      <c r="G347" s="191" t="str">
        <f t="shared" si="36"/>
        <v/>
      </c>
      <c r="H347" s="188">
        <f t="shared" si="37"/>
        <v>2.1214156914047308E-2</v>
      </c>
      <c r="I347" s="188" t="str">
        <f t="shared" si="38"/>
        <v/>
      </c>
      <c r="J347" s="182">
        <v>31</v>
      </c>
      <c r="K347" s="183">
        <v>0</v>
      </c>
      <c r="L347" s="191" t="str">
        <f t="shared" si="39"/>
        <v/>
      </c>
      <c r="M347" s="188">
        <f t="shared" si="40"/>
        <v>2.203848915493058E-2</v>
      </c>
      <c r="N347" s="189" t="str">
        <f t="shared" si="41"/>
        <v/>
      </c>
    </row>
    <row r="348" spans="1:14" hidden="1" outlineLevel="1">
      <c r="A348" s="180"/>
      <c r="B348" s="190" t="s">
        <v>1151</v>
      </c>
      <c r="C348" s="186" t="str">
        <f t="shared" si="35"/>
        <v/>
      </c>
      <c r="E348" s="182">
        <v>3</v>
      </c>
      <c r="F348" s="183">
        <v>0</v>
      </c>
      <c r="G348" s="191" t="str">
        <f t="shared" si="36"/>
        <v/>
      </c>
      <c r="H348" s="188">
        <f t="shared" si="37"/>
        <v>1.0607078457023654E-2</v>
      </c>
      <c r="I348" s="188" t="str">
        <f t="shared" si="38"/>
        <v/>
      </c>
      <c r="J348" s="182">
        <v>17</v>
      </c>
      <c r="K348" s="183">
        <v>0</v>
      </c>
      <c r="L348" s="191" t="str">
        <f t="shared" si="39"/>
        <v/>
      </c>
      <c r="M348" s="188">
        <f t="shared" si="40"/>
        <v>1.208562308496193E-2</v>
      </c>
      <c r="N348" s="189" t="str">
        <f t="shared" si="41"/>
        <v/>
      </c>
    </row>
    <row r="349" spans="1:14" collapsed="1">
      <c r="A349" s="180" t="s">
        <v>1272</v>
      </c>
      <c r="B349" s="179" t="s">
        <v>1049</v>
      </c>
      <c r="C349" s="186" t="str">
        <f t="shared" si="35"/>
        <v/>
      </c>
      <c r="E349" s="182">
        <v>29</v>
      </c>
      <c r="F349" s="183">
        <v>0</v>
      </c>
      <c r="G349" s="191" t="str">
        <f t="shared" si="36"/>
        <v/>
      </c>
      <c r="H349" s="188">
        <f t="shared" si="37"/>
        <v>0.10253509175122866</v>
      </c>
      <c r="I349" s="188" t="str">
        <f t="shared" si="38"/>
        <v/>
      </c>
      <c r="J349" s="182">
        <v>76</v>
      </c>
      <c r="K349" s="183">
        <v>0</v>
      </c>
      <c r="L349" s="191" t="str">
        <f t="shared" si="39"/>
        <v/>
      </c>
      <c r="M349" s="188">
        <f t="shared" si="40"/>
        <v>5.4029844379829807E-2</v>
      </c>
      <c r="N349" s="189" t="str">
        <f t="shared" si="41"/>
        <v/>
      </c>
    </row>
    <row r="350" spans="1:14" hidden="1" outlineLevel="1">
      <c r="A350" s="180"/>
      <c r="B350" s="190" t="s">
        <v>1050</v>
      </c>
      <c r="C350" s="186" t="str">
        <f t="shared" si="35"/>
        <v/>
      </c>
      <c r="E350" s="182">
        <v>29</v>
      </c>
      <c r="F350" s="183">
        <v>0</v>
      </c>
      <c r="G350" s="191" t="str">
        <f t="shared" si="36"/>
        <v/>
      </c>
      <c r="H350" s="188">
        <f t="shared" si="37"/>
        <v>0.10253509175122866</v>
      </c>
      <c r="I350" s="188" t="str">
        <f t="shared" si="38"/>
        <v/>
      </c>
      <c r="J350" s="182">
        <v>76</v>
      </c>
      <c r="K350" s="183">
        <v>0</v>
      </c>
      <c r="L350" s="191" t="str">
        <f t="shared" si="39"/>
        <v/>
      </c>
      <c r="M350" s="188">
        <f t="shared" si="40"/>
        <v>5.4029844379829807E-2</v>
      </c>
      <c r="N350" s="189" t="str">
        <f t="shared" si="41"/>
        <v/>
      </c>
    </row>
    <row r="351" spans="1:14" collapsed="1">
      <c r="A351" s="180" t="s">
        <v>1273</v>
      </c>
      <c r="B351" s="179" t="s">
        <v>417</v>
      </c>
      <c r="C351" s="186">
        <f t="shared" si="35"/>
        <v>8.695652173913043</v>
      </c>
      <c r="E351" s="182">
        <v>4</v>
      </c>
      <c r="F351" s="183">
        <v>29</v>
      </c>
      <c r="G351" s="191">
        <f t="shared" si="36"/>
        <v>-86.206896551724128</v>
      </c>
      <c r="H351" s="188">
        <f t="shared" si="37"/>
        <v>1.4142771276031538E-2</v>
      </c>
      <c r="I351" s="188">
        <f t="shared" si="38"/>
        <v>0.11116222017785957</v>
      </c>
      <c r="J351" s="182">
        <v>75</v>
      </c>
      <c r="K351" s="183">
        <v>69</v>
      </c>
      <c r="L351" s="191">
        <f t="shared" si="39"/>
        <v>8.695652173913043</v>
      </c>
      <c r="M351" s="188">
        <f t="shared" si="40"/>
        <v>5.3318925374832044E-2</v>
      </c>
      <c r="N351" s="189">
        <f t="shared" si="41"/>
        <v>4.7856181770262587E-2</v>
      </c>
    </row>
    <row r="352" spans="1:14" hidden="1" outlineLevel="1">
      <c r="A352" s="180"/>
      <c r="B352" s="190" t="s">
        <v>966</v>
      </c>
      <c r="C352" s="186">
        <f t="shared" si="35"/>
        <v>5.7971014492753623</v>
      </c>
      <c r="E352" s="182">
        <v>4</v>
      </c>
      <c r="F352" s="183">
        <v>29</v>
      </c>
      <c r="G352" s="191">
        <f t="shared" si="36"/>
        <v>-86.206896551724128</v>
      </c>
      <c r="H352" s="188">
        <f t="shared" si="37"/>
        <v>1.4142771276031538E-2</v>
      </c>
      <c r="I352" s="188">
        <f t="shared" si="38"/>
        <v>0.11116222017785957</v>
      </c>
      <c r="J352" s="182">
        <v>73</v>
      </c>
      <c r="K352" s="183">
        <v>69</v>
      </c>
      <c r="L352" s="191">
        <f t="shared" si="39"/>
        <v>5.7971014492753623</v>
      </c>
      <c r="M352" s="188">
        <f t="shared" si="40"/>
        <v>5.1897087364836524E-2</v>
      </c>
      <c r="N352" s="189">
        <f t="shared" si="41"/>
        <v>4.7856181770262587E-2</v>
      </c>
    </row>
    <row r="353" spans="1:14" hidden="1" outlineLevel="1">
      <c r="A353" s="180"/>
      <c r="B353" s="190" t="s">
        <v>1179</v>
      </c>
      <c r="C353" s="186" t="str">
        <f t="shared" si="35"/>
        <v/>
      </c>
      <c r="E353" s="182">
        <v>0</v>
      </c>
      <c r="F353" s="183">
        <v>0</v>
      </c>
      <c r="G353" s="191" t="str">
        <f t="shared" si="36"/>
        <v/>
      </c>
      <c r="H353" s="188" t="str">
        <f t="shared" si="37"/>
        <v/>
      </c>
      <c r="I353" s="188" t="str">
        <f t="shared" si="38"/>
        <v/>
      </c>
      <c r="J353" s="182">
        <v>2</v>
      </c>
      <c r="K353" s="183">
        <v>0</v>
      </c>
      <c r="L353" s="191" t="str">
        <f t="shared" si="39"/>
        <v/>
      </c>
      <c r="M353" s="188">
        <f t="shared" si="40"/>
        <v>1.4218380099955213E-3</v>
      </c>
      <c r="N353" s="189" t="str">
        <f t="shared" si="41"/>
        <v/>
      </c>
    </row>
    <row r="354" spans="1:14" collapsed="1">
      <c r="A354" s="180" t="s">
        <v>1274</v>
      </c>
      <c r="B354" s="179" t="s">
        <v>967</v>
      </c>
      <c r="C354" s="186">
        <f t="shared" si="35"/>
        <v>25</v>
      </c>
      <c r="E354" s="182">
        <v>22</v>
      </c>
      <c r="F354" s="183">
        <v>2</v>
      </c>
      <c r="G354" s="191">
        <f t="shared" si="36"/>
        <v>1000</v>
      </c>
      <c r="H354" s="188">
        <f t="shared" si="37"/>
        <v>7.7785242018173453E-2</v>
      </c>
      <c r="I354" s="188">
        <f t="shared" si="38"/>
        <v>7.6663600122661765E-3</v>
      </c>
      <c r="J354" s="182">
        <v>50</v>
      </c>
      <c r="K354" s="183">
        <v>40</v>
      </c>
      <c r="L354" s="191">
        <f t="shared" si="39"/>
        <v>25</v>
      </c>
      <c r="M354" s="188">
        <f t="shared" si="40"/>
        <v>3.5545950249888034E-2</v>
      </c>
      <c r="N354" s="189">
        <f t="shared" si="41"/>
        <v>2.7742714069717442E-2</v>
      </c>
    </row>
    <row r="355" spans="1:14" hidden="1" outlineLevel="1">
      <c r="A355" s="180"/>
      <c r="B355" s="190" t="s">
        <v>968</v>
      </c>
      <c r="C355" s="186">
        <f t="shared" si="35"/>
        <v>25</v>
      </c>
      <c r="E355" s="182">
        <v>22</v>
      </c>
      <c r="F355" s="183">
        <v>2</v>
      </c>
      <c r="G355" s="191">
        <f t="shared" si="36"/>
        <v>1000</v>
      </c>
      <c r="H355" s="188">
        <f t="shared" si="37"/>
        <v>7.7785242018173453E-2</v>
      </c>
      <c r="I355" s="188">
        <f t="shared" si="38"/>
        <v>7.6663600122661765E-3</v>
      </c>
      <c r="J355" s="182">
        <v>50</v>
      </c>
      <c r="K355" s="183">
        <v>40</v>
      </c>
      <c r="L355" s="191">
        <f t="shared" si="39"/>
        <v>25</v>
      </c>
      <c r="M355" s="188">
        <f t="shared" si="40"/>
        <v>3.5545950249888034E-2</v>
      </c>
      <c r="N355" s="189">
        <f t="shared" si="41"/>
        <v>2.7742714069717442E-2</v>
      </c>
    </row>
    <row r="356" spans="1:14" collapsed="1">
      <c r="A356" s="180" t="s">
        <v>1275</v>
      </c>
      <c r="B356" s="179" t="s">
        <v>1055</v>
      </c>
      <c r="C356" s="186" t="str">
        <f t="shared" si="35"/>
        <v/>
      </c>
      <c r="E356" s="182">
        <v>11</v>
      </c>
      <c r="F356" s="183">
        <v>0</v>
      </c>
      <c r="G356" s="191" t="str">
        <f t="shared" si="36"/>
        <v/>
      </c>
      <c r="H356" s="188">
        <f t="shared" si="37"/>
        <v>3.8892621009086727E-2</v>
      </c>
      <c r="I356" s="188" t="str">
        <f t="shared" si="38"/>
        <v/>
      </c>
      <c r="J356" s="182">
        <v>40</v>
      </c>
      <c r="K356" s="183">
        <v>0</v>
      </c>
      <c r="L356" s="191" t="str">
        <f t="shared" si="39"/>
        <v/>
      </c>
      <c r="M356" s="188">
        <f t="shared" si="40"/>
        <v>2.8436760199910427E-2</v>
      </c>
      <c r="N356" s="189" t="str">
        <f t="shared" si="41"/>
        <v/>
      </c>
    </row>
    <row r="357" spans="1:14" hidden="1" outlineLevel="1">
      <c r="A357" s="180"/>
      <c r="B357" s="190" t="s">
        <v>1125</v>
      </c>
      <c r="C357" s="186" t="str">
        <f t="shared" si="35"/>
        <v/>
      </c>
      <c r="E357" s="182">
        <v>11</v>
      </c>
      <c r="F357" s="183">
        <v>0</v>
      </c>
      <c r="G357" s="191" t="str">
        <f t="shared" si="36"/>
        <v/>
      </c>
      <c r="H357" s="188">
        <f t="shared" si="37"/>
        <v>3.8892621009086727E-2</v>
      </c>
      <c r="I357" s="188" t="str">
        <f t="shared" si="38"/>
        <v/>
      </c>
      <c r="J357" s="182">
        <v>40</v>
      </c>
      <c r="K357" s="183">
        <v>0</v>
      </c>
      <c r="L357" s="191" t="str">
        <f t="shared" si="39"/>
        <v/>
      </c>
      <c r="M357" s="188">
        <f t="shared" si="40"/>
        <v>2.8436760199910427E-2</v>
      </c>
      <c r="N357" s="189" t="str">
        <f t="shared" si="41"/>
        <v/>
      </c>
    </row>
    <row r="358" spans="1:14" collapsed="1">
      <c r="A358" s="180" t="s">
        <v>1276</v>
      </c>
      <c r="B358" s="179" t="s">
        <v>675</v>
      </c>
      <c r="C358" s="186">
        <f t="shared" si="35"/>
        <v>2.6315789473684208</v>
      </c>
      <c r="E358" s="182">
        <v>5</v>
      </c>
      <c r="F358" s="183">
        <v>17</v>
      </c>
      <c r="G358" s="191">
        <f t="shared" si="36"/>
        <v>-70.588235294117652</v>
      </c>
      <c r="H358" s="188">
        <f t="shared" si="37"/>
        <v>1.7678464095039422E-2</v>
      </c>
      <c r="I358" s="188">
        <f t="shared" si="38"/>
        <v>6.5164060104262497E-2</v>
      </c>
      <c r="J358" s="182">
        <v>39</v>
      </c>
      <c r="K358" s="183">
        <v>38</v>
      </c>
      <c r="L358" s="191">
        <f t="shared" si="39"/>
        <v>2.6315789473684208</v>
      </c>
      <c r="M358" s="188">
        <f t="shared" si="40"/>
        <v>2.7725841194912663E-2</v>
      </c>
      <c r="N358" s="189">
        <f t="shared" si="41"/>
        <v>2.635557836623157E-2</v>
      </c>
    </row>
    <row r="359" spans="1:14" hidden="1" outlineLevel="1">
      <c r="A359" s="180"/>
      <c r="B359" s="190" t="s">
        <v>675</v>
      </c>
      <c r="C359" s="186">
        <f t="shared" si="35"/>
        <v>3.7037037037037033</v>
      </c>
      <c r="E359" s="182">
        <v>2</v>
      </c>
      <c r="F359" s="183">
        <v>8</v>
      </c>
      <c r="G359" s="191">
        <f t="shared" si="36"/>
        <v>-75</v>
      </c>
      <c r="H359" s="188">
        <f t="shared" si="37"/>
        <v>7.071385638015769E-3</v>
      </c>
      <c r="I359" s="188">
        <f t="shared" si="38"/>
        <v>3.0665440049064706E-2</v>
      </c>
      <c r="J359" s="182">
        <v>28</v>
      </c>
      <c r="K359" s="183">
        <v>27</v>
      </c>
      <c r="L359" s="191">
        <f t="shared" si="39"/>
        <v>3.7037037037037033</v>
      </c>
      <c r="M359" s="188">
        <f t="shared" si="40"/>
        <v>1.9905732139937297E-2</v>
      </c>
      <c r="N359" s="189">
        <f t="shared" si="41"/>
        <v>1.8726331997059274E-2</v>
      </c>
    </row>
    <row r="360" spans="1:14" hidden="1" outlineLevel="1">
      <c r="A360" s="180"/>
      <c r="B360" s="190">
        <v>812</v>
      </c>
      <c r="C360" s="186">
        <f t="shared" si="35"/>
        <v>80</v>
      </c>
      <c r="E360" s="182">
        <v>2</v>
      </c>
      <c r="F360" s="183">
        <v>4</v>
      </c>
      <c r="G360" s="191">
        <f t="shared" si="36"/>
        <v>-50</v>
      </c>
      <c r="H360" s="188">
        <f t="shared" si="37"/>
        <v>7.071385638015769E-3</v>
      </c>
      <c r="I360" s="188">
        <f t="shared" si="38"/>
        <v>1.5332720024532353E-2</v>
      </c>
      <c r="J360" s="182">
        <v>9</v>
      </c>
      <c r="K360" s="183">
        <v>5</v>
      </c>
      <c r="L360" s="191">
        <f t="shared" si="39"/>
        <v>80</v>
      </c>
      <c r="M360" s="188">
        <f t="shared" si="40"/>
        <v>6.398271044979845E-3</v>
      </c>
      <c r="N360" s="189">
        <f t="shared" si="41"/>
        <v>3.4678392587146802E-3</v>
      </c>
    </row>
    <row r="361" spans="1:14" hidden="1" outlineLevel="1">
      <c r="A361" s="180"/>
      <c r="B361" s="190" t="s">
        <v>969</v>
      </c>
      <c r="C361" s="186">
        <f t="shared" si="35"/>
        <v>-66.666666666666657</v>
      </c>
      <c r="E361" s="182">
        <v>1</v>
      </c>
      <c r="F361" s="183">
        <v>5</v>
      </c>
      <c r="G361" s="191">
        <f t="shared" si="36"/>
        <v>-80</v>
      </c>
      <c r="H361" s="188">
        <f t="shared" si="37"/>
        <v>3.5356928190078845E-3</v>
      </c>
      <c r="I361" s="188">
        <f t="shared" si="38"/>
        <v>1.9165900030665439E-2</v>
      </c>
      <c r="J361" s="182">
        <v>2</v>
      </c>
      <c r="K361" s="183">
        <v>6</v>
      </c>
      <c r="L361" s="191">
        <f t="shared" si="39"/>
        <v>-66.666666666666657</v>
      </c>
      <c r="M361" s="188">
        <f t="shared" si="40"/>
        <v>1.4218380099955213E-3</v>
      </c>
      <c r="N361" s="189">
        <f t="shared" si="41"/>
        <v>4.1614071104576159E-3</v>
      </c>
    </row>
    <row r="362" spans="1:14" collapsed="1">
      <c r="A362" s="180" t="s">
        <v>1277</v>
      </c>
      <c r="B362" s="179" t="s">
        <v>274</v>
      </c>
      <c r="C362" s="186">
        <f t="shared" si="35"/>
        <v>20</v>
      </c>
      <c r="E362" s="182">
        <v>8</v>
      </c>
      <c r="F362" s="183">
        <v>5</v>
      </c>
      <c r="G362" s="191">
        <f t="shared" si="36"/>
        <v>60</v>
      </c>
      <c r="H362" s="188">
        <f t="shared" si="37"/>
        <v>2.8285542552063076E-2</v>
      </c>
      <c r="I362" s="188">
        <f t="shared" si="38"/>
        <v>1.9165900030665439E-2</v>
      </c>
      <c r="J362" s="182">
        <v>36</v>
      </c>
      <c r="K362" s="183">
        <v>30</v>
      </c>
      <c r="L362" s="191">
        <f t="shared" si="39"/>
        <v>20</v>
      </c>
      <c r="M362" s="188">
        <f t="shared" si="40"/>
        <v>2.559308417991938E-2</v>
      </c>
      <c r="N362" s="189">
        <f t="shared" si="41"/>
        <v>2.0807035552288081E-2</v>
      </c>
    </row>
    <row r="363" spans="1:14" hidden="1" outlineLevel="1">
      <c r="A363" s="180"/>
      <c r="B363" s="190" t="s">
        <v>274</v>
      </c>
      <c r="C363" s="186">
        <f t="shared" si="35"/>
        <v>20</v>
      </c>
      <c r="E363" s="182">
        <v>8</v>
      </c>
      <c r="F363" s="183">
        <v>5</v>
      </c>
      <c r="G363" s="191">
        <f t="shared" si="36"/>
        <v>60</v>
      </c>
      <c r="H363" s="188">
        <f t="shared" si="37"/>
        <v>2.8285542552063076E-2</v>
      </c>
      <c r="I363" s="188">
        <f t="shared" si="38"/>
        <v>1.9165900030665439E-2</v>
      </c>
      <c r="J363" s="182">
        <v>36</v>
      </c>
      <c r="K363" s="183">
        <v>30</v>
      </c>
      <c r="L363" s="191">
        <f t="shared" si="39"/>
        <v>20</v>
      </c>
      <c r="M363" s="188">
        <f t="shared" si="40"/>
        <v>2.559308417991938E-2</v>
      </c>
      <c r="N363" s="189">
        <f t="shared" si="41"/>
        <v>2.0807035552288081E-2</v>
      </c>
    </row>
    <row r="364" spans="1:14" collapsed="1">
      <c r="A364" s="180" t="s">
        <v>1221</v>
      </c>
      <c r="B364" s="179" t="s">
        <v>263</v>
      </c>
      <c r="C364" s="186">
        <f t="shared" si="35"/>
        <v>9.375</v>
      </c>
      <c r="E364" s="182">
        <v>6</v>
      </c>
      <c r="F364" s="183">
        <v>11</v>
      </c>
      <c r="G364" s="191">
        <f t="shared" si="36"/>
        <v>-45.454545454545453</v>
      </c>
      <c r="H364" s="188">
        <f t="shared" si="37"/>
        <v>2.1214156914047308E-2</v>
      </c>
      <c r="I364" s="188">
        <f t="shared" si="38"/>
        <v>4.216498006746397E-2</v>
      </c>
      <c r="J364" s="182">
        <v>35</v>
      </c>
      <c r="K364" s="183">
        <v>32</v>
      </c>
      <c r="L364" s="191">
        <f t="shared" si="39"/>
        <v>9.375</v>
      </c>
      <c r="M364" s="188">
        <f t="shared" si="40"/>
        <v>2.488216517492162E-2</v>
      </c>
      <c r="N364" s="189">
        <f t="shared" si="41"/>
        <v>2.2194171255773953E-2</v>
      </c>
    </row>
    <row r="365" spans="1:14" hidden="1" outlineLevel="1">
      <c r="A365" s="180"/>
      <c r="B365" s="190" t="s">
        <v>970</v>
      </c>
      <c r="C365" s="186">
        <f t="shared" si="35"/>
        <v>42.857142857142854</v>
      </c>
      <c r="E365" s="182">
        <v>3</v>
      </c>
      <c r="F365" s="183">
        <v>7</v>
      </c>
      <c r="G365" s="191">
        <f t="shared" si="36"/>
        <v>-57.142857142857139</v>
      </c>
      <c r="H365" s="188">
        <f t="shared" si="37"/>
        <v>1.0607078457023654E-2</v>
      </c>
      <c r="I365" s="188">
        <f t="shared" si="38"/>
        <v>2.6832260042931617E-2</v>
      </c>
      <c r="J365" s="182">
        <v>20</v>
      </c>
      <c r="K365" s="183">
        <v>14</v>
      </c>
      <c r="L365" s="191">
        <f t="shared" si="39"/>
        <v>42.857142857142854</v>
      </c>
      <c r="M365" s="188">
        <f t="shared" si="40"/>
        <v>1.4218380099955213E-2</v>
      </c>
      <c r="N365" s="189">
        <f t="shared" si="41"/>
        <v>9.7099499244011032E-3</v>
      </c>
    </row>
    <row r="366" spans="1:14" hidden="1" outlineLevel="1">
      <c r="A366" s="180"/>
      <c r="B366" s="190" t="s">
        <v>296</v>
      </c>
      <c r="C366" s="186">
        <f t="shared" si="35"/>
        <v>-6.25</v>
      </c>
      <c r="E366" s="182">
        <v>3</v>
      </c>
      <c r="F366" s="183">
        <v>4</v>
      </c>
      <c r="G366" s="191">
        <f t="shared" si="36"/>
        <v>-25</v>
      </c>
      <c r="H366" s="188">
        <f t="shared" si="37"/>
        <v>1.0607078457023654E-2</v>
      </c>
      <c r="I366" s="188">
        <f t="shared" si="38"/>
        <v>1.5332720024532353E-2</v>
      </c>
      <c r="J366" s="182">
        <v>15</v>
      </c>
      <c r="K366" s="183">
        <v>16</v>
      </c>
      <c r="L366" s="191">
        <f t="shared" si="39"/>
        <v>-6.25</v>
      </c>
      <c r="M366" s="188">
        <f t="shared" si="40"/>
        <v>1.0663785074966408E-2</v>
      </c>
      <c r="N366" s="189">
        <f t="shared" si="41"/>
        <v>1.1097085627886976E-2</v>
      </c>
    </row>
    <row r="367" spans="1:14" hidden="1" outlineLevel="1">
      <c r="A367" s="180"/>
      <c r="B367" s="190" t="s">
        <v>1181</v>
      </c>
      <c r="C367" s="186">
        <f t="shared" si="35"/>
        <v>-100</v>
      </c>
      <c r="E367" s="182">
        <v>0</v>
      </c>
      <c r="F367" s="183">
        <v>0</v>
      </c>
      <c r="G367" s="191" t="str">
        <f t="shared" si="36"/>
        <v/>
      </c>
      <c r="H367" s="188" t="str">
        <f t="shared" si="37"/>
        <v/>
      </c>
      <c r="I367" s="188" t="str">
        <f t="shared" si="38"/>
        <v/>
      </c>
      <c r="J367" s="182">
        <v>0</v>
      </c>
      <c r="K367" s="183">
        <v>2</v>
      </c>
      <c r="L367" s="191">
        <f t="shared" si="39"/>
        <v>-100</v>
      </c>
      <c r="M367" s="188" t="str">
        <f t="shared" si="40"/>
        <v/>
      </c>
      <c r="N367" s="189">
        <f t="shared" si="41"/>
        <v>1.387135703485872E-3</v>
      </c>
    </row>
    <row r="368" spans="1:14" collapsed="1">
      <c r="A368" s="180" t="s">
        <v>1222</v>
      </c>
      <c r="B368" s="179" t="s">
        <v>271</v>
      </c>
      <c r="C368" s="186">
        <f t="shared" si="35"/>
        <v>-56.164383561643838</v>
      </c>
      <c r="E368" s="182">
        <v>5</v>
      </c>
      <c r="F368" s="183">
        <v>12</v>
      </c>
      <c r="G368" s="191">
        <f t="shared" si="36"/>
        <v>-58.333333333333336</v>
      </c>
      <c r="H368" s="188">
        <f t="shared" si="37"/>
        <v>1.7678464095039422E-2</v>
      </c>
      <c r="I368" s="188">
        <f t="shared" si="38"/>
        <v>4.5998160073597055E-2</v>
      </c>
      <c r="J368" s="182">
        <v>32</v>
      </c>
      <c r="K368" s="183">
        <v>73</v>
      </c>
      <c r="L368" s="191">
        <f t="shared" si="39"/>
        <v>-56.164383561643838</v>
      </c>
      <c r="M368" s="188">
        <f t="shared" si="40"/>
        <v>2.274940815992834E-2</v>
      </c>
      <c r="N368" s="189">
        <f t="shared" si="41"/>
        <v>5.0630453177234323E-2</v>
      </c>
    </row>
    <row r="369" spans="1:14" hidden="1" outlineLevel="1">
      <c r="A369" s="180"/>
      <c r="B369" s="190" t="s">
        <v>964</v>
      </c>
      <c r="C369" s="186">
        <f t="shared" si="35"/>
        <v>-67.346938775510196</v>
      </c>
      <c r="E369" s="182">
        <v>3</v>
      </c>
      <c r="F369" s="183">
        <v>11</v>
      </c>
      <c r="G369" s="191">
        <f t="shared" si="36"/>
        <v>-72.727272727272734</v>
      </c>
      <c r="H369" s="188">
        <f t="shared" si="37"/>
        <v>1.0607078457023654E-2</v>
      </c>
      <c r="I369" s="188">
        <f t="shared" si="38"/>
        <v>4.216498006746397E-2</v>
      </c>
      <c r="J369" s="182">
        <v>16</v>
      </c>
      <c r="K369" s="183">
        <v>49</v>
      </c>
      <c r="L369" s="191">
        <f t="shared" si="39"/>
        <v>-67.346938775510196</v>
      </c>
      <c r="M369" s="188">
        <f t="shared" si="40"/>
        <v>1.137470407996417E-2</v>
      </c>
      <c r="N369" s="189">
        <f t="shared" si="41"/>
        <v>3.3984824735403867E-2</v>
      </c>
    </row>
    <row r="370" spans="1:14" hidden="1" outlineLevel="1">
      <c r="A370" s="180"/>
      <c r="B370" s="190" t="s">
        <v>1123</v>
      </c>
      <c r="C370" s="186">
        <f t="shared" si="35"/>
        <v>33.333333333333329</v>
      </c>
      <c r="E370" s="182">
        <v>2</v>
      </c>
      <c r="F370" s="183">
        <v>0</v>
      </c>
      <c r="G370" s="191" t="str">
        <f t="shared" si="36"/>
        <v/>
      </c>
      <c r="H370" s="188">
        <f t="shared" si="37"/>
        <v>7.071385638015769E-3</v>
      </c>
      <c r="I370" s="188" t="str">
        <f t="shared" si="38"/>
        <v/>
      </c>
      <c r="J370" s="182">
        <v>8</v>
      </c>
      <c r="K370" s="183">
        <v>6</v>
      </c>
      <c r="L370" s="191">
        <f t="shared" si="39"/>
        <v>33.333333333333329</v>
      </c>
      <c r="M370" s="188">
        <f t="shared" si="40"/>
        <v>5.687352039982085E-3</v>
      </c>
      <c r="N370" s="189">
        <f t="shared" si="41"/>
        <v>4.1614071104576159E-3</v>
      </c>
    </row>
    <row r="371" spans="1:14" hidden="1" outlineLevel="1">
      <c r="A371" s="180"/>
      <c r="B371" s="190" t="s">
        <v>1122</v>
      </c>
      <c r="C371" s="186">
        <f t="shared" si="35"/>
        <v>-57.142857142857139</v>
      </c>
      <c r="E371" s="182">
        <v>0</v>
      </c>
      <c r="F371" s="183">
        <v>1</v>
      </c>
      <c r="G371" s="191">
        <f t="shared" si="36"/>
        <v>-100</v>
      </c>
      <c r="H371" s="188" t="str">
        <f t="shared" si="37"/>
        <v/>
      </c>
      <c r="I371" s="188">
        <f t="shared" si="38"/>
        <v>3.8331800061330882E-3</v>
      </c>
      <c r="J371" s="182">
        <v>6</v>
      </c>
      <c r="K371" s="183">
        <v>14</v>
      </c>
      <c r="L371" s="191">
        <f t="shared" si="39"/>
        <v>-57.142857142857139</v>
      </c>
      <c r="M371" s="188">
        <f t="shared" si="40"/>
        <v>4.2655140299865633E-3</v>
      </c>
      <c r="N371" s="189">
        <f t="shared" si="41"/>
        <v>9.7099499244011032E-3</v>
      </c>
    </row>
    <row r="372" spans="1:14" hidden="1" outlineLevel="1">
      <c r="A372" s="180"/>
      <c r="B372" s="190" t="s">
        <v>965</v>
      </c>
      <c r="C372" s="186">
        <f t="shared" si="35"/>
        <v>-50</v>
      </c>
      <c r="E372" s="182">
        <v>0</v>
      </c>
      <c r="F372" s="183">
        <v>0</v>
      </c>
      <c r="G372" s="191" t="str">
        <f t="shared" si="36"/>
        <v/>
      </c>
      <c r="H372" s="188" t="str">
        <f t="shared" si="37"/>
        <v/>
      </c>
      <c r="I372" s="188" t="str">
        <f t="shared" si="38"/>
        <v/>
      </c>
      <c r="J372" s="182">
        <v>1</v>
      </c>
      <c r="K372" s="183">
        <v>2</v>
      </c>
      <c r="L372" s="191">
        <f t="shared" si="39"/>
        <v>-50</v>
      </c>
      <c r="M372" s="188">
        <f t="shared" si="40"/>
        <v>7.1091900499776063E-4</v>
      </c>
      <c r="N372" s="189">
        <f t="shared" si="41"/>
        <v>1.387135703485872E-3</v>
      </c>
    </row>
    <row r="373" spans="1:14" hidden="1" outlineLevel="1">
      <c r="A373" s="180"/>
      <c r="B373" s="190" t="s">
        <v>1124</v>
      </c>
      <c r="C373" s="186">
        <f t="shared" si="35"/>
        <v>0</v>
      </c>
      <c r="E373" s="182">
        <v>0</v>
      </c>
      <c r="F373" s="183">
        <v>0</v>
      </c>
      <c r="G373" s="191" t="str">
        <f t="shared" si="36"/>
        <v/>
      </c>
      <c r="H373" s="188" t="str">
        <f t="shared" si="37"/>
        <v/>
      </c>
      <c r="I373" s="188" t="str">
        <f t="shared" si="38"/>
        <v/>
      </c>
      <c r="J373" s="182">
        <v>1</v>
      </c>
      <c r="K373" s="183">
        <v>1</v>
      </c>
      <c r="L373" s="191">
        <f t="shared" si="39"/>
        <v>0</v>
      </c>
      <c r="M373" s="188">
        <f t="shared" si="40"/>
        <v>7.1091900499776063E-4</v>
      </c>
      <c r="N373" s="189">
        <f t="shared" si="41"/>
        <v>6.9356785174293602E-4</v>
      </c>
    </row>
    <row r="374" spans="1:14" hidden="1" outlineLevel="1">
      <c r="A374" s="180"/>
      <c r="B374" s="190" t="s">
        <v>1180</v>
      </c>
      <c r="C374" s="186">
        <f t="shared" si="35"/>
        <v>-100</v>
      </c>
      <c r="E374" s="182">
        <v>0</v>
      </c>
      <c r="F374" s="183">
        <v>0</v>
      </c>
      <c r="G374" s="191" t="str">
        <f t="shared" si="36"/>
        <v/>
      </c>
      <c r="H374" s="188" t="str">
        <f t="shared" si="37"/>
        <v/>
      </c>
      <c r="I374" s="188" t="str">
        <f t="shared" si="38"/>
        <v/>
      </c>
      <c r="J374" s="182">
        <v>0</v>
      </c>
      <c r="K374" s="183">
        <v>1</v>
      </c>
      <c r="L374" s="191">
        <f t="shared" si="39"/>
        <v>-100</v>
      </c>
      <c r="M374" s="188" t="str">
        <f t="shared" si="40"/>
        <v/>
      </c>
      <c r="N374" s="189">
        <f t="shared" si="41"/>
        <v>6.9356785174293602E-4</v>
      </c>
    </row>
    <row r="375" spans="1:14" collapsed="1">
      <c r="A375" s="180" t="s">
        <v>1182</v>
      </c>
      <c r="B375" s="179" t="s">
        <v>270</v>
      </c>
      <c r="C375" s="186">
        <f t="shared" si="35"/>
        <v>0</v>
      </c>
      <c r="E375" s="182">
        <v>6</v>
      </c>
      <c r="F375" s="183">
        <v>6</v>
      </c>
      <c r="G375" s="191">
        <f t="shared" si="36"/>
        <v>0</v>
      </c>
      <c r="H375" s="188">
        <f t="shared" si="37"/>
        <v>2.1214156914047308E-2</v>
      </c>
      <c r="I375" s="188">
        <f t="shared" si="38"/>
        <v>2.2999080036798528E-2</v>
      </c>
      <c r="J375" s="182">
        <v>23</v>
      </c>
      <c r="K375" s="183">
        <v>23</v>
      </c>
      <c r="L375" s="191">
        <f t="shared" si="39"/>
        <v>0</v>
      </c>
      <c r="M375" s="188">
        <f t="shared" si="40"/>
        <v>1.6351137114948497E-2</v>
      </c>
      <c r="N375" s="189">
        <f t="shared" si="41"/>
        <v>1.5952060590087528E-2</v>
      </c>
    </row>
    <row r="376" spans="1:14" hidden="1" outlineLevel="1">
      <c r="A376" s="180"/>
      <c r="B376" s="190" t="s">
        <v>972</v>
      </c>
      <c r="C376" s="186">
        <f t="shared" si="35"/>
        <v>0</v>
      </c>
      <c r="E376" s="182">
        <v>6</v>
      </c>
      <c r="F376" s="183">
        <v>6</v>
      </c>
      <c r="G376" s="191">
        <f t="shared" si="36"/>
        <v>0</v>
      </c>
      <c r="H376" s="188">
        <f t="shared" si="37"/>
        <v>2.1214156914047308E-2</v>
      </c>
      <c r="I376" s="188">
        <f t="shared" si="38"/>
        <v>2.2999080036798528E-2</v>
      </c>
      <c r="J376" s="182">
        <v>23</v>
      </c>
      <c r="K376" s="183">
        <v>23</v>
      </c>
      <c r="L376" s="191">
        <f t="shared" si="39"/>
        <v>0</v>
      </c>
      <c r="M376" s="188">
        <f t="shared" si="40"/>
        <v>1.6351137114948497E-2</v>
      </c>
      <c r="N376" s="189">
        <f t="shared" si="41"/>
        <v>1.5952060590087528E-2</v>
      </c>
    </row>
    <row r="377" spans="1:14" collapsed="1">
      <c r="A377" s="180" t="s">
        <v>1278</v>
      </c>
      <c r="B377" s="179" t="s">
        <v>261</v>
      </c>
      <c r="C377" s="186">
        <f t="shared" si="35"/>
        <v>63.636363636363633</v>
      </c>
      <c r="E377" s="182">
        <v>5</v>
      </c>
      <c r="F377" s="183">
        <v>1</v>
      </c>
      <c r="G377" s="191">
        <f t="shared" si="36"/>
        <v>400</v>
      </c>
      <c r="H377" s="188">
        <f t="shared" si="37"/>
        <v>1.7678464095039422E-2</v>
      </c>
      <c r="I377" s="188">
        <f t="shared" si="38"/>
        <v>3.8331800061330882E-3</v>
      </c>
      <c r="J377" s="182">
        <v>18</v>
      </c>
      <c r="K377" s="183">
        <v>11</v>
      </c>
      <c r="L377" s="191">
        <f t="shared" si="39"/>
        <v>63.636363636363633</v>
      </c>
      <c r="M377" s="188">
        <f t="shared" si="40"/>
        <v>1.279654208995969E-2</v>
      </c>
      <c r="N377" s="189">
        <f t="shared" si="41"/>
        <v>7.6292463691722961E-3</v>
      </c>
    </row>
    <row r="378" spans="1:14" hidden="1" outlineLevel="1">
      <c r="A378" s="180"/>
      <c r="B378" s="190" t="s">
        <v>974</v>
      </c>
      <c r="C378" s="186">
        <f t="shared" si="35"/>
        <v>150</v>
      </c>
      <c r="E378" s="182">
        <v>3</v>
      </c>
      <c r="F378" s="183">
        <v>1</v>
      </c>
      <c r="G378" s="191">
        <f t="shared" si="36"/>
        <v>200</v>
      </c>
      <c r="H378" s="188">
        <f t="shared" si="37"/>
        <v>1.0607078457023654E-2</v>
      </c>
      <c r="I378" s="188">
        <f t="shared" si="38"/>
        <v>3.8331800061330882E-3</v>
      </c>
      <c r="J378" s="182">
        <v>10</v>
      </c>
      <c r="K378" s="183">
        <v>4</v>
      </c>
      <c r="L378" s="191">
        <f t="shared" si="39"/>
        <v>150</v>
      </c>
      <c r="M378" s="188">
        <f t="shared" si="40"/>
        <v>7.1091900499776067E-3</v>
      </c>
      <c r="N378" s="189">
        <f t="shared" si="41"/>
        <v>2.7742714069717441E-3</v>
      </c>
    </row>
    <row r="379" spans="1:14" hidden="1" outlineLevel="1">
      <c r="A379" s="180"/>
      <c r="B379" s="190" t="s">
        <v>973</v>
      </c>
      <c r="C379" s="186">
        <f t="shared" si="35"/>
        <v>14.285714285714285</v>
      </c>
      <c r="E379" s="182">
        <v>2</v>
      </c>
      <c r="F379" s="183">
        <v>0</v>
      </c>
      <c r="G379" s="191" t="str">
        <f t="shared" si="36"/>
        <v/>
      </c>
      <c r="H379" s="188">
        <f t="shared" si="37"/>
        <v>7.071385638015769E-3</v>
      </c>
      <c r="I379" s="188" t="str">
        <f t="shared" si="38"/>
        <v/>
      </c>
      <c r="J379" s="182">
        <v>8</v>
      </c>
      <c r="K379" s="183">
        <v>7</v>
      </c>
      <c r="L379" s="191">
        <f t="shared" si="39"/>
        <v>14.285714285714285</v>
      </c>
      <c r="M379" s="188">
        <f t="shared" si="40"/>
        <v>5.687352039982085E-3</v>
      </c>
      <c r="N379" s="189">
        <f t="shared" si="41"/>
        <v>4.8549749622005516E-3</v>
      </c>
    </row>
    <row r="380" spans="1:14" collapsed="1">
      <c r="A380" s="180" t="s">
        <v>1279</v>
      </c>
      <c r="B380" s="179" t="s">
        <v>975</v>
      </c>
      <c r="C380" s="186">
        <f t="shared" si="35"/>
        <v>18.181818181818183</v>
      </c>
      <c r="E380" s="182">
        <v>2</v>
      </c>
      <c r="F380" s="183">
        <v>1</v>
      </c>
      <c r="G380" s="191">
        <f t="shared" si="36"/>
        <v>100</v>
      </c>
      <c r="H380" s="188">
        <f t="shared" si="37"/>
        <v>7.071385638015769E-3</v>
      </c>
      <c r="I380" s="188">
        <f t="shared" si="38"/>
        <v>3.8331800061330882E-3</v>
      </c>
      <c r="J380" s="182">
        <v>13</v>
      </c>
      <c r="K380" s="183">
        <v>11</v>
      </c>
      <c r="L380" s="191">
        <f t="shared" si="39"/>
        <v>18.181818181818183</v>
      </c>
      <c r="M380" s="188">
        <f t="shared" si="40"/>
        <v>9.2419470649708867E-3</v>
      </c>
      <c r="N380" s="189">
        <f t="shared" si="41"/>
        <v>7.6292463691722961E-3</v>
      </c>
    </row>
    <row r="381" spans="1:14" hidden="1" outlineLevel="1">
      <c r="A381" s="180"/>
      <c r="B381" s="190" t="s">
        <v>975</v>
      </c>
      <c r="C381" s="186">
        <f t="shared" si="35"/>
        <v>18.181818181818183</v>
      </c>
      <c r="E381" s="182">
        <v>2</v>
      </c>
      <c r="F381" s="183">
        <v>1</v>
      </c>
      <c r="G381" s="191">
        <f t="shared" si="36"/>
        <v>100</v>
      </c>
      <c r="H381" s="188">
        <f t="shared" si="37"/>
        <v>7.071385638015769E-3</v>
      </c>
      <c r="I381" s="188">
        <f t="shared" si="38"/>
        <v>3.8331800061330882E-3</v>
      </c>
      <c r="J381" s="182">
        <v>13</v>
      </c>
      <c r="K381" s="183">
        <v>11</v>
      </c>
      <c r="L381" s="191">
        <f t="shared" si="39"/>
        <v>18.181818181818183</v>
      </c>
      <c r="M381" s="188">
        <f t="shared" si="40"/>
        <v>9.2419470649708867E-3</v>
      </c>
      <c r="N381" s="189">
        <f t="shared" si="41"/>
        <v>7.6292463691722961E-3</v>
      </c>
    </row>
    <row r="382" spans="1:14" collapsed="1">
      <c r="A382" s="180" t="s">
        <v>1280</v>
      </c>
      <c r="B382" s="179" t="s">
        <v>1235</v>
      </c>
      <c r="C382" s="186" t="str">
        <f t="shared" si="35"/>
        <v/>
      </c>
      <c r="E382" s="182">
        <v>7</v>
      </c>
      <c r="F382" s="183">
        <v>0</v>
      </c>
      <c r="G382" s="191" t="str">
        <f t="shared" si="36"/>
        <v/>
      </c>
      <c r="H382" s="188">
        <f t="shared" si="37"/>
        <v>2.4749849733055194E-2</v>
      </c>
      <c r="I382" s="188" t="str">
        <f t="shared" si="38"/>
        <v/>
      </c>
      <c r="J382" s="182">
        <v>7</v>
      </c>
      <c r="K382" s="183">
        <v>0</v>
      </c>
      <c r="L382" s="191" t="str">
        <f t="shared" si="39"/>
        <v/>
      </c>
      <c r="M382" s="188">
        <f t="shared" si="40"/>
        <v>4.9764330349843242E-3</v>
      </c>
      <c r="N382" s="189" t="str">
        <f t="shared" si="41"/>
        <v/>
      </c>
    </row>
    <row r="383" spans="1:14" hidden="1" outlineLevel="1">
      <c r="A383" s="180"/>
      <c r="B383" s="190" t="s">
        <v>1281</v>
      </c>
      <c r="C383" s="186" t="str">
        <f t="shared" si="35"/>
        <v/>
      </c>
      <c r="E383" s="182">
        <v>7</v>
      </c>
      <c r="F383" s="183">
        <v>0</v>
      </c>
      <c r="G383" s="191" t="str">
        <f t="shared" si="36"/>
        <v/>
      </c>
      <c r="H383" s="188">
        <f t="shared" si="37"/>
        <v>2.4749849733055194E-2</v>
      </c>
      <c r="I383" s="188" t="str">
        <f t="shared" si="38"/>
        <v/>
      </c>
      <c r="J383" s="182">
        <v>7</v>
      </c>
      <c r="K383" s="183">
        <v>0</v>
      </c>
      <c r="L383" s="191" t="str">
        <f t="shared" si="39"/>
        <v/>
      </c>
      <c r="M383" s="188">
        <f t="shared" si="40"/>
        <v>4.9764330349843242E-3</v>
      </c>
      <c r="N383" s="189" t="str">
        <f t="shared" si="41"/>
        <v/>
      </c>
    </row>
    <row r="384" spans="1:14" collapsed="1">
      <c r="A384" s="180" t="s">
        <v>1282</v>
      </c>
      <c r="B384" s="179" t="s">
        <v>282</v>
      </c>
      <c r="C384" s="186">
        <f t="shared" si="35"/>
        <v>-30</v>
      </c>
      <c r="E384" s="182">
        <v>3</v>
      </c>
      <c r="F384" s="183">
        <v>0</v>
      </c>
      <c r="G384" s="191" t="str">
        <f t="shared" si="36"/>
        <v/>
      </c>
      <c r="H384" s="188">
        <f t="shared" si="37"/>
        <v>1.0607078457023654E-2</v>
      </c>
      <c r="I384" s="188" t="str">
        <f t="shared" si="38"/>
        <v/>
      </c>
      <c r="J384" s="182">
        <v>7</v>
      </c>
      <c r="K384" s="183">
        <v>10</v>
      </c>
      <c r="L384" s="191">
        <f t="shared" si="39"/>
        <v>-30</v>
      </c>
      <c r="M384" s="188">
        <f t="shared" si="40"/>
        <v>4.9764330349843242E-3</v>
      </c>
      <c r="N384" s="189">
        <f t="shared" si="41"/>
        <v>6.9356785174293605E-3</v>
      </c>
    </row>
    <row r="385" spans="1:14" hidden="1" outlineLevel="1">
      <c r="A385" s="180"/>
      <c r="B385" s="190" t="s">
        <v>282</v>
      </c>
      <c r="C385" s="186">
        <f t="shared" si="35"/>
        <v>-30</v>
      </c>
      <c r="E385" s="182">
        <v>3</v>
      </c>
      <c r="F385" s="183">
        <v>0</v>
      </c>
      <c r="G385" s="191" t="str">
        <f t="shared" si="36"/>
        <v/>
      </c>
      <c r="H385" s="188">
        <f t="shared" si="37"/>
        <v>1.0607078457023654E-2</v>
      </c>
      <c r="I385" s="188" t="str">
        <f t="shared" si="38"/>
        <v/>
      </c>
      <c r="J385" s="182">
        <v>7</v>
      </c>
      <c r="K385" s="183">
        <v>10</v>
      </c>
      <c r="L385" s="191">
        <f t="shared" si="39"/>
        <v>-30</v>
      </c>
      <c r="M385" s="188">
        <f t="shared" si="40"/>
        <v>4.9764330349843242E-3</v>
      </c>
      <c r="N385" s="189">
        <f t="shared" si="41"/>
        <v>6.9356785174293605E-3</v>
      </c>
    </row>
    <row r="386" spans="1:14" collapsed="1">
      <c r="A386" s="180" t="s">
        <v>1283</v>
      </c>
      <c r="B386" s="179" t="s">
        <v>674</v>
      </c>
      <c r="C386" s="186">
        <f t="shared" si="35"/>
        <v>75</v>
      </c>
      <c r="E386" s="182">
        <v>0</v>
      </c>
      <c r="F386" s="183">
        <v>2</v>
      </c>
      <c r="G386" s="191">
        <f t="shared" si="36"/>
        <v>-100</v>
      </c>
      <c r="H386" s="188" t="str">
        <f t="shared" si="37"/>
        <v/>
      </c>
      <c r="I386" s="188">
        <f t="shared" si="38"/>
        <v>7.6663600122661765E-3</v>
      </c>
      <c r="J386" s="182">
        <v>7</v>
      </c>
      <c r="K386" s="183">
        <v>4</v>
      </c>
      <c r="L386" s="191">
        <f t="shared" si="39"/>
        <v>75</v>
      </c>
      <c r="M386" s="188">
        <f t="shared" si="40"/>
        <v>4.9764330349843242E-3</v>
      </c>
      <c r="N386" s="189">
        <f t="shared" si="41"/>
        <v>2.7742714069717441E-3</v>
      </c>
    </row>
    <row r="387" spans="1:14" hidden="1" outlineLevel="1">
      <c r="A387" s="180"/>
      <c r="B387" s="190" t="s">
        <v>977</v>
      </c>
      <c r="C387" s="186">
        <f t="shared" si="35"/>
        <v>133.33333333333331</v>
      </c>
      <c r="E387" s="182">
        <v>0</v>
      </c>
      <c r="F387" s="183">
        <v>2</v>
      </c>
      <c r="G387" s="191">
        <f t="shared" si="36"/>
        <v>-100</v>
      </c>
      <c r="H387" s="188" t="str">
        <f t="shared" si="37"/>
        <v/>
      </c>
      <c r="I387" s="188">
        <f t="shared" si="38"/>
        <v>7.6663600122661765E-3</v>
      </c>
      <c r="J387" s="182">
        <v>7</v>
      </c>
      <c r="K387" s="183">
        <v>3</v>
      </c>
      <c r="L387" s="191">
        <f t="shared" si="39"/>
        <v>133.33333333333331</v>
      </c>
      <c r="M387" s="188">
        <f t="shared" si="40"/>
        <v>4.9764330349843242E-3</v>
      </c>
      <c r="N387" s="189">
        <f t="shared" si="41"/>
        <v>2.080703555228808E-3</v>
      </c>
    </row>
    <row r="388" spans="1:14" hidden="1" outlineLevel="1">
      <c r="A388" s="180"/>
      <c r="B388" s="190" t="s">
        <v>1223</v>
      </c>
      <c r="C388" s="186">
        <f t="shared" si="35"/>
        <v>-100</v>
      </c>
      <c r="E388" s="182">
        <v>0</v>
      </c>
      <c r="F388" s="183">
        <v>0</v>
      </c>
      <c r="G388" s="191" t="str">
        <f t="shared" si="36"/>
        <v/>
      </c>
      <c r="H388" s="188" t="str">
        <f t="shared" si="37"/>
        <v/>
      </c>
      <c r="I388" s="188" t="str">
        <f t="shared" si="38"/>
        <v/>
      </c>
      <c r="J388" s="182">
        <v>0</v>
      </c>
      <c r="K388" s="183">
        <v>1</v>
      </c>
      <c r="L388" s="191">
        <f t="shared" si="39"/>
        <v>-100</v>
      </c>
      <c r="M388" s="188" t="str">
        <f t="shared" si="40"/>
        <v/>
      </c>
      <c r="N388" s="189">
        <f t="shared" si="41"/>
        <v>6.9356785174293602E-4</v>
      </c>
    </row>
    <row r="389" spans="1:14" collapsed="1">
      <c r="A389" s="180" t="s">
        <v>1284</v>
      </c>
      <c r="B389" s="179" t="s">
        <v>1128</v>
      </c>
      <c r="C389" s="186" t="str">
        <f t="shared" si="35"/>
        <v/>
      </c>
      <c r="E389" s="182">
        <v>0</v>
      </c>
      <c r="F389" s="183">
        <v>0</v>
      </c>
      <c r="G389" s="191" t="str">
        <f t="shared" si="36"/>
        <v/>
      </c>
      <c r="H389" s="188" t="str">
        <f t="shared" si="37"/>
        <v/>
      </c>
      <c r="I389" s="188" t="str">
        <f t="shared" si="38"/>
        <v/>
      </c>
      <c r="J389" s="182">
        <v>5</v>
      </c>
      <c r="K389" s="183">
        <v>0</v>
      </c>
      <c r="L389" s="191" t="str">
        <f t="shared" si="39"/>
        <v/>
      </c>
      <c r="M389" s="188">
        <f t="shared" si="40"/>
        <v>3.5545950249888034E-3</v>
      </c>
      <c r="N389" s="189" t="str">
        <f t="shared" si="41"/>
        <v/>
      </c>
    </row>
    <row r="390" spans="1:14" hidden="1" outlineLevel="1">
      <c r="A390" s="180"/>
      <c r="B390" s="190" t="s">
        <v>1129</v>
      </c>
      <c r="C390" s="186" t="str">
        <f t="shared" si="35"/>
        <v/>
      </c>
      <c r="E390" s="182">
        <v>0</v>
      </c>
      <c r="F390" s="183">
        <v>0</v>
      </c>
      <c r="G390" s="191" t="str">
        <f t="shared" si="36"/>
        <v/>
      </c>
      <c r="H390" s="188" t="str">
        <f t="shared" si="37"/>
        <v/>
      </c>
      <c r="I390" s="188" t="str">
        <f t="shared" si="38"/>
        <v/>
      </c>
      <c r="J390" s="182">
        <v>5</v>
      </c>
      <c r="K390" s="183">
        <v>0</v>
      </c>
      <c r="L390" s="191" t="str">
        <f t="shared" si="39"/>
        <v/>
      </c>
      <c r="M390" s="188">
        <f t="shared" si="40"/>
        <v>3.5545950249888034E-3</v>
      </c>
      <c r="N390" s="189" t="str">
        <f t="shared" si="41"/>
        <v/>
      </c>
    </row>
    <row r="391" spans="1:14" collapsed="1">
      <c r="A391" s="180" t="s">
        <v>1224</v>
      </c>
      <c r="B391" s="179" t="s">
        <v>555</v>
      </c>
      <c r="C391" s="186">
        <f t="shared" si="35"/>
        <v>-50</v>
      </c>
      <c r="E391" s="182">
        <v>2</v>
      </c>
      <c r="F391" s="183">
        <v>2</v>
      </c>
      <c r="G391" s="191">
        <f t="shared" si="36"/>
        <v>0</v>
      </c>
      <c r="H391" s="188">
        <f t="shared" si="37"/>
        <v>7.071385638015769E-3</v>
      </c>
      <c r="I391" s="188">
        <f t="shared" si="38"/>
        <v>7.6663600122661765E-3</v>
      </c>
      <c r="J391" s="182">
        <v>4</v>
      </c>
      <c r="K391" s="183">
        <v>8</v>
      </c>
      <c r="L391" s="191">
        <f t="shared" si="39"/>
        <v>-50</v>
      </c>
      <c r="M391" s="188">
        <f t="shared" si="40"/>
        <v>2.8436760199910425E-3</v>
      </c>
      <c r="N391" s="189">
        <f t="shared" si="41"/>
        <v>5.5485428139434882E-3</v>
      </c>
    </row>
    <row r="392" spans="1:14" hidden="1" outlineLevel="1">
      <c r="A392" s="180"/>
      <c r="B392" s="190" t="s">
        <v>976</v>
      </c>
      <c r="C392" s="186">
        <f t="shared" si="35"/>
        <v>-50</v>
      </c>
      <c r="E392" s="182">
        <v>2</v>
      </c>
      <c r="F392" s="183">
        <v>2</v>
      </c>
      <c r="G392" s="191">
        <f t="shared" si="36"/>
        <v>0</v>
      </c>
      <c r="H392" s="188">
        <f t="shared" si="37"/>
        <v>7.071385638015769E-3</v>
      </c>
      <c r="I392" s="188">
        <f t="shared" si="38"/>
        <v>7.6663600122661765E-3</v>
      </c>
      <c r="J392" s="182">
        <v>4</v>
      </c>
      <c r="K392" s="183">
        <v>8</v>
      </c>
      <c r="L392" s="191">
        <f t="shared" si="39"/>
        <v>-50</v>
      </c>
      <c r="M392" s="188">
        <f t="shared" si="40"/>
        <v>2.8436760199910425E-3</v>
      </c>
      <c r="N392" s="189">
        <f t="shared" si="41"/>
        <v>5.5485428139434882E-3</v>
      </c>
    </row>
    <row r="393" spans="1:14" collapsed="1">
      <c r="A393" s="180" t="s">
        <v>1285</v>
      </c>
      <c r="B393" s="179" t="s">
        <v>1168</v>
      </c>
      <c r="C393" s="186">
        <f t="shared" si="35"/>
        <v>100</v>
      </c>
      <c r="E393" s="182">
        <v>0</v>
      </c>
      <c r="F393" s="183">
        <v>0</v>
      </c>
      <c r="G393" s="191" t="str">
        <f t="shared" si="36"/>
        <v/>
      </c>
      <c r="H393" s="188" t="str">
        <f t="shared" si="37"/>
        <v/>
      </c>
      <c r="I393" s="188" t="str">
        <f t="shared" si="38"/>
        <v/>
      </c>
      <c r="J393" s="182">
        <v>2</v>
      </c>
      <c r="K393" s="183">
        <v>1</v>
      </c>
      <c r="L393" s="191">
        <f t="shared" si="39"/>
        <v>100</v>
      </c>
      <c r="M393" s="188">
        <f t="shared" si="40"/>
        <v>1.4218380099955213E-3</v>
      </c>
      <c r="N393" s="189">
        <f t="shared" si="41"/>
        <v>6.9356785174293602E-4</v>
      </c>
    </row>
    <row r="394" spans="1:14" hidden="1" outlineLevel="1">
      <c r="A394" s="180"/>
      <c r="B394" s="190" t="s">
        <v>1168</v>
      </c>
      <c r="C394" s="186">
        <f t="shared" ref="C394:C403" si="42">IF(K394=0,"",SUM(((J394-K394)/K394)*100))</f>
        <v>100</v>
      </c>
      <c r="E394" s="182">
        <v>0</v>
      </c>
      <c r="F394" s="183">
        <v>0</v>
      </c>
      <c r="G394" s="191" t="str">
        <f t="shared" ref="G394:G403" si="43">IF(F394=0,"",SUM(((E394-F394)/F394)*100))</f>
        <v/>
      </c>
      <c r="H394" s="188" t="str">
        <f t="shared" ref="H394:H403" si="44">IF(E394=0,"",SUM((E394/CntPeriod)*100))</f>
        <v/>
      </c>
      <c r="I394" s="188" t="str">
        <f t="shared" ref="I394:I403" si="45">IF(F394=0,"",SUM((F394/CntPeriodPrevYear)*100))</f>
        <v/>
      </c>
      <c r="J394" s="182">
        <v>2</v>
      </c>
      <c r="K394" s="183">
        <v>1</v>
      </c>
      <c r="L394" s="191">
        <f t="shared" ref="L394:L403" si="46">IF(K394=0,"",SUM(((J394-K394)/K394)*100))</f>
        <v>100</v>
      </c>
      <c r="M394" s="188">
        <f t="shared" ref="M394:M403" si="47">IF(J394=0,"",SUM((J394/CntYearAck)*100))</f>
        <v>1.4218380099955213E-3</v>
      </c>
      <c r="N394" s="189">
        <f t="shared" ref="N394:N403" si="48">IF(K394=0,"",SUM((K394/CntPrevYearAck)*100))</f>
        <v>6.9356785174293602E-4</v>
      </c>
    </row>
    <row r="395" spans="1:14" collapsed="1">
      <c r="A395" s="180" t="s">
        <v>1225</v>
      </c>
      <c r="B395" s="179" t="s">
        <v>1152</v>
      </c>
      <c r="C395" s="186">
        <f t="shared" si="42"/>
        <v>-80</v>
      </c>
      <c r="E395" s="182">
        <v>0</v>
      </c>
      <c r="F395" s="183">
        <v>2</v>
      </c>
      <c r="G395" s="191">
        <f t="shared" si="43"/>
        <v>-100</v>
      </c>
      <c r="H395" s="188" t="str">
        <f t="shared" si="44"/>
        <v/>
      </c>
      <c r="I395" s="188">
        <f t="shared" si="45"/>
        <v>7.6663600122661765E-3</v>
      </c>
      <c r="J395" s="182">
        <v>1</v>
      </c>
      <c r="K395" s="183">
        <v>5</v>
      </c>
      <c r="L395" s="191">
        <f t="shared" si="46"/>
        <v>-80</v>
      </c>
      <c r="M395" s="188">
        <f t="shared" si="47"/>
        <v>7.1091900499776063E-4</v>
      </c>
      <c r="N395" s="189">
        <f t="shared" si="48"/>
        <v>3.4678392587146802E-3</v>
      </c>
    </row>
    <row r="396" spans="1:14" hidden="1" outlineLevel="1">
      <c r="A396" s="180"/>
      <c r="B396" s="190" t="s">
        <v>1153</v>
      </c>
      <c r="C396" s="186">
        <f t="shared" si="42"/>
        <v>-80</v>
      </c>
      <c r="E396" s="182">
        <v>0</v>
      </c>
      <c r="F396" s="183">
        <v>2</v>
      </c>
      <c r="G396" s="191">
        <f t="shared" si="43"/>
        <v>-100</v>
      </c>
      <c r="H396" s="188" t="str">
        <f t="shared" si="44"/>
        <v/>
      </c>
      <c r="I396" s="188">
        <f t="shared" si="45"/>
        <v>7.6663600122661765E-3</v>
      </c>
      <c r="J396" s="182">
        <v>1</v>
      </c>
      <c r="K396" s="183">
        <v>5</v>
      </c>
      <c r="L396" s="191">
        <f t="shared" si="46"/>
        <v>-80</v>
      </c>
      <c r="M396" s="188">
        <f t="shared" si="47"/>
        <v>7.1091900499776063E-4</v>
      </c>
      <c r="N396" s="189">
        <f t="shared" si="48"/>
        <v>3.4678392587146802E-3</v>
      </c>
    </row>
    <row r="397" spans="1:14" collapsed="1">
      <c r="A397" s="180" t="s">
        <v>1286</v>
      </c>
      <c r="B397" s="179" t="s">
        <v>556</v>
      </c>
      <c r="C397" s="186">
        <f t="shared" si="42"/>
        <v>-66.666666666666657</v>
      </c>
      <c r="E397" s="182">
        <v>0</v>
      </c>
      <c r="F397" s="183">
        <v>0</v>
      </c>
      <c r="G397" s="191" t="str">
        <f t="shared" si="43"/>
        <v/>
      </c>
      <c r="H397" s="188" t="str">
        <f t="shared" si="44"/>
        <v/>
      </c>
      <c r="I397" s="188" t="str">
        <f t="shared" si="45"/>
        <v/>
      </c>
      <c r="J397" s="182">
        <v>1</v>
      </c>
      <c r="K397" s="183">
        <v>3</v>
      </c>
      <c r="L397" s="191">
        <f t="shared" si="46"/>
        <v>-66.666666666666657</v>
      </c>
      <c r="M397" s="188">
        <f t="shared" si="47"/>
        <v>7.1091900499776063E-4</v>
      </c>
      <c r="N397" s="189">
        <f t="shared" si="48"/>
        <v>2.080703555228808E-3</v>
      </c>
    </row>
    <row r="398" spans="1:14" hidden="1" outlineLevel="1">
      <c r="A398" s="180"/>
      <c r="B398" s="190" t="s">
        <v>556</v>
      </c>
      <c r="C398" s="186">
        <f t="shared" si="42"/>
        <v>-66.666666666666657</v>
      </c>
      <c r="E398" s="182">
        <v>0</v>
      </c>
      <c r="F398" s="183">
        <v>0</v>
      </c>
      <c r="G398" s="191" t="str">
        <f t="shared" si="43"/>
        <v/>
      </c>
      <c r="H398" s="188" t="str">
        <f t="shared" si="44"/>
        <v/>
      </c>
      <c r="I398" s="188" t="str">
        <f t="shared" si="45"/>
        <v/>
      </c>
      <c r="J398" s="182">
        <v>1</v>
      </c>
      <c r="K398" s="183">
        <v>3</v>
      </c>
      <c r="L398" s="191">
        <f t="shared" si="46"/>
        <v>-66.666666666666657</v>
      </c>
      <c r="M398" s="188">
        <f t="shared" si="47"/>
        <v>7.1091900499776063E-4</v>
      </c>
      <c r="N398" s="189">
        <f t="shared" si="48"/>
        <v>2.080703555228808E-3</v>
      </c>
    </row>
    <row r="399" spans="1:14" collapsed="1">
      <c r="A399" s="180" t="s">
        <v>1287</v>
      </c>
      <c r="B399" s="179" t="s">
        <v>1169</v>
      </c>
      <c r="C399" s="186">
        <f t="shared" si="42"/>
        <v>-100</v>
      </c>
      <c r="E399" s="182">
        <v>0</v>
      </c>
      <c r="F399" s="183">
        <v>3</v>
      </c>
      <c r="G399" s="191">
        <f t="shared" si="43"/>
        <v>-100</v>
      </c>
      <c r="H399" s="188" t="str">
        <f t="shared" si="44"/>
        <v/>
      </c>
      <c r="I399" s="188">
        <f t="shared" si="45"/>
        <v>1.1499540018399264E-2</v>
      </c>
      <c r="J399" s="182">
        <v>0</v>
      </c>
      <c r="K399" s="183">
        <v>10</v>
      </c>
      <c r="L399" s="191">
        <f t="shared" si="46"/>
        <v>-100</v>
      </c>
      <c r="M399" s="188" t="str">
        <f t="shared" si="47"/>
        <v/>
      </c>
      <c r="N399" s="189">
        <f t="shared" si="48"/>
        <v>6.9356785174293605E-3</v>
      </c>
    </row>
    <row r="400" spans="1:14" hidden="1" outlineLevel="1">
      <c r="A400" s="180"/>
      <c r="B400" s="190" t="s">
        <v>1183</v>
      </c>
      <c r="C400" s="186">
        <f t="shared" si="42"/>
        <v>-100</v>
      </c>
      <c r="E400" s="182">
        <v>0</v>
      </c>
      <c r="F400" s="183">
        <v>2</v>
      </c>
      <c r="G400" s="191">
        <f t="shared" si="43"/>
        <v>-100</v>
      </c>
      <c r="H400" s="188" t="str">
        <f t="shared" si="44"/>
        <v/>
      </c>
      <c r="I400" s="188">
        <f t="shared" si="45"/>
        <v>7.6663600122661765E-3</v>
      </c>
      <c r="J400" s="182">
        <v>0</v>
      </c>
      <c r="K400" s="183">
        <v>7</v>
      </c>
      <c r="L400" s="191">
        <f t="shared" si="46"/>
        <v>-100</v>
      </c>
      <c r="M400" s="188" t="str">
        <f t="shared" si="47"/>
        <v/>
      </c>
      <c r="N400" s="189">
        <f t="shared" si="48"/>
        <v>4.8549749622005516E-3</v>
      </c>
    </row>
    <row r="401" spans="1:14" hidden="1" outlineLevel="1">
      <c r="A401" s="180"/>
      <c r="B401" s="190" t="s">
        <v>1184</v>
      </c>
      <c r="C401" s="186">
        <f t="shared" si="42"/>
        <v>-100</v>
      </c>
      <c r="E401" s="182">
        <v>0</v>
      </c>
      <c r="F401" s="183">
        <v>1</v>
      </c>
      <c r="G401" s="191">
        <f t="shared" si="43"/>
        <v>-100</v>
      </c>
      <c r="H401" s="188" t="str">
        <f t="shared" si="44"/>
        <v/>
      </c>
      <c r="I401" s="188">
        <f t="shared" si="45"/>
        <v>3.8331800061330882E-3</v>
      </c>
      <c r="J401" s="182">
        <v>0</v>
      </c>
      <c r="K401" s="183">
        <v>3</v>
      </c>
      <c r="L401" s="191">
        <f t="shared" si="46"/>
        <v>-100</v>
      </c>
      <c r="M401" s="188" t="str">
        <f t="shared" si="47"/>
        <v/>
      </c>
      <c r="N401" s="189">
        <f t="shared" si="48"/>
        <v>2.080703555228808E-3</v>
      </c>
    </row>
    <row r="402" spans="1:14" collapsed="1">
      <c r="A402" s="180"/>
      <c r="B402" s="179" t="s">
        <v>296</v>
      </c>
      <c r="C402" s="186">
        <f t="shared" si="42"/>
        <v>27.868852459016392</v>
      </c>
      <c r="E402" s="182">
        <v>46</v>
      </c>
      <c r="F402" s="183">
        <v>36</v>
      </c>
      <c r="G402" s="191">
        <f t="shared" si="43"/>
        <v>27.777777777777779</v>
      </c>
      <c r="H402" s="188">
        <f t="shared" si="44"/>
        <v>0.1626418696743627</v>
      </c>
      <c r="I402" s="188">
        <f t="shared" si="45"/>
        <v>0.13799448022079117</v>
      </c>
      <c r="J402" s="182">
        <v>156</v>
      </c>
      <c r="K402" s="183">
        <v>122</v>
      </c>
      <c r="L402" s="191">
        <f t="shared" si="46"/>
        <v>27.868852459016392</v>
      </c>
      <c r="M402" s="188">
        <f t="shared" si="47"/>
        <v>0.11090336477965065</v>
      </c>
      <c r="N402" s="189">
        <f t="shared" si="48"/>
        <v>8.4615277912638204E-2</v>
      </c>
    </row>
    <row r="403" spans="1:14" hidden="1" outlineLevel="1">
      <c r="A403" s="180"/>
      <c r="B403" s="190" t="s">
        <v>466</v>
      </c>
      <c r="C403" s="186">
        <f t="shared" si="42"/>
        <v>27.868852459016392</v>
      </c>
      <c r="E403" s="182">
        <v>46</v>
      </c>
      <c r="F403" s="183">
        <v>36</v>
      </c>
      <c r="G403" s="191">
        <f t="shared" si="43"/>
        <v>27.777777777777779</v>
      </c>
      <c r="H403" s="188">
        <f t="shared" si="44"/>
        <v>0.1626418696743627</v>
      </c>
      <c r="I403" s="188">
        <f t="shared" si="45"/>
        <v>0.13799448022079117</v>
      </c>
      <c r="J403" s="182">
        <v>156</v>
      </c>
      <c r="K403" s="183">
        <v>122</v>
      </c>
      <c r="L403" s="191">
        <f t="shared" si="46"/>
        <v>27.868852459016392</v>
      </c>
      <c r="M403" s="188">
        <f t="shared" si="47"/>
        <v>0.11090336477965065</v>
      </c>
      <c r="N403" s="189">
        <f t="shared" si="48"/>
        <v>8.4615277912638204E-2</v>
      </c>
    </row>
    <row r="404" spans="1:14">
      <c r="A404" s="180"/>
      <c r="B404" s="192"/>
      <c r="C404" s="186"/>
      <c r="E404" s="182"/>
      <c r="F404" s="183"/>
      <c r="G404" s="191"/>
      <c r="H404" s="188"/>
      <c r="I404" s="188"/>
      <c r="J404" s="182"/>
      <c r="K404" s="183"/>
      <c r="L404" s="191"/>
      <c r="M404" s="188"/>
      <c r="N404" s="189"/>
    </row>
    <row r="405" spans="1:14" ht="15" customHeight="1">
      <c r="B405" s="193" t="s">
        <v>978</v>
      </c>
      <c r="C405" s="194"/>
      <c r="D405" s="195"/>
      <c r="E405" s="196">
        <f>SUM(E10 + E19 + E39 + E57 + E68 + E73 + E95 + E117 + E143 + E152 + E164 + E170 + E186 + E198 + E208 + E217 + E227 + E239 + E242 + E249 + E253 + E263 + E268 + E276 + E281 + E287 + E298 + E302 + E304 + E308 + E314 + E318 + E325 + E329 + E333 + E339 + E345 + E349 + E351 + E354 + E356 + E358 + E362 + E364 + E368 + E375 + E377 + E380 + E382 + E384 + E386 + E389 + E391 + E393 + E395 + E397 + E399 + E402)</f>
        <v>28283</v>
      </c>
      <c r="F405" s="196">
        <f>SUM(F10 + F19 + F39 + F57 + F68 + F73 + F95 + F117 + F143 + F152 + F164 + F170 + F186 + F198 + F208 + F217 + F227 + F239 + F242 + F249 + F253 + F263 + F268 + F276 + F281 + F287 + F298 + F302 + F304 + F308 + F314 + F318 + F325 + F329 + F333 + F339 + F345 + F349 + F351 + F354 + F356 + F358 + F362 + F364 + F368 + F375 + F377 + F380 + F382 + F384 + F386 + F389 + F391 + F393 + F395 + F397 + F399 + F402)</f>
        <v>26088</v>
      </c>
      <c r="G405" s="196"/>
      <c r="H405" s="197"/>
      <c r="I405" s="197"/>
      <c r="J405" s="196">
        <f>SUM(J10 + J19 + J39 + J57 + J68 + J73 + J95 + J117 + J143 + J152 + J164 + J170 + J186 + J198 + J208 + J217 + J227 + J239 + J242 + J249 + J253 + J263 + J268 + J276 + J281 + J287 + J298 + J302 + J304 + J308 + J314 + J318 + J325 + J329 + J333 + J339 + J345 + J349 + J351 + J354 + J356 + J358 + J362 + J364 + J368 + J375 + J377 + J380 + J382 + J384 + J386 + J389 + J391 + J393 + J395 + J397 + J399 + J402)</f>
        <v>140663</v>
      </c>
      <c r="K405" s="196">
        <f>SUM(K10 + K19 + K39 + K57 + K68 + K73 + K95 + K117 + K143 + K152 + K164 + K170 + K186 + K198 + K208 + K217 + K227 + K239 + K242 + K249 + K253 + K263 + K268 + K276 + K281 + K287 + K298 + K302 + K304 + K308 + K314 + K318 + K325 + K329 + K333 + K339 + K345 + K349 + K351 + K354 + K356 + K358 + K362 + K364 + K368 + K375 + K377 + K380 + K382 + K384 + K386 + K389 + K391 + K393 + K395 + K397 + K399 + K402)</f>
        <v>144182</v>
      </c>
      <c r="L405" s="196"/>
      <c r="M405" s="197"/>
      <c r="N405" s="193"/>
    </row>
    <row r="406" spans="1:14">
      <c r="B406" s="198" t="s">
        <v>979</v>
      </c>
      <c r="C406" s="199"/>
      <c r="D406" s="195"/>
      <c r="E406" s="200">
        <f>CntPeriod-CntPeriodPrevYear</f>
        <v>2195</v>
      </c>
      <c r="F406" s="200"/>
      <c r="G406" s="201">
        <f>(CntPeriod/CntPeriodPrevYear)-100%</f>
        <v>8.4138301134621285E-2</v>
      </c>
      <c r="H406" s="202"/>
      <c r="I406" s="203"/>
      <c r="J406" s="204">
        <f>CntYearAck-CntPrevYearAck</f>
        <v>-3519</v>
      </c>
      <c r="K406" s="205"/>
      <c r="L406" s="206">
        <f>(CntYearAck/CntPrevYearAck)-100%</f>
        <v>-2.4406652702833931E-2</v>
      </c>
      <c r="M406" s="207"/>
      <c r="N406" s="207"/>
    </row>
    <row r="409" spans="1:14">
      <c r="B409" s="59" t="s">
        <v>980</v>
      </c>
    </row>
    <row r="410" spans="1:14">
      <c r="B410" s="59" t="s">
        <v>981</v>
      </c>
      <c r="C410" s="208"/>
      <c r="D410" s="209"/>
      <c r="E410" s="59"/>
      <c r="F410" s="59"/>
      <c r="G410" s="59"/>
      <c r="H410" s="59"/>
      <c r="I410" s="59"/>
      <c r="J410" s="59"/>
      <c r="K410" s="59"/>
      <c r="L410" s="59"/>
      <c r="M410" s="59"/>
    </row>
    <row r="411" spans="1:14">
      <c r="C411" s="208"/>
      <c r="D411" s="209"/>
      <c r="E411" s="59"/>
      <c r="F411" s="59"/>
      <c r="G411" s="59"/>
      <c r="H411" s="59"/>
      <c r="I411" s="59"/>
      <c r="J411" s="59"/>
      <c r="K411" s="59"/>
      <c r="L411" s="59"/>
      <c r="M411" s="59"/>
    </row>
    <row r="412" spans="1:14">
      <c r="C412" s="208"/>
      <c r="D412" s="209"/>
      <c r="E412" s="59"/>
      <c r="F412" s="59"/>
      <c r="G412" s="59"/>
      <c r="H412" s="59"/>
      <c r="I412" s="59"/>
      <c r="J412" s="59"/>
      <c r="K412" s="59"/>
      <c r="L412" s="59"/>
      <c r="M412" s="59"/>
    </row>
    <row r="413" spans="1:14">
      <c r="B413" s="59" t="s">
        <v>681</v>
      </c>
      <c r="C413" s="208"/>
      <c r="D413" s="209"/>
      <c r="E413" s="59"/>
      <c r="F413" s="59"/>
      <c r="G413" s="59"/>
      <c r="H413" s="59"/>
      <c r="I413" s="59"/>
      <c r="J413" s="59"/>
      <c r="K413" s="59"/>
      <c r="L413" s="59"/>
      <c r="M413" s="59"/>
    </row>
    <row r="414" spans="1:14">
      <c r="C414" s="208"/>
      <c r="D414" s="209"/>
      <c r="E414" s="59"/>
      <c r="F414" s="59"/>
      <c r="G414" s="59"/>
      <c r="H414" s="59"/>
      <c r="I414" s="59"/>
      <c r="J414" s="59"/>
      <c r="K414" s="59"/>
      <c r="L414" s="59"/>
      <c r="M414" s="59"/>
    </row>
  </sheetData>
  <mergeCells count="10">
    <mergeCell ref="E8:F8"/>
    <mergeCell ref="H8:I8"/>
    <mergeCell ref="J8:K8"/>
    <mergeCell ref="M8:N8"/>
    <mergeCell ref="E1:N1"/>
    <mergeCell ref="E6:I6"/>
    <mergeCell ref="J6:N6"/>
    <mergeCell ref="A7:D7"/>
    <mergeCell ref="E7:I7"/>
    <mergeCell ref="J7:N7"/>
  </mergeCells>
  <conditionalFormatting sqref="E406:H406 J406:L406">
    <cfRule type="cellIs" dxfId="9" priority="3" stopIfTrue="1" operator="lessThan">
      <formula>0</formula>
    </cfRule>
  </conditionalFormatting>
  <conditionalFormatting sqref="G10:G404 L10:L404">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2300F7B5-58ED-431B-8ADC-405AB52B7F39}">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C410:C414</xm:sqref>
        </x14:conditionalFormatting>
        <x14:conditionalFormatting xmlns:xm="http://schemas.microsoft.com/office/excel/2006/main">
          <x14:cfRule type="iconSet" priority="2" id="{3629B219-496E-4526-9DCE-310F9C4F78E6}">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C415:C1048576 C1:C5 C8:C409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61" activePane="bottomLeft" state="frozen"/>
      <selection activeCell="D49" sqref="D49"/>
      <selection pane="bottomLeft" activeCell="D66" sqref="D66"/>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459</v>
      </c>
      <c r="C2" s="56"/>
      <c r="D2" s="56"/>
      <c r="E2" s="56"/>
      <c r="F2" s="56"/>
      <c r="G2" s="56"/>
      <c r="H2"/>
      <c r="I2"/>
    </row>
    <row r="4" spans="1:9">
      <c r="A4" s="55" t="s">
        <v>460</v>
      </c>
      <c r="B4" s="22"/>
      <c r="C4" s="65"/>
      <c r="D4" s="65"/>
      <c r="E4" s="22"/>
      <c r="F4" s="228" t="s">
        <v>455</v>
      </c>
      <c r="G4" s="228"/>
      <c r="H4" s="228"/>
      <c r="I4" s="228"/>
    </row>
    <row r="5" spans="1:9">
      <c r="A5" s="103"/>
      <c r="B5" s="248" t="s">
        <v>538</v>
      </c>
      <c r="C5" s="249"/>
      <c r="D5" s="248" t="s">
        <v>538</v>
      </c>
      <c r="E5" s="249"/>
      <c r="F5" s="250" t="s">
        <v>539</v>
      </c>
      <c r="G5" s="251"/>
      <c r="H5" s="252" t="s">
        <v>540</v>
      </c>
      <c r="I5" s="253"/>
    </row>
    <row r="6" spans="1:9">
      <c r="A6" s="103" t="s">
        <v>565</v>
      </c>
      <c r="B6" s="104" t="str">
        <f>Innehåll!D79</f>
        <v xml:space="preserve"> 2023-06</v>
      </c>
      <c r="C6" s="104" t="str">
        <f>Innehåll!D80</f>
        <v xml:space="preserve"> 2022-06</v>
      </c>
      <c r="D6" s="104" t="str">
        <f>Innehåll!D81</f>
        <v>YTD  2023</v>
      </c>
      <c r="E6" s="104" t="str">
        <f>Innehåll!D82</f>
        <v>YTD  2022</v>
      </c>
      <c r="F6" s="105" t="str">
        <f>B6</f>
        <v xml:space="preserve"> 2023-06</v>
      </c>
      <c r="G6" s="106" t="str">
        <f>D6</f>
        <v>YTD  2023</v>
      </c>
      <c r="H6" s="107" t="str">
        <f>D6</f>
        <v>YTD  2023</v>
      </c>
      <c r="I6" s="107" t="str">
        <f>E6</f>
        <v>YTD  2022</v>
      </c>
    </row>
    <row r="7" spans="1:9" hidden="1">
      <c r="A7" s="165" t="s">
        <v>329</v>
      </c>
      <c r="B7" s="135" t="s">
        <v>308</v>
      </c>
      <c r="C7" s="135" t="s">
        <v>309</v>
      </c>
      <c r="D7" s="135" t="s">
        <v>310</v>
      </c>
      <c r="E7" s="135" t="s">
        <v>311</v>
      </c>
      <c r="F7" s="135" t="s">
        <v>324</v>
      </c>
      <c r="G7" s="135" t="s">
        <v>325</v>
      </c>
      <c r="H7" s="135" t="s">
        <v>312</v>
      </c>
      <c r="I7" s="135" t="s">
        <v>313</v>
      </c>
    </row>
    <row r="8" spans="1:9">
      <c r="A8" s="166" t="s">
        <v>1018</v>
      </c>
      <c r="B8" s="142">
        <v>252</v>
      </c>
      <c r="C8" s="142">
        <v>376</v>
      </c>
      <c r="D8" s="142">
        <v>1403</v>
      </c>
      <c r="E8" s="142">
        <v>1935</v>
      </c>
      <c r="F8" s="144">
        <v>-32.978723404255319</v>
      </c>
      <c r="G8" s="144">
        <v>-27.493540051679588</v>
      </c>
      <c r="H8" s="144">
        <v>0.99</v>
      </c>
      <c r="I8" s="144">
        <v>1.3399999999999999</v>
      </c>
    </row>
    <row r="9" spans="1:9">
      <c r="A9" s="167" t="s">
        <v>259</v>
      </c>
      <c r="B9" s="142">
        <v>5</v>
      </c>
      <c r="C9" s="142">
        <v>1</v>
      </c>
      <c r="D9" s="142">
        <v>170</v>
      </c>
      <c r="E9" s="142">
        <v>32</v>
      </c>
      <c r="F9" s="144">
        <v>400</v>
      </c>
      <c r="G9" s="144">
        <v>431.25</v>
      </c>
      <c r="H9" s="144">
        <v>0.12</v>
      </c>
      <c r="I9" s="144">
        <v>0.02</v>
      </c>
    </row>
    <row r="10" spans="1:9">
      <c r="A10" s="167" t="s">
        <v>266</v>
      </c>
      <c r="B10" s="142">
        <v>229</v>
      </c>
      <c r="C10" s="142">
        <v>325</v>
      </c>
      <c r="D10" s="142">
        <v>1131</v>
      </c>
      <c r="E10" s="142">
        <v>1668</v>
      </c>
      <c r="F10" s="144">
        <v>-29.53846153846154</v>
      </c>
      <c r="G10" s="144">
        <v>-32.194244604316545</v>
      </c>
      <c r="H10" s="144">
        <v>0.8</v>
      </c>
      <c r="I10" s="144">
        <v>1.1599999999999999</v>
      </c>
    </row>
    <row r="11" spans="1:9">
      <c r="A11" s="167" t="s">
        <v>272</v>
      </c>
      <c r="B11" s="142">
        <v>18</v>
      </c>
      <c r="C11" s="142">
        <v>50</v>
      </c>
      <c r="D11" s="142">
        <v>102</v>
      </c>
      <c r="E11" s="142">
        <v>235</v>
      </c>
      <c r="F11" s="144">
        <v>-64</v>
      </c>
      <c r="G11" s="144">
        <v>-56.59574468085107</v>
      </c>
      <c r="H11" s="144">
        <v>7.0000000000000007E-2</v>
      </c>
      <c r="I11" s="144">
        <v>0.16</v>
      </c>
    </row>
    <row r="12" spans="1:9">
      <c r="A12" s="166" t="s">
        <v>314</v>
      </c>
      <c r="B12" s="142">
        <v>41</v>
      </c>
      <c r="C12" s="142">
        <v>60</v>
      </c>
      <c r="D12" s="142">
        <v>216</v>
      </c>
      <c r="E12" s="142">
        <v>350</v>
      </c>
      <c r="F12" s="144">
        <v>-31.666666666666664</v>
      </c>
      <c r="G12" s="144">
        <v>-38.285714285714285</v>
      </c>
      <c r="H12" s="144">
        <v>0.15</v>
      </c>
      <c r="I12" s="144">
        <v>0.24</v>
      </c>
    </row>
    <row r="13" spans="1:9">
      <c r="A13" s="167" t="s">
        <v>271</v>
      </c>
      <c r="B13" s="142">
        <v>5</v>
      </c>
      <c r="C13" s="142">
        <v>12</v>
      </c>
      <c r="D13" s="142">
        <v>32</v>
      </c>
      <c r="E13" s="142">
        <v>73</v>
      </c>
      <c r="F13" s="144">
        <v>-58.333333333333336</v>
      </c>
      <c r="G13" s="144">
        <v>-56.164383561643838</v>
      </c>
      <c r="H13" s="144">
        <v>0.02</v>
      </c>
      <c r="I13" s="144">
        <v>0.05</v>
      </c>
    </row>
    <row r="14" spans="1:9">
      <c r="A14" s="167" t="s">
        <v>275</v>
      </c>
      <c r="B14" s="142">
        <v>36</v>
      </c>
      <c r="C14" s="142">
        <v>48</v>
      </c>
      <c r="D14" s="142">
        <v>184</v>
      </c>
      <c r="E14" s="142">
        <v>277</v>
      </c>
      <c r="F14" s="144">
        <v>-25</v>
      </c>
      <c r="G14" s="144">
        <v>-33.574007220216608</v>
      </c>
      <c r="H14" s="144">
        <v>0.13</v>
      </c>
      <c r="I14" s="144">
        <v>0.19</v>
      </c>
    </row>
    <row r="15" spans="1:9">
      <c r="A15" s="166" t="s">
        <v>315</v>
      </c>
      <c r="B15" s="142">
        <v>1437</v>
      </c>
      <c r="C15" s="142">
        <v>1550</v>
      </c>
      <c r="D15" s="142">
        <v>8836</v>
      </c>
      <c r="E15" s="142">
        <v>10239</v>
      </c>
      <c r="F15" s="144">
        <v>-7.2903225806451619</v>
      </c>
      <c r="G15" s="144">
        <v>-13.702510010743238</v>
      </c>
      <c r="H15" s="144">
        <v>6.28</v>
      </c>
      <c r="I15" s="144">
        <v>7.1</v>
      </c>
    </row>
    <row r="16" spans="1:9">
      <c r="A16" s="167" t="s">
        <v>262</v>
      </c>
      <c r="B16" s="142">
        <v>1278</v>
      </c>
      <c r="C16" s="142">
        <v>1376</v>
      </c>
      <c r="D16" s="142">
        <v>7784</v>
      </c>
      <c r="E16" s="142">
        <v>8895</v>
      </c>
      <c r="F16" s="144">
        <v>-7.1220930232558137</v>
      </c>
      <c r="G16" s="144">
        <v>-12.49016301292861</v>
      </c>
      <c r="H16" s="144">
        <v>5.53</v>
      </c>
      <c r="I16" s="144">
        <v>6.17</v>
      </c>
    </row>
    <row r="17" spans="1:9">
      <c r="A17" s="167" t="s">
        <v>280</v>
      </c>
      <c r="B17" s="142">
        <v>159</v>
      </c>
      <c r="C17" s="142">
        <v>174</v>
      </c>
      <c r="D17" s="142">
        <v>1052</v>
      </c>
      <c r="E17" s="142">
        <v>1344</v>
      </c>
      <c r="F17" s="144">
        <v>-8.6206896551724146</v>
      </c>
      <c r="G17" s="144">
        <v>-21.726190476190478</v>
      </c>
      <c r="H17" s="144">
        <v>0.75</v>
      </c>
      <c r="I17" s="144">
        <v>0.93</v>
      </c>
    </row>
    <row r="18" spans="1:9">
      <c r="A18" s="166" t="s">
        <v>1070</v>
      </c>
      <c r="B18" s="142">
        <v>0</v>
      </c>
      <c r="C18" s="142">
        <v>2</v>
      </c>
      <c r="D18" s="142">
        <v>7</v>
      </c>
      <c r="E18" s="142">
        <v>4</v>
      </c>
      <c r="F18" s="144">
        <v>-100</v>
      </c>
      <c r="G18" s="144">
        <v>75</v>
      </c>
      <c r="H18" s="144">
        <v>0</v>
      </c>
      <c r="I18" s="144">
        <v>0</v>
      </c>
    </row>
    <row r="19" spans="1:9">
      <c r="A19" s="167" t="s">
        <v>674</v>
      </c>
      <c r="B19" s="142">
        <v>0</v>
      </c>
      <c r="C19" s="142">
        <v>2</v>
      </c>
      <c r="D19" s="142">
        <v>7</v>
      </c>
      <c r="E19" s="142">
        <v>4</v>
      </c>
      <c r="F19" s="144">
        <v>-100</v>
      </c>
      <c r="G19" s="144">
        <v>75</v>
      </c>
      <c r="H19" s="144">
        <v>0</v>
      </c>
      <c r="I19" s="144">
        <v>0</v>
      </c>
    </row>
    <row r="20" spans="1:9">
      <c r="A20" s="166" t="s">
        <v>1058</v>
      </c>
      <c r="B20" s="142">
        <v>2260</v>
      </c>
      <c r="C20" s="142">
        <v>2586</v>
      </c>
      <c r="D20" s="142">
        <v>12260</v>
      </c>
      <c r="E20" s="142">
        <v>13218</v>
      </c>
      <c r="F20" s="144">
        <v>-12.606341840680587</v>
      </c>
      <c r="G20" s="144">
        <v>-7.2476925404751089</v>
      </c>
      <c r="H20" s="144">
        <v>8.6999999999999993</v>
      </c>
      <c r="I20" s="144">
        <v>9.1699999999999982</v>
      </c>
    </row>
    <row r="21" spans="1:9">
      <c r="A21" s="167" t="s">
        <v>265</v>
      </c>
      <c r="B21" s="142">
        <v>348</v>
      </c>
      <c r="C21" s="142">
        <v>221</v>
      </c>
      <c r="D21" s="142">
        <v>1637</v>
      </c>
      <c r="E21" s="142">
        <v>1531</v>
      </c>
      <c r="F21" s="144">
        <v>57.466063348416284</v>
      </c>
      <c r="G21" s="144">
        <v>6.9235793598954931</v>
      </c>
      <c r="H21" s="144">
        <v>1.1599999999999999</v>
      </c>
      <c r="I21" s="144">
        <v>1.06</v>
      </c>
    </row>
    <row r="22" spans="1:9">
      <c r="A22" s="167" t="s">
        <v>267</v>
      </c>
      <c r="B22" s="142">
        <v>466</v>
      </c>
      <c r="C22" s="142">
        <v>973</v>
      </c>
      <c r="D22" s="142">
        <v>3447</v>
      </c>
      <c r="E22" s="142">
        <v>5452</v>
      </c>
      <c r="F22" s="144">
        <v>-52.106885919835555</v>
      </c>
      <c r="G22" s="144">
        <v>-36.775495231107854</v>
      </c>
      <c r="H22" s="144">
        <v>2.4500000000000002</v>
      </c>
      <c r="I22" s="144">
        <v>3.78</v>
      </c>
    </row>
    <row r="23" spans="1:9">
      <c r="A23" s="167" t="s">
        <v>287</v>
      </c>
      <c r="B23" s="142">
        <v>705</v>
      </c>
      <c r="C23" s="142">
        <v>448</v>
      </c>
      <c r="D23" s="142">
        <v>2855</v>
      </c>
      <c r="E23" s="142">
        <v>2916</v>
      </c>
      <c r="F23" s="144">
        <v>57.366071428571431</v>
      </c>
      <c r="G23" s="144">
        <v>-2.0919067215363509</v>
      </c>
      <c r="H23" s="144">
        <v>2.0299999999999998</v>
      </c>
      <c r="I23" s="144">
        <v>2.02</v>
      </c>
    </row>
    <row r="24" spans="1:9">
      <c r="A24" s="167" t="s">
        <v>555</v>
      </c>
      <c r="B24" s="142">
        <v>2</v>
      </c>
      <c r="C24" s="142">
        <v>2</v>
      </c>
      <c r="D24" s="142">
        <v>4</v>
      </c>
      <c r="E24" s="142">
        <v>8</v>
      </c>
      <c r="F24" s="144">
        <v>0</v>
      </c>
      <c r="G24" s="144">
        <v>-50</v>
      </c>
      <c r="H24" s="144">
        <v>0</v>
      </c>
      <c r="I24" s="144">
        <v>0.01</v>
      </c>
    </row>
    <row r="25" spans="1:9">
      <c r="A25" s="167" t="s">
        <v>592</v>
      </c>
      <c r="B25" s="142">
        <v>414</v>
      </c>
      <c r="C25" s="142">
        <v>942</v>
      </c>
      <c r="D25" s="142">
        <v>3536</v>
      </c>
      <c r="E25" s="142">
        <v>3311</v>
      </c>
      <c r="F25" s="144">
        <v>-56.050955414012741</v>
      </c>
      <c r="G25" s="144">
        <v>6.7955300513440049</v>
      </c>
      <c r="H25" s="144">
        <v>2.5099999999999998</v>
      </c>
      <c r="I25" s="144">
        <v>2.2999999999999998</v>
      </c>
    </row>
    <row r="26" spans="1:9">
      <c r="A26" s="167" t="s">
        <v>677</v>
      </c>
      <c r="B26" s="142">
        <v>307</v>
      </c>
      <c r="C26" s="142">
        <v>0</v>
      </c>
      <c r="D26" s="142">
        <v>722</v>
      </c>
      <c r="E26" s="142">
        <v>0</v>
      </c>
      <c r="F26" s="144">
        <v>0</v>
      </c>
      <c r="G26" s="144">
        <v>0</v>
      </c>
      <c r="H26" s="144">
        <v>0.51</v>
      </c>
      <c r="I26" s="144">
        <v>0</v>
      </c>
    </row>
    <row r="27" spans="1:9">
      <c r="A27" s="167" t="s">
        <v>1055</v>
      </c>
      <c r="B27" s="142">
        <v>11</v>
      </c>
      <c r="C27" s="142">
        <v>0</v>
      </c>
      <c r="D27" s="142">
        <v>40</v>
      </c>
      <c r="E27" s="142">
        <v>0</v>
      </c>
      <c r="F27" s="144">
        <v>0</v>
      </c>
      <c r="G27" s="144">
        <v>0</v>
      </c>
      <c r="H27" s="144">
        <v>0.03</v>
      </c>
      <c r="I27" s="144">
        <v>0</v>
      </c>
    </row>
    <row r="28" spans="1:9">
      <c r="A28" s="167" t="s">
        <v>1235</v>
      </c>
      <c r="B28" s="142">
        <v>7</v>
      </c>
      <c r="C28" s="142">
        <v>0</v>
      </c>
      <c r="D28" s="142">
        <v>19</v>
      </c>
      <c r="E28" s="142">
        <v>0</v>
      </c>
      <c r="F28" s="144">
        <v>0</v>
      </c>
      <c r="G28" s="144">
        <v>0</v>
      </c>
      <c r="H28" s="144">
        <v>0.01</v>
      </c>
      <c r="I28" s="144">
        <v>0</v>
      </c>
    </row>
    <row r="29" spans="1:9">
      <c r="A29" s="166" t="s">
        <v>316</v>
      </c>
      <c r="B29" s="142">
        <v>62</v>
      </c>
      <c r="C29" s="142">
        <v>69</v>
      </c>
      <c r="D29" s="142">
        <v>328</v>
      </c>
      <c r="E29" s="142">
        <v>699</v>
      </c>
      <c r="F29" s="144">
        <v>-10.144927536231885</v>
      </c>
      <c r="G29" s="144">
        <v>-53.075822603719601</v>
      </c>
      <c r="H29" s="144">
        <v>0.23</v>
      </c>
      <c r="I29" s="144">
        <v>0.48</v>
      </c>
    </row>
    <row r="30" spans="1:9">
      <c r="A30" s="167" t="s">
        <v>268</v>
      </c>
      <c r="B30" s="142">
        <v>62</v>
      </c>
      <c r="C30" s="142">
        <v>69</v>
      </c>
      <c r="D30" s="142">
        <v>328</v>
      </c>
      <c r="E30" s="142">
        <v>699</v>
      </c>
      <c r="F30" s="144">
        <v>-10.144927536231885</v>
      </c>
      <c r="G30" s="144">
        <v>-53.075822603719601</v>
      </c>
      <c r="H30" s="144">
        <v>0.23</v>
      </c>
      <c r="I30" s="144">
        <v>0.48</v>
      </c>
    </row>
    <row r="31" spans="1:9">
      <c r="A31" s="166" t="s">
        <v>463</v>
      </c>
      <c r="B31" s="142">
        <v>497</v>
      </c>
      <c r="C31" s="142">
        <v>330</v>
      </c>
      <c r="D31" s="142">
        <v>2611</v>
      </c>
      <c r="E31" s="142">
        <v>2818</v>
      </c>
      <c r="F31" s="144">
        <v>50.606060606060609</v>
      </c>
      <c r="G31" s="144">
        <v>-7.3456352022711142</v>
      </c>
      <c r="H31" s="144">
        <v>1.86</v>
      </c>
      <c r="I31" s="144">
        <v>1.95</v>
      </c>
    </row>
    <row r="32" spans="1:9">
      <c r="A32" s="167" t="s">
        <v>269</v>
      </c>
      <c r="B32" s="142">
        <v>497</v>
      </c>
      <c r="C32" s="142">
        <v>330</v>
      </c>
      <c r="D32" s="142">
        <v>2611</v>
      </c>
      <c r="E32" s="142">
        <v>2818</v>
      </c>
      <c r="F32" s="144">
        <v>50.606060606060609</v>
      </c>
      <c r="G32" s="144">
        <v>-7.3456352022711142</v>
      </c>
      <c r="H32" s="144">
        <v>1.86</v>
      </c>
      <c r="I32" s="144">
        <v>1.95</v>
      </c>
    </row>
    <row r="33" spans="1:9">
      <c r="A33" s="166" t="s">
        <v>1030</v>
      </c>
      <c r="B33" s="142">
        <v>279</v>
      </c>
      <c r="C33" s="142">
        <v>98</v>
      </c>
      <c r="D33" s="142">
        <v>1481</v>
      </c>
      <c r="E33" s="142">
        <v>1092</v>
      </c>
      <c r="F33" s="144">
        <v>184.69387755102039</v>
      </c>
      <c r="G33" s="144">
        <v>35.62271062271062</v>
      </c>
      <c r="H33" s="144">
        <v>1.06</v>
      </c>
      <c r="I33" s="144">
        <v>0.76</v>
      </c>
    </row>
    <row r="34" spans="1:9">
      <c r="A34" s="167" t="s">
        <v>290</v>
      </c>
      <c r="B34" s="142">
        <v>250</v>
      </c>
      <c r="C34" s="142">
        <v>98</v>
      </c>
      <c r="D34" s="142">
        <v>1400</v>
      </c>
      <c r="E34" s="142">
        <v>1092</v>
      </c>
      <c r="F34" s="144">
        <v>155.10204081632654</v>
      </c>
      <c r="G34" s="144">
        <v>28.205128205128204</v>
      </c>
      <c r="H34" s="144">
        <v>1</v>
      </c>
      <c r="I34" s="144">
        <v>0.76</v>
      </c>
    </row>
    <row r="35" spans="1:9">
      <c r="A35" s="167" t="s">
        <v>1043</v>
      </c>
      <c r="B35" s="142">
        <v>29</v>
      </c>
      <c r="C35" s="142">
        <v>0</v>
      </c>
      <c r="D35" s="142">
        <v>81</v>
      </c>
      <c r="E35" s="142">
        <v>0</v>
      </c>
      <c r="F35" s="144">
        <v>0</v>
      </c>
      <c r="G35" s="144">
        <v>0</v>
      </c>
      <c r="H35" s="144">
        <v>0.06</v>
      </c>
      <c r="I35" s="144">
        <v>0</v>
      </c>
    </row>
    <row r="36" spans="1:9">
      <c r="A36" s="166" t="s">
        <v>270</v>
      </c>
      <c r="B36" s="142">
        <v>6</v>
      </c>
      <c r="C36" s="142">
        <v>6</v>
      </c>
      <c r="D36" s="142">
        <v>23</v>
      </c>
      <c r="E36" s="142">
        <v>23</v>
      </c>
      <c r="F36" s="144">
        <v>0</v>
      </c>
      <c r="G36" s="144">
        <v>0</v>
      </c>
      <c r="H36" s="144">
        <v>0.02</v>
      </c>
      <c r="I36" s="144">
        <v>0.02</v>
      </c>
    </row>
    <row r="37" spans="1:9">
      <c r="A37" s="167" t="s">
        <v>270</v>
      </c>
      <c r="B37" s="142">
        <v>6</v>
      </c>
      <c r="C37" s="142">
        <v>6</v>
      </c>
      <c r="D37" s="142">
        <v>23</v>
      </c>
      <c r="E37" s="142">
        <v>23</v>
      </c>
      <c r="F37" s="144">
        <v>0</v>
      </c>
      <c r="G37" s="144">
        <v>0</v>
      </c>
      <c r="H37" s="144">
        <v>0.02</v>
      </c>
      <c r="I37" s="144">
        <v>0.02</v>
      </c>
    </row>
    <row r="38" spans="1:9">
      <c r="A38" s="166" t="s">
        <v>557</v>
      </c>
      <c r="B38" s="142">
        <v>2167</v>
      </c>
      <c r="C38" s="142">
        <v>3257</v>
      </c>
      <c r="D38" s="142">
        <v>11473</v>
      </c>
      <c r="E38" s="142">
        <v>16702</v>
      </c>
      <c r="F38" s="144">
        <v>-33.466380104390545</v>
      </c>
      <c r="G38" s="144">
        <v>-31.307627829002517</v>
      </c>
      <c r="H38" s="144">
        <v>8.16</v>
      </c>
      <c r="I38" s="144">
        <v>11.58</v>
      </c>
    </row>
    <row r="39" spans="1:9">
      <c r="A39" s="167" t="s">
        <v>273</v>
      </c>
      <c r="B39" s="142">
        <v>2167</v>
      </c>
      <c r="C39" s="142">
        <v>3257</v>
      </c>
      <c r="D39" s="142">
        <v>11473</v>
      </c>
      <c r="E39" s="142">
        <v>16702</v>
      </c>
      <c r="F39" s="144">
        <v>-33.466380104390545</v>
      </c>
      <c r="G39" s="144">
        <v>-31.307627829002517</v>
      </c>
      <c r="H39" s="144">
        <v>8.16</v>
      </c>
      <c r="I39" s="144">
        <v>11.58</v>
      </c>
    </row>
    <row r="40" spans="1:9">
      <c r="A40" s="166" t="s">
        <v>462</v>
      </c>
      <c r="B40" s="142">
        <v>1574</v>
      </c>
      <c r="C40" s="142">
        <v>1198</v>
      </c>
      <c r="D40" s="142">
        <v>7537</v>
      </c>
      <c r="E40" s="142">
        <v>7780</v>
      </c>
      <c r="F40" s="144">
        <v>31.385642737896497</v>
      </c>
      <c r="G40" s="144">
        <v>-3.1233933161953726</v>
      </c>
      <c r="H40" s="144">
        <v>5.3599999999999994</v>
      </c>
      <c r="I40" s="144">
        <v>5.3900000000000006</v>
      </c>
    </row>
    <row r="41" spans="1:9">
      <c r="A41" s="167" t="s">
        <v>264</v>
      </c>
      <c r="B41" s="142">
        <v>527</v>
      </c>
      <c r="C41" s="142">
        <v>484</v>
      </c>
      <c r="D41" s="142">
        <v>1888</v>
      </c>
      <c r="E41" s="142">
        <v>1877</v>
      </c>
      <c r="F41" s="144">
        <v>8.884297520661157</v>
      </c>
      <c r="G41" s="144">
        <v>0.58604155567394778</v>
      </c>
      <c r="H41" s="144">
        <v>1.34</v>
      </c>
      <c r="I41" s="144">
        <v>1.3</v>
      </c>
    </row>
    <row r="42" spans="1:9">
      <c r="A42" s="167" t="s">
        <v>297</v>
      </c>
      <c r="B42" s="142">
        <v>40</v>
      </c>
      <c r="C42" s="142">
        <v>46</v>
      </c>
      <c r="D42" s="142">
        <v>240</v>
      </c>
      <c r="E42" s="142">
        <v>276</v>
      </c>
      <c r="F42" s="144">
        <v>-13.043478260869565</v>
      </c>
      <c r="G42" s="144">
        <v>-13.043478260869565</v>
      </c>
      <c r="H42" s="144">
        <v>0.17</v>
      </c>
      <c r="I42" s="144">
        <v>0.19</v>
      </c>
    </row>
    <row r="43" spans="1:9">
      <c r="A43" s="167" t="s">
        <v>284</v>
      </c>
      <c r="B43" s="142">
        <v>349</v>
      </c>
      <c r="C43" s="142">
        <v>193</v>
      </c>
      <c r="D43" s="142">
        <v>1472</v>
      </c>
      <c r="E43" s="142">
        <v>1678</v>
      </c>
      <c r="F43" s="144">
        <v>80.829015544041454</v>
      </c>
      <c r="G43" s="144">
        <v>-12.276519666269369</v>
      </c>
      <c r="H43" s="144">
        <v>1.05</v>
      </c>
      <c r="I43" s="144">
        <v>1.1599999999999999</v>
      </c>
    </row>
    <row r="44" spans="1:9">
      <c r="A44" s="167" t="s">
        <v>285</v>
      </c>
      <c r="B44" s="142">
        <v>658</v>
      </c>
      <c r="C44" s="142">
        <v>475</v>
      </c>
      <c r="D44" s="142">
        <v>3937</v>
      </c>
      <c r="E44" s="142">
        <v>3949</v>
      </c>
      <c r="F44" s="144">
        <v>38.526315789473685</v>
      </c>
      <c r="G44" s="144">
        <v>-0.3038743985819195</v>
      </c>
      <c r="H44" s="144">
        <v>2.8</v>
      </c>
      <c r="I44" s="144">
        <v>2.74</v>
      </c>
    </row>
    <row r="45" spans="1:9">
      <c r="A45" s="166" t="s">
        <v>633</v>
      </c>
      <c r="B45" s="142">
        <v>170</v>
      </c>
      <c r="C45" s="142">
        <v>91</v>
      </c>
      <c r="D45" s="142">
        <v>447</v>
      </c>
      <c r="E45" s="142">
        <v>363</v>
      </c>
      <c r="F45" s="144">
        <v>86.813186813186817</v>
      </c>
      <c r="G45" s="144">
        <v>23.140495867768596</v>
      </c>
      <c r="H45" s="144">
        <v>0.32</v>
      </c>
      <c r="I45" s="144">
        <v>0.25</v>
      </c>
    </row>
    <row r="46" spans="1:9">
      <c r="A46" s="167" t="s">
        <v>281</v>
      </c>
      <c r="B46" s="142">
        <v>170</v>
      </c>
      <c r="C46" s="142">
        <v>91</v>
      </c>
      <c r="D46" s="142">
        <v>447</v>
      </c>
      <c r="E46" s="142">
        <v>363</v>
      </c>
      <c r="F46" s="144">
        <v>86.813186813186817</v>
      </c>
      <c r="G46" s="144">
        <v>23.140495867768596</v>
      </c>
      <c r="H46" s="144">
        <v>0.32</v>
      </c>
      <c r="I46" s="144">
        <v>0.25</v>
      </c>
    </row>
    <row r="47" spans="1:9">
      <c r="A47" s="166" t="s">
        <v>1108</v>
      </c>
      <c r="B47" s="142">
        <v>0</v>
      </c>
      <c r="C47" s="142">
        <v>2</v>
      </c>
      <c r="D47" s="142">
        <v>1</v>
      </c>
      <c r="E47" s="142">
        <v>5</v>
      </c>
      <c r="F47" s="144">
        <v>-100</v>
      </c>
      <c r="G47" s="144">
        <v>-80</v>
      </c>
      <c r="H47" s="144">
        <v>0</v>
      </c>
      <c r="I47" s="144">
        <v>0</v>
      </c>
    </row>
    <row r="48" spans="1:9">
      <c r="A48" s="167" t="s">
        <v>1108</v>
      </c>
      <c r="B48" s="142">
        <v>0</v>
      </c>
      <c r="C48" s="142">
        <v>2</v>
      </c>
      <c r="D48" s="142">
        <v>1</v>
      </c>
      <c r="E48" s="142">
        <v>5</v>
      </c>
      <c r="F48" s="144">
        <v>-100</v>
      </c>
      <c r="G48" s="144">
        <v>-80</v>
      </c>
      <c r="H48" s="144">
        <v>0</v>
      </c>
      <c r="I48" s="144">
        <v>0</v>
      </c>
    </row>
    <row r="49" spans="1:9">
      <c r="A49" s="166" t="s">
        <v>317</v>
      </c>
      <c r="B49" s="142">
        <v>160</v>
      </c>
      <c r="C49" s="142">
        <v>130</v>
      </c>
      <c r="D49" s="142">
        <v>586</v>
      </c>
      <c r="E49" s="142">
        <v>984</v>
      </c>
      <c r="F49" s="144">
        <v>23.076923076923077</v>
      </c>
      <c r="G49" s="144">
        <v>-40.447154471544714</v>
      </c>
      <c r="H49" s="144">
        <v>0.42</v>
      </c>
      <c r="I49" s="144">
        <v>0.68</v>
      </c>
    </row>
    <row r="50" spans="1:9">
      <c r="A50" s="167" t="s">
        <v>291</v>
      </c>
      <c r="B50" s="142">
        <v>160</v>
      </c>
      <c r="C50" s="142">
        <v>130</v>
      </c>
      <c r="D50" s="142">
        <v>586</v>
      </c>
      <c r="E50" s="142">
        <v>984</v>
      </c>
      <c r="F50" s="144">
        <v>23.076923076923077</v>
      </c>
      <c r="G50" s="144">
        <v>-40.447154471544714</v>
      </c>
      <c r="H50" s="144">
        <v>0.42</v>
      </c>
      <c r="I50" s="144">
        <v>0.68</v>
      </c>
    </row>
    <row r="51" spans="1:9">
      <c r="A51" s="166" t="s">
        <v>577</v>
      </c>
      <c r="B51" s="142">
        <v>200</v>
      </c>
      <c r="C51" s="142">
        <v>139</v>
      </c>
      <c r="D51" s="142">
        <v>986</v>
      </c>
      <c r="E51" s="142">
        <v>1097</v>
      </c>
      <c r="F51" s="144">
        <v>43.884892086330936</v>
      </c>
      <c r="G51" s="144">
        <v>-10.118505013673655</v>
      </c>
      <c r="H51" s="144">
        <v>0.7</v>
      </c>
      <c r="I51" s="144">
        <v>0.76</v>
      </c>
    </row>
    <row r="52" spans="1:9">
      <c r="A52" s="167" t="s">
        <v>577</v>
      </c>
      <c r="B52" s="142">
        <v>200</v>
      </c>
      <c r="C52" s="142">
        <v>139</v>
      </c>
      <c r="D52" s="142">
        <v>986</v>
      </c>
      <c r="E52" s="142">
        <v>1097</v>
      </c>
      <c r="F52" s="144">
        <v>43.884892086330936</v>
      </c>
      <c r="G52" s="144">
        <v>-10.118505013673655</v>
      </c>
      <c r="H52" s="144">
        <v>0.7</v>
      </c>
      <c r="I52" s="144">
        <v>0.76</v>
      </c>
    </row>
    <row r="53" spans="1:9">
      <c r="A53" s="166" t="s">
        <v>318</v>
      </c>
      <c r="B53" s="142">
        <v>176</v>
      </c>
      <c r="C53" s="142">
        <v>118</v>
      </c>
      <c r="D53" s="142">
        <v>1954</v>
      </c>
      <c r="E53" s="142">
        <v>766</v>
      </c>
      <c r="F53" s="144">
        <v>49.152542372881356</v>
      </c>
      <c r="G53" s="144">
        <v>155.09138381201043</v>
      </c>
      <c r="H53" s="144">
        <v>1.39</v>
      </c>
      <c r="I53" s="144">
        <v>0.53</v>
      </c>
    </row>
    <row r="54" spans="1:9">
      <c r="A54" s="167" t="s">
        <v>278</v>
      </c>
      <c r="B54" s="142">
        <v>176</v>
      </c>
      <c r="C54" s="142">
        <v>118</v>
      </c>
      <c r="D54" s="142">
        <v>1954</v>
      </c>
      <c r="E54" s="142">
        <v>766</v>
      </c>
      <c r="F54" s="144">
        <v>49.152542372881356</v>
      </c>
      <c r="G54" s="144">
        <v>155.09138381201043</v>
      </c>
      <c r="H54" s="144">
        <v>1.39</v>
      </c>
      <c r="I54" s="144">
        <v>0.53</v>
      </c>
    </row>
    <row r="55" spans="1:9">
      <c r="A55" s="166" t="s">
        <v>352</v>
      </c>
      <c r="B55" s="142">
        <v>1531</v>
      </c>
      <c r="C55" s="142">
        <v>1882</v>
      </c>
      <c r="D55" s="142">
        <v>7253</v>
      </c>
      <c r="E55" s="142">
        <v>7927</v>
      </c>
      <c r="F55" s="144">
        <v>-18.650371944739639</v>
      </c>
      <c r="G55" s="144">
        <v>-8.5025860981455779</v>
      </c>
      <c r="H55" s="144">
        <v>5.1499999999999995</v>
      </c>
      <c r="I55" s="144">
        <v>5.49</v>
      </c>
    </row>
    <row r="56" spans="1:9">
      <c r="A56" s="167" t="s">
        <v>379</v>
      </c>
      <c r="B56" s="142">
        <v>1518</v>
      </c>
      <c r="C56" s="142">
        <v>1855</v>
      </c>
      <c r="D56" s="142">
        <v>7175</v>
      </c>
      <c r="E56" s="142">
        <v>7865</v>
      </c>
      <c r="F56" s="144">
        <v>-18.167115902964959</v>
      </c>
      <c r="G56" s="144">
        <v>-8.7730451366815014</v>
      </c>
      <c r="H56" s="144">
        <v>5.0999999999999996</v>
      </c>
      <c r="I56" s="144">
        <v>5.45</v>
      </c>
    </row>
    <row r="57" spans="1:9">
      <c r="A57" s="167" t="s">
        <v>279</v>
      </c>
      <c r="B57" s="142">
        <v>13</v>
      </c>
      <c r="C57" s="142">
        <v>27</v>
      </c>
      <c r="D57" s="142">
        <v>76</v>
      </c>
      <c r="E57" s="142">
        <v>61</v>
      </c>
      <c r="F57" s="144">
        <v>-51.851851851851848</v>
      </c>
      <c r="G57" s="144">
        <v>24.590163934426229</v>
      </c>
      <c r="H57" s="144">
        <v>0.05</v>
      </c>
      <c r="I57" s="144">
        <v>0.04</v>
      </c>
    </row>
    <row r="58" spans="1:9">
      <c r="A58" s="167" t="s">
        <v>1168</v>
      </c>
      <c r="B58" s="142">
        <v>0</v>
      </c>
      <c r="C58" s="142">
        <v>0</v>
      </c>
      <c r="D58" s="142">
        <v>2</v>
      </c>
      <c r="E58" s="142">
        <v>1</v>
      </c>
      <c r="F58" s="144">
        <v>0</v>
      </c>
      <c r="G58" s="144">
        <v>100</v>
      </c>
      <c r="H58" s="144">
        <v>0</v>
      </c>
      <c r="I58" s="144">
        <v>0</v>
      </c>
    </row>
    <row r="59" spans="1:9">
      <c r="A59" s="166" t="s">
        <v>1071</v>
      </c>
      <c r="B59" s="142">
        <v>24</v>
      </c>
      <c r="C59" s="142">
        <v>0</v>
      </c>
      <c r="D59" s="142">
        <v>99</v>
      </c>
      <c r="E59" s="142">
        <v>0</v>
      </c>
      <c r="F59" s="144">
        <v>0</v>
      </c>
      <c r="G59" s="144">
        <v>0</v>
      </c>
      <c r="H59" s="144">
        <v>7.0000000000000007E-2</v>
      </c>
      <c r="I59" s="144">
        <v>0</v>
      </c>
    </row>
    <row r="60" spans="1:9">
      <c r="A60" s="167" t="s">
        <v>1068</v>
      </c>
      <c r="B60" s="142">
        <v>24</v>
      </c>
      <c r="C60" s="142">
        <v>0</v>
      </c>
      <c r="D60" s="142">
        <v>99</v>
      </c>
      <c r="E60" s="142">
        <v>0</v>
      </c>
      <c r="F60" s="144">
        <v>0</v>
      </c>
      <c r="G60" s="144">
        <v>0</v>
      </c>
      <c r="H60" s="144">
        <v>7.0000000000000007E-2</v>
      </c>
      <c r="I60" s="144">
        <v>0</v>
      </c>
    </row>
    <row r="61" spans="1:9">
      <c r="A61" s="166" t="s">
        <v>319</v>
      </c>
      <c r="B61" s="142">
        <v>420</v>
      </c>
      <c r="C61" s="142">
        <v>287</v>
      </c>
      <c r="D61" s="142">
        <v>2324</v>
      </c>
      <c r="E61" s="142">
        <v>2764</v>
      </c>
      <c r="F61" s="144">
        <v>46.341463414634148</v>
      </c>
      <c r="G61" s="144">
        <v>-15.918958031837915</v>
      </c>
      <c r="H61" s="144">
        <v>1.65</v>
      </c>
      <c r="I61" s="144">
        <v>1.92</v>
      </c>
    </row>
    <row r="62" spans="1:9">
      <c r="A62" s="167" t="s">
        <v>283</v>
      </c>
      <c r="B62" s="142">
        <v>420</v>
      </c>
      <c r="C62" s="142">
        <v>287</v>
      </c>
      <c r="D62" s="142">
        <v>2324</v>
      </c>
      <c r="E62" s="142">
        <v>2764</v>
      </c>
      <c r="F62" s="144">
        <v>46.341463414634148</v>
      </c>
      <c r="G62" s="144">
        <v>-15.918958031837915</v>
      </c>
      <c r="H62" s="144">
        <v>1.65</v>
      </c>
      <c r="I62" s="144">
        <v>1.92</v>
      </c>
    </row>
    <row r="63" spans="1:9">
      <c r="A63" s="166" t="s">
        <v>409</v>
      </c>
      <c r="B63" s="142">
        <v>450</v>
      </c>
      <c r="C63" s="142">
        <v>289</v>
      </c>
      <c r="D63" s="142">
        <v>1789</v>
      </c>
      <c r="E63" s="142">
        <v>2288</v>
      </c>
      <c r="F63" s="144">
        <v>55.70934256055363</v>
      </c>
      <c r="G63" s="144">
        <v>-21.80944055944056</v>
      </c>
      <c r="H63" s="144">
        <v>1.27</v>
      </c>
      <c r="I63" s="144">
        <v>1.59</v>
      </c>
    </row>
    <row r="64" spans="1:9">
      <c r="A64" s="167" t="s">
        <v>323</v>
      </c>
      <c r="B64" s="142">
        <v>450</v>
      </c>
      <c r="C64" s="142">
        <v>289</v>
      </c>
      <c r="D64" s="142">
        <v>1789</v>
      </c>
      <c r="E64" s="142">
        <v>2288</v>
      </c>
      <c r="F64" s="144">
        <v>55.70934256055363</v>
      </c>
      <c r="G64" s="144">
        <v>-21.80944055944056</v>
      </c>
      <c r="H64" s="144">
        <v>1.27</v>
      </c>
      <c r="I64" s="144">
        <v>1.59</v>
      </c>
    </row>
    <row r="65" spans="1:9">
      <c r="A65" s="166" t="s">
        <v>442</v>
      </c>
      <c r="B65" s="142">
        <v>4</v>
      </c>
      <c r="C65" s="142">
        <v>29</v>
      </c>
      <c r="D65" s="142">
        <v>75</v>
      </c>
      <c r="E65" s="142">
        <v>69</v>
      </c>
      <c r="F65" s="144">
        <v>-86.206896551724128</v>
      </c>
      <c r="G65" s="144">
        <v>8.695652173913043</v>
      </c>
      <c r="H65" s="144">
        <v>0.05</v>
      </c>
      <c r="I65" s="144">
        <v>0.05</v>
      </c>
    </row>
    <row r="66" spans="1:9">
      <c r="A66" s="167" t="s">
        <v>417</v>
      </c>
      <c r="B66" s="142">
        <v>4</v>
      </c>
      <c r="C66" s="142">
        <v>29</v>
      </c>
      <c r="D66" s="142">
        <v>75</v>
      </c>
      <c r="E66" s="142">
        <v>69</v>
      </c>
      <c r="F66" s="144">
        <v>-86.206896551724128</v>
      </c>
      <c r="G66" s="144">
        <v>8.695652173913043</v>
      </c>
      <c r="H66" s="144">
        <v>0.05</v>
      </c>
      <c r="I66" s="144">
        <v>0.05</v>
      </c>
    </row>
    <row r="67" spans="1:9">
      <c r="A67" s="166" t="s">
        <v>578</v>
      </c>
      <c r="B67" s="142">
        <v>3034</v>
      </c>
      <c r="C67" s="142">
        <v>2051</v>
      </c>
      <c r="D67" s="142">
        <v>10936</v>
      </c>
      <c r="E67" s="142">
        <v>5505</v>
      </c>
      <c r="F67" s="144">
        <v>47.927840078010725</v>
      </c>
      <c r="G67" s="144">
        <v>98.655767484105354</v>
      </c>
      <c r="H67" s="144">
        <v>7.77</v>
      </c>
      <c r="I67" s="144">
        <v>3.82</v>
      </c>
    </row>
    <row r="68" spans="1:9">
      <c r="A68" s="167" t="s">
        <v>292</v>
      </c>
      <c r="B68" s="142">
        <v>3034</v>
      </c>
      <c r="C68" s="142">
        <v>2051</v>
      </c>
      <c r="D68" s="142">
        <v>10936</v>
      </c>
      <c r="E68" s="142">
        <v>5505</v>
      </c>
      <c r="F68" s="144">
        <v>47.927840078010725</v>
      </c>
      <c r="G68" s="144">
        <v>98.655767484105354</v>
      </c>
      <c r="H68" s="144">
        <v>7.77</v>
      </c>
      <c r="I68" s="144">
        <v>3.82</v>
      </c>
    </row>
    <row r="69" spans="1:9">
      <c r="A69" s="166" t="s">
        <v>320</v>
      </c>
      <c r="B69" s="142">
        <v>2584</v>
      </c>
      <c r="C69" s="142">
        <v>2020</v>
      </c>
      <c r="D69" s="142">
        <v>13010</v>
      </c>
      <c r="E69" s="142">
        <v>12488</v>
      </c>
      <c r="F69" s="144">
        <v>27.920792079207924</v>
      </c>
      <c r="G69" s="144">
        <v>4.1800128122998075</v>
      </c>
      <c r="H69" s="144">
        <v>9.25</v>
      </c>
      <c r="I69" s="144">
        <v>8.66</v>
      </c>
    </row>
    <row r="70" spans="1:9">
      <c r="A70" s="167" t="s">
        <v>276</v>
      </c>
      <c r="B70" s="142">
        <v>242</v>
      </c>
      <c r="C70" s="142">
        <v>91</v>
      </c>
      <c r="D70" s="142">
        <v>1126</v>
      </c>
      <c r="E70" s="142">
        <v>546</v>
      </c>
      <c r="F70" s="144">
        <v>165.93406593406596</v>
      </c>
      <c r="G70" s="144">
        <v>106.22710622710623</v>
      </c>
      <c r="H70" s="144">
        <v>0.8</v>
      </c>
      <c r="I70" s="144">
        <v>0.38</v>
      </c>
    </row>
    <row r="71" spans="1:9">
      <c r="A71" s="167" t="s">
        <v>293</v>
      </c>
      <c r="B71" s="142">
        <v>2342</v>
      </c>
      <c r="C71" s="142">
        <v>1929</v>
      </c>
      <c r="D71" s="142">
        <v>11884</v>
      </c>
      <c r="E71" s="142">
        <v>11942</v>
      </c>
      <c r="F71" s="144">
        <v>21.410057024364956</v>
      </c>
      <c r="G71" s="144">
        <v>-0.48568079048735557</v>
      </c>
      <c r="H71" s="144">
        <v>8.4499999999999993</v>
      </c>
      <c r="I71" s="144">
        <v>8.2799999999999994</v>
      </c>
    </row>
    <row r="72" spans="1:9">
      <c r="A72" s="166" t="s">
        <v>321</v>
      </c>
      <c r="B72" s="142">
        <v>7609</v>
      </c>
      <c r="C72" s="142">
        <v>6337</v>
      </c>
      <c r="D72" s="142">
        <v>34539</v>
      </c>
      <c r="E72" s="142">
        <v>32254</v>
      </c>
      <c r="F72" s="144">
        <v>20.072589553416442</v>
      </c>
      <c r="G72" s="144">
        <v>7.0843926334718175</v>
      </c>
      <c r="H72" s="144">
        <v>24.55</v>
      </c>
      <c r="I72" s="144">
        <v>22.369999999999997</v>
      </c>
    </row>
    <row r="73" spans="1:9">
      <c r="A73" s="167" t="s">
        <v>260</v>
      </c>
      <c r="B73" s="142">
        <v>1859</v>
      </c>
      <c r="C73" s="142">
        <v>1309</v>
      </c>
      <c r="D73" s="142">
        <v>8650</v>
      </c>
      <c r="E73" s="142">
        <v>6800</v>
      </c>
      <c r="F73" s="144">
        <v>42.016806722689076</v>
      </c>
      <c r="G73" s="144">
        <v>27.205882352941174</v>
      </c>
      <c r="H73" s="144">
        <v>6.15</v>
      </c>
      <c r="I73" s="144">
        <v>4.72</v>
      </c>
    </row>
    <row r="74" spans="1:9">
      <c r="A74" s="167" t="s">
        <v>286</v>
      </c>
      <c r="B74" s="142">
        <v>307</v>
      </c>
      <c r="C74" s="142">
        <v>322</v>
      </c>
      <c r="D74" s="142">
        <v>1736</v>
      </c>
      <c r="E74" s="142">
        <v>1482</v>
      </c>
      <c r="F74" s="144">
        <v>-4.658385093167702</v>
      </c>
      <c r="G74" s="144">
        <v>17.139001349527668</v>
      </c>
      <c r="H74" s="144">
        <v>1.23</v>
      </c>
      <c r="I74" s="144">
        <v>1.03</v>
      </c>
    </row>
    <row r="75" spans="1:9">
      <c r="A75" s="167" t="s">
        <v>288</v>
      </c>
      <c r="B75" s="142">
        <v>209</v>
      </c>
      <c r="C75" s="142">
        <v>476</v>
      </c>
      <c r="D75" s="142">
        <v>1291</v>
      </c>
      <c r="E75" s="142">
        <v>2594</v>
      </c>
      <c r="F75" s="144">
        <v>-56.092436974789919</v>
      </c>
      <c r="G75" s="144">
        <v>-50.231303006939086</v>
      </c>
      <c r="H75" s="144">
        <v>0.92</v>
      </c>
      <c r="I75" s="144">
        <v>1.8</v>
      </c>
    </row>
    <row r="76" spans="1:9">
      <c r="A76" s="167" t="s">
        <v>289</v>
      </c>
      <c r="B76" s="142">
        <v>1444</v>
      </c>
      <c r="C76" s="142">
        <v>1251</v>
      </c>
      <c r="D76" s="142">
        <v>6531</v>
      </c>
      <c r="E76" s="142">
        <v>5729</v>
      </c>
      <c r="F76" s="144">
        <v>15.42765787370104</v>
      </c>
      <c r="G76" s="144">
        <v>13.998952696805725</v>
      </c>
      <c r="H76" s="144">
        <v>4.6399999999999997</v>
      </c>
      <c r="I76" s="144">
        <v>3.97</v>
      </c>
    </row>
    <row r="77" spans="1:9">
      <c r="A77" s="167" t="s">
        <v>294</v>
      </c>
      <c r="B77" s="142">
        <v>3489</v>
      </c>
      <c r="C77" s="142">
        <v>2979</v>
      </c>
      <c r="D77" s="142">
        <v>15046</v>
      </c>
      <c r="E77" s="142">
        <v>15649</v>
      </c>
      <c r="F77" s="144">
        <v>17.119838872104733</v>
      </c>
      <c r="G77" s="144">
        <v>-3.8532813598312989</v>
      </c>
      <c r="H77" s="144">
        <v>10.7</v>
      </c>
      <c r="I77" s="144">
        <v>10.85</v>
      </c>
    </row>
    <row r="78" spans="1:9">
      <c r="A78" s="167" t="s">
        <v>1067</v>
      </c>
      <c r="B78" s="142">
        <v>301</v>
      </c>
      <c r="C78" s="142">
        <v>0</v>
      </c>
      <c r="D78" s="142">
        <v>1285</v>
      </c>
      <c r="E78" s="142">
        <v>0</v>
      </c>
      <c r="F78" s="144">
        <v>0</v>
      </c>
      <c r="G78" s="144">
        <v>0</v>
      </c>
      <c r="H78" s="144">
        <v>0.91</v>
      </c>
      <c r="I78" s="144">
        <v>0</v>
      </c>
    </row>
    <row r="79" spans="1:9">
      <c r="A79" s="166" t="s">
        <v>322</v>
      </c>
      <c r="B79" s="142">
        <v>3271</v>
      </c>
      <c r="C79" s="142">
        <v>3107</v>
      </c>
      <c r="D79" s="142">
        <v>20196</v>
      </c>
      <c r="E79" s="142">
        <v>22545</v>
      </c>
      <c r="F79" s="144">
        <v>5.2784036047634375</v>
      </c>
      <c r="G79" s="144">
        <v>-10.419161676646707</v>
      </c>
      <c r="H79" s="144">
        <v>14.36</v>
      </c>
      <c r="I79" s="144">
        <v>15.63</v>
      </c>
    </row>
    <row r="80" spans="1:9">
      <c r="A80" s="167" t="s">
        <v>323</v>
      </c>
      <c r="B80" s="142">
        <v>0</v>
      </c>
      <c r="C80" s="142">
        <v>2</v>
      </c>
      <c r="D80" s="142">
        <v>0</v>
      </c>
      <c r="E80" s="142">
        <v>7</v>
      </c>
      <c r="F80" s="144">
        <v>-100</v>
      </c>
      <c r="G80" s="144">
        <v>-100</v>
      </c>
      <c r="H80" s="144">
        <v>0</v>
      </c>
      <c r="I80" s="144">
        <v>0</v>
      </c>
    </row>
    <row r="81" spans="1:9">
      <c r="A81" s="167" t="s">
        <v>295</v>
      </c>
      <c r="B81" s="142">
        <v>3271</v>
      </c>
      <c r="C81" s="142">
        <v>3105</v>
      </c>
      <c r="D81" s="142">
        <v>20196</v>
      </c>
      <c r="E81" s="142">
        <v>22538</v>
      </c>
      <c r="F81" s="144">
        <v>5.3462157809983895</v>
      </c>
      <c r="G81" s="144">
        <v>-10.391339071789867</v>
      </c>
      <c r="H81" s="144">
        <v>14.36</v>
      </c>
      <c r="I81" s="144">
        <v>15.63</v>
      </c>
    </row>
    <row r="82" spans="1:9">
      <c r="A82" s="166" t="s">
        <v>1170</v>
      </c>
      <c r="B82" s="142">
        <v>0</v>
      </c>
      <c r="C82" s="142">
        <v>3</v>
      </c>
      <c r="D82" s="142">
        <v>0</v>
      </c>
      <c r="E82" s="142">
        <v>10</v>
      </c>
      <c r="F82" s="144">
        <v>-100</v>
      </c>
      <c r="G82" s="144">
        <v>-100</v>
      </c>
      <c r="H82" s="144">
        <v>0</v>
      </c>
      <c r="I82" s="144">
        <v>0.01</v>
      </c>
    </row>
    <row r="83" spans="1:9">
      <c r="A83" s="167" t="s">
        <v>1169</v>
      </c>
      <c r="B83" s="142">
        <v>0</v>
      </c>
      <c r="C83" s="142">
        <v>3</v>
      </c>
      <c r="D83" s="142">
        <v>0</v>
      </c>
      <c r="E83" s="142">
        <v>10</v>
      </c>
      <c r="F83" s="144">
        <v>-100</v>
      </c>
      <c r="G83" s="144">
        <v>-100</v>
      </c>
      <c r="H83" s="144">
        <v>0</v>
      </c>
      <c r="I83" s="144">
        <v>0.01</v>
      </c>
    </row>
    <row r="84" spans="1:9">
      <c r="A84" s="166" t="s">
        <v>208</v>
      </c>
      <c r="B84" s="142">
        <v>75</v>
      </c>
      <c r="C84" s="142">
        <v>71</v>
      </c>
      <c r="D84" s="142">
        <v>293</v>
      </c>
      <c r="E84" s="142">
        <v>257</v>
      </c>
      <c r="F84" s="144">
        <v>5.6338028169014089</v>
      </c>
      <c r="G84" s="144">
        <v>14.007782101167315</v>
      </c>
      <c r="H84" s="144">
        <v>0.21</v>
      </c>
      <c r="I84" s="144">
        <v>0.18</v>
      </c>
    </row>
    <row r="85" spans="1:9">
      <c r="A85" s="167" t="s">
        <v>296</v>
      </c>
      <c r="B85" s="142">
        <v>75</v>
      </c>
      <c r="C85" s="142">
        <v>71</v>
      </c>
      <c r="D85" s="142">
        <v>293</v>
      </c>
      <c r="E85" s="142">
        <v>257</v>
      </c>
      <c r="F85" s="144">
        <v>5.6338028169014089</v>
      </c>
      <c r="G85" s="144">
        <v>14.007782101167315</v>
      </c>
      <c r="H85" s="144">
        <v>0.21</v>
      </c>
      <c r="I85" s="144">
        <v>0.18</v>
      </c>
    </row>
    <row r="86" spans="1:9">
      <c r="A86" s="166" t="s">
        <v>457</v>
      </c>
      <c r="B86" s="142">
        <v>28283</v>
      </c>
      <c r="C86" s="142">
        <v>26088</v>
      </c>
      <c r="D86" s="142">
        <v>140663</v>
      </c>
      <c r="E86" s="142">
        <v>144182</v>
      </c>
      <c r="F86" s="144">
        <v>8.4138301134621294</v>
      </c>
      <c r="G86" s="144">
        <v>-2.4406652702833918</v>
      </c>
      <c r="H86" s="144">
        <v>99.970000000000013</v>
      </c>
      <c r="I86" s="144">
        <v>99.97</v>
      </c>
    </row>
    <row r="87" spans="1:9">
      <c r="B87"/>
      <c r="C87"/>
      <c r="D87"/>
      <c r="E87"/>
      <c r="F87"/>
      <c r="G87"/>
      <c r="H87"/>
      <c r="I87"/>
    </row>
    <row r="88" spans="1:9">
      <c r="A88" s="25" t="s">
        <v>681</v>
      </c>
      <c r="B88" s="55"/>
      <c r="C88" s="55"/>
      <c r="D88"/>
      <c r="E88"/>
      <c r="F88"/>
      <c r="G88"/>
      <c r="H88"/>
      <c r="I88"/>
    </row>
    <row r="89" spans="1:9">
      <c r="A89" s="55"/>
      <c r="B89" s="55"/>
      <c r="C89" s="55"/>
      <c r="D89"/>
      <c r="E89"/>
      <c r="F89"/>
      <c r="G89"/>
      <c r="H89"/>
      <c r="I89"/>
    </row>
    <row r="90" spans="1:9">
      <c r="A90" s="55"/>
      <c r="B90" s="55"/>
      <c r="C90" s="55"/>
      <c r="D90"/>
      <c r="E90"/>
      <c r="F90"/>
      <c r="G90"/>
      <c r="H90"/>
      <c r="I90"/>
    </row>
    <row r="91" spans="1:9">
      <c r="A91" s="55"/>
      <c r="B91" s="55"/>
      <c r="C91" s="55"/>
      <c r="D91"/>
      <c r="E91"/>
      <c r="F91"/>
      <c r="G91"/>
      <c r="H91"/>
      <c r="I91"/>
    </row>
    <row r="92" spans="1:9">
      <c r="A92" s="20" t="s">
        <v>1051</v>
      </c>
      <c r="B92" s="55"/>
      <c r="C92" s="55"/>
      <c r="D92"/>
      <c r="E92"/>
      <c r="F92"/>
      <c r="G92"/>
      <c r="H92"/>
      <c r="I92"/>
    </row>
    <row r="93" spans="1:9">
      <c r="A93" s="55" t="s">
        <v>1045</v>
      </c>
      <c r="B93" s="55" t="s">
        <v>677</v>
      </c>
      <c r="C93" s="55"/>
      <c r="D93"/>
      <c r="E93"/>
      <c r="F93"/>
      <c r="G93"/>
      <c r="H93"/>
      <c r="I93"/>
    </row>
    <row r="94" spans="1:9">
      <c r="A94" s="55" t="s">
        <v>604</v>
      </c>
      <c r="B94" s="55" t="s">
        <v>592</v>
      </c>
      <c r="C94" s="55"/>
      <c r="D94"/>
      <c r="E94"/>
      <c r="F94"/>
      <c r="G94"/>
      <c r="H94"/>
      <c r="I94"/>
    </row>
    <row r="95" spans="1:9">
      <c r="A95" s="55" t="s">
        <v>461</v>
      </c>
      <c r="B95" s="55" t="s">
        <v>1052</v>
      </c>
      <c r="C95" s="55"/>
    </row>
    <row r="96" spans="1:9">
      <c r="A96" s="55" t="s">
        <v>702</v>
      </c>
      <c r="B96" s="55" t="s">
        <v>1053</v>
      </c>
      <c r="C96" s="55"/>
    </row>
    <row r="97" spans="1:3">
      <c r="A97" s="55" t="s">
        <v>1054</v>
      </c>
      <c r="B97" s="55" t="s">
        <v>1055</v>
      </c>
      <c r="C97" s="55"/>
    </row>
    <row r="98" spans="1:3">
      <c r="A98" s="55" t="s">
        <v>1056</v>
      </c>
      <c r="B98" s="55" t="s">
        <v>1057</v>
      </c>
      <c r="C98" s="55"/>
    </row>
    <row r="99" spans="1:3">
      <c r="A99" s="55" t="s">
        <v>1130</v>
      </c>
      <c r="B99" s="55" t="s">
        <v>1131</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2" sqref="L12"/>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332</v>
      </c>
      <c r="D2" s="56"/>
      <c r="E2" s="56"/>
      <c r="F2" s="56"/>
    </row>
    <row r="3" spans="1:13" ht="14" customHeight="1"/>
    <row r="4" spans="1:13">
      <c r="F4" s="257" t="s">
        <v>455</v>
      </c>
      <c r="G4" s="257"/>
      <c r="H4" s="257"/>
      <c r="I4" s="257"/>
    </row>
    <row r="5" spans="1:13">
      <c r="A5" s="96"/>
      <c r="B5" s="254" t="s">
        <v>538</v>
      </c>
      <c r="C5" s="255"/>
      <c r="D5" s="256" t="s">
        <v>540</v>
      </c>
      <c r="E5" s="255"/>
      <c r="F5" s="254" t="s">
        <v>538</v>
      </c>
      <c r="G5" s="255"/>
      <c r="H5" s="256" t="s">
        <v>540</v>
      </c>
      <c r="I5" s="255"/>
      <c r="J5" s="111" t="s">
        <v>539</v>
      </c>
    </row>
    <row r="6" spans="1:13">
      <c r="A6" s="108" t="s">
        <v>473</v>
      </c>
      <c r="B6" s="109" t="str">
        <f>Innehåll!D79</f>
        <v xml:space="preserve"> 2023-06</v>
      </c>
      <c r="C6" s="109" t="str">
        <f>Innehåll!D80</f>
        <v xml:space="preserve"> 2022-06</v>
      </c>
      <c r="D6" s="109" t="str">
        <f>B6</f>
        <v xml:space="preserve"> 2023-06</v>
      </c>
      <c r="E6" s="110" t="str">
        <f>C6</f>
        <v xml:space="preserve"> 2022-06</v>
      </c>
      <c r="F6" s="109" t="str">
        <f>Innehåll!D81</f>
        <v>YTD  2023</v>
      </c>
      <c r="G6" s="109" t="str">
        <f>Innehåll!D82</f>
        <v>YTD  2022</v>
      </c>
      <c r="H6" s="111" t="str">
        <f>F6</f>
        <v>YTD  2023</v>
      </c>
      <c r="I6" s="112" t="str">
        <f>G6</f>
        <v>YTD  2022</v>
      </c>
      <c r="J6" s="111" t="str">
        <f>Innehåll!D81</f>
        <v>YTD  2023</v>
      </c>
    </row>
    <row r="7" spans="1:13" ht="15" hidden="1" customHeight="1">
      <c r="A7" s="67" t="s">
        <v>333</v>
      </c>
      <c r="B7" s="68" t="s">
        <v>26</v>
      </c>
      <c r="C7" s="69" t="s">
        <v>299</v>
      </c>
      <c r="D7" s="25" t="s">
        <v>334</v>
      </c>
      <c r="E7" s="25" t="s">
        <v>335</v>
      </c>
      <c r="F7" s="25" t="s">
        <v>300</v>
      </c>
      <c r="G7" s="25" t="s">
        <v>301</v>
      </c>
      <c r="H7" s="25" t="s">
        <v>336</v>
      </c>
      <c r="I7" s="25" t="s">
        <v>337</v>
      </c>
      <c r="J7" s="58" t="s">
        <v>338</v>
      </c>
    </row>
    <row r="8" spans="1:13">
      <c r="A8" s="41" t="s">
        <v>20</v>
      </c>
      <c r="B8" s="61">
        <v>10956</v>
      </c>
      <c r="C8" s="61">
        <v>8237</v>
      </c>
      <c r="D8" s="58">
        <f>IF(getAggPBFuelTypes[[#This Row],[antalPerioden]]&gt;0,((B8/getAggPBFuelTypes[[#Totals],[antalPerioden]]) * 100),0)</f>
        <v>38.737050525050378</v>
      </c>
      <c r="E8" s="58">
        <f>((C8/getAggPBFuelTypes[[#Totals],[antalPeriodenFG]]) * 100)</f>
        <v>31.573903710518248</v>
      </c>
      <c r="F8" s="61">
        <v>52441</v>
      </c>
      <c r="G8" s="61">
        <v>39755</v>
      </c>
      <c r="H8" s="58">
        <f>((F8/getAggPBFuelTypes[[#Totals],[antalAret]]) * 100)</f>
        <v>37.28130354108756</v>
      </c>
      <c r="I8" s="58">
        <f>((G8/getAggPBFuelTypes[[#Totals],[antalAretFG]]) * 100)</f>
        <v>27.572789946040423</v>
      </c>
      <c r="J8" s="42">
        <f t="shared" ref="J8:J15" si="0">IF(G8 = 0,0,(F8-G8)/G8)</f>
        <v>0.3191045151553264</v>
      </c>
    </row>
    <row r="9" spans="1:13">
      <c r="A9" s="41" t="s">
        <v>16</v>
      </c>
      <c r="B9" s="61">
        <v>6595</v>
      </c>
      <c r="C9" s="61">
        <v>5834</v>
      </c>
      <c r="D9" s="58">
        <f>IF(getAggPBFuelTypes[[#This Row],[antalPerioden]]&gt;0,((B9/getAggPBFuelTypes[[#Totals],[antalPerioden]]) * 100),0)</f>
        <v>23.317894141356998</v>
      </c>
      <c r="E9" s="58">
        <f>((C9/getAggPBFuelTypes[[#Totals],[antalPeriodenFG]]) * 100)</f>
        <v>22.362772155780437</v>
      </c>
      <c r="F9" s="61">
        <v>31182</v>
      </c>
      <c r="G9" s="61">
        <v>35030</v>
      </c>
      <c r="H9" s="58">
        <f>((F9/getAggPBFuelTypes[[#Totals],[antalAret]]) * 100)</f>
        <v>22.167876413840169</v>
      </c>
      <c r="I9" s="58">
        <f>((G9/getAggPBFuelTypes[[#Totals],[antalAretFG]]) * 100)</f>
        <v>24.295681846555048</v>
      </c>
      <c r="J9" s="42">
        <f t="shared" si="0"/>
        <v>-0.10984870111333143</v>
      </c>
    </row>
    <row r="10" spans="1:13">
      <c r="A10" s="41" t="s">
        <v>19</v>
      </c>
      <c r="B10" s="61">
        <v>5798</v>
      </c>
      <c r="C10" s="61">
        <v>6137</v>
      </c>
      <c r="D10" s="58">
        <f>IF(getAggPBFuelTypes[[#This Row],[antalPerioden]]&gt;0,((B10/getAggPBFuelTypes[[#Totals],[antalPerioden]]) * 100),0)</f>
        <v>20.499946964607716</v>
      </c>
      <c r="E10" s="58">
        <f>((C10/getAggPBFuelTypes[[#Totals],[antalPeriodenFG]]) * 100)</f>
        <v>23.524225697638762</v>
      </c>
      <c r="F10" s="61">
        <v>29128</v>
      </c>
      <c r="G10" s="61">
        <v>35088</v>
      </c>
      <c r="H10" s="58">
        <f>((F10/getAggPBFuelTypes[[#Totals],[antalAret]]) * 100)</f>
        <v>20.707648777574772</v>
      </c>
      <c r="I10" s="58">
        <f>((G10/getAggPBFuelTypes[[#Totals],[antalAretFG]]) * 100)</f>
        <v>24.335908781956139</v>
      </c>
      <c r="J10" s="42">
        <f t="shared" si="0"/>
        <v>-0.16985864113087096</v>
      </c>
    </row>
    <row r="11" spans="1:13">
      <c r="A11" s="41" t="s">
        <v>17</v>
      </c>
      <c r="B11" s="61">
        <v>2282</v>
      </c>
      <c r="C11" s="61">
        <v>3640</v>
      </c>
      <c r="D11" s="58">
        <f>IF(getAggPBFuelTypes[[#This Row],[antalPerioden]]&gt;0,((B11/getAggPBFuelTypes[[#Totals],[antalPerioden]]) * 100),0)</f>
        <v>8.0684510129759932</v>
      </c>
      <c r="E11" s="58">
        <f>((C11/getAggPBFuelTypes[[#Totals],[antalPeriodenFG]]) * 100)</f>
        <v>13.952775222324441</v>
      </c>
      <c r="F11" s="61">
        <v>12711</v>
      </c>
      <c r="G11" s="61">
        <v>19614</v>
      </c>
      <c r="H11" s="58">
        <f>((F11/getAggPBFuelTypes[[#Totals],[antalAret]]) * 100)</f>
        <v>9.0364914725265351</v>
      </c>
      <c r="I11" s="58">
        <f>((G11/getAggPBFuelTypes[[#Totals],[antalAretFG]]) * 100)</f>
        <v>13.603639844085947</v>
      </c>
      <c r="J11" s="42">
        <f t="shared" si="0"/>
        <v>-0.35194249005812173</v>
      </c>
    </row>
    <row r="12" spans="1:13">
      <c r="A12" s="41" t="s">
        <v>18</v>
      </c>
      <c r="B12" s="61">
        <v>2015</v>
      </c>
      <c r="C12" s="61">
        <v>1923</v>
      </c>
      <c r="D12" s="58">
        <f>IF(getAggPBFuelTypes[[#This Row],[antalPerioden]]&gt;0,((B12/getAggPBFuelTypes[[#Totals],[antalPerioden]]) * 100),0)</f>
        <v>7.124421030300887</v>
      </c>
      <c r="E12" s="58">
        <f>((C12/getAggPBFuelTypes[[#Totals],[antalPeriodenFG]]) * 100)</f>
        <v>7.3712051517939292</v>
      </c>
      <c r="F12" s="61">
        <v>11821</v>
      </c>
      <c r="G12" s="61">
        <v>12934</v>
      </c>
      <c r="H12" s="58">
        <f>((F12/getAggPBFuelTypes[[#Totals],[antalAret]]) * 100)</f>
        <v>8.4037735580785284</v>
      </c>
      <c r="I12" s="58">
        <f>((G12/getAggPBFuelTypes[[#Totals],[antalAretFG]]) * 100)</f>
        <v>8.9706065944431348</v>
      </c>
      <c r="J12" s="42">
        <f t="shared" si="0"/>
        <v>-8.605226534714705E-2</v>
      </c>
    </row>
    <row r="13" spans="1:13">
      <c r="A13" s="41" t="s">
        <v>22</v>
      </c>
      <c r="B13" s="61">
        <v>393</v>
      </c>
      <c r="C13" s="61">
        <v>177</v>
      </c>
      <c r="D13" s="58">
        <f>IF(getAggPBFuelTypes[[#This Row],[antalPerioden]]&gt;0,((B13/getAggPBFuelTypes[[#Totals],[antalPerioden]]) * 100),0)</f>
        <v>1.3895272778700987</v>
      </c>
      <c r="E13" s="58">
        <f>((C13/getAggPBFuelTypes[[#Totals],[antalPeriodenFG]]) * 100)</f>
        <v>0.6784728610855566</v>
      </c>
      <c r="F13" s="61">
        <v>2407</v>
      </c>
      <c r="G13" s="61">
        <v>1130</v>
      </c>
      <c r="H13" s="58">
        <f>((F13/getAggPBFuelTypes[[#Totals],[antalAret]]) * 100)</f>
        <v>1.7111820450296098</v>
      </c>
      <c r="I13" s="58">
        <f>((G13/getAggPBFuelTypes[[#Totals],[antalAretFG]]) * 100)</f>
        <v>0.7837316724695178</v>
      </c>
      <c r="J13" s="42">
        <f t="shared" si="0"/>
        <v>1.1300884955752213</v>
      </c>
    </row>
    <row r="14" spans="1:13">
      <c r="A14" s="70" t="s">
        <v>21</v>
      </c>
      <c r="B14" s="71">
        <v>223</v>
      </c>
      <c r="C14" s="72">
        <v>138</v>
      </c>
      <c r="D14" s="58">
        <f>IF(getAggPBFuelTypes[[#This Row],[antalPerioden]]&gt;0,((B14/getAggPBFuelTypes[[#Totals],[antalPerioden]]) * 100),0)</f>
        <v>0.7884594986387583</v>
      </c>
      <c r="E14" s="58">
        <f>((C14/getAggPBFuelTypes[[#Totals],[antalPeriodenFG]]) * 100)</f>
        <v>0.52897884084636615</v>
      </c>
      <c r="F14" s="61">
        <v>952</v>
      </c>
      <c r="G14" s="61">
        <v>627</v>
      </c>
      <c r="H14" s="58">
        <f>((F14/getAggPBFuelTypes[[#Totals],[antalAret]]) * 100)</f>
        <v>0.67679489275786808</v>
      </c>
      <c r="I14" s="58">
        <f>((G14/getAggPBFuelTypes[[#Totals],[antalAretFG]]) * 100)</f>
        <v>0.43486704304282087</v>
      </c>
      <c r="J14" s="42">
        <f t="shared" si="0"/>
        <v>0.51834130781499199</v>
      </c>
    </row>
    <row r="15" spans="1:13">
      <c r="A15" s="154" t="s">
        <v>1197</v>
      </c>
      <c r="B15" s="146">
        <v>21</v>
      </c>
      <c r="C15" s="146">
        <v>2</v>
      </c>
      <c r="D15" s="147">
        <f>IF(getAggPBFuelTypes[[#This Row],[antalPerioden]]&gt;0,((B15/getAggPBFuelTypes[[#Totals],[antalPerioden]]) * 100),0)</f>
        <v>7.4249549199165571E-2</v>
      </c>
      <c r="E15" s="147">
        <f>((C15/getAggPBFuelTypes[[#Totals],[antalPeriodenFG]]) * 100)</f>
        <v>7.6663600122661765E-3</v>
      </c>
      <c r="F15" s="146">
        <v>21</v>
      </c>
      <c r="G15" s="146">
        <v>4</v>
      </c>
      <c r="H15" s="147">
        <f>((F15/getAggPBFuelTypes[[#Totals],[antalAret]]) * 100)</f>
        <v>1.4929299104952972E-2</v>
      </c>
      <c r="I15" s="147">
        <f>((G15/getAggPBFuelTypes[[#Totals],[antalAretFG]]) * 100)</f>
        <v>2.7742714069717441E-3</v>
      </c>
      <c r="J15" s="224">
        <f t="shared" si="0"/>
        <v>4.25</v>
      </c>
      <c r="M15" s="8"/>
    </row>
    <row r="16" spans="1:13">
      <c r="A16" s="139" t="s">
        <v>457</v>
      </c>
      <c r="B16" s="140">
        <f>SUBTOTAL(109,getAggPBFuelTypes[antalPerioden])</f>
        <v>28283</v>
      </c>
      <c r="C16" s="140">
        <f>SUBTOTAL(109,getAggPBFuelTypes[antalPeriodenFG])</f>
        <v>26088</v>
      </c>
      <c r="D16" s="141">
        <f>SUBTOTAL(109,getAggPBFuelTypes[Column1])</f>
        <v>100</v>
      </c>
      <c r="E16" s="141">
        <f>SUBTOTAL(109,getAggPBFuelTypes[Column1])</f>
        <v>100</v>
      </c>
      <c r="F16" s="140">
        <f>SUBTOTAL(109,getAggPBFuelTypes[antalAret])</f>
        <v>140663</v>
      </c>
      <c r="G16" s="140">
        <f>SUBTOTAL(109,getAggPBFuelTypes[antalAretFG])</f>
        <v>144182</v>
      </c>
      <c r="H16" s="141">
        <f>SUBTOTAL(109,getAggPBFuelTypes[Column1])</f>
        <v>100</v>
      </c>
      <c r="I16" s="141">
        <f>SUBTOTAL(109,getAggPBFuelTypes[Column1])</f>
        <v>100</v>
      </c>
      <c r="J16" s="221"/>
      <c r="K16" s="211"/>
      <c r="L16" s="217"/>
    </row>
    <row r="17" spans="1:16">
      <c r="A17" s="25"/>
      <c r="B17" s="25"/>
      <c r="C17" s="25"/>
      <c r="D17" s="58"/>
      <c r="E17" s="58"/>
      <c r="F17" s="25"/>
      <c r="G17" s="25"/>
      <c r="H17" s="58"/>
      <c r="I17" s="58"/>
    </row>
    <row r="18" spans="1:16">
      <c r="A18" s="55" t="s">
        <v>683</v>
      </c>
      <c r="B18" s="25"/>
      <c r="C18" s="25"/>
      <c r="D18" s="25"/>
      <c r="E18" s="25"/>
      <c r="F18" s="25"/>
      <c r="G18" s="25"/>
      <c r="H18" s="60"/>
      <c r="I18" s="25"/>
    </row>
    <row r="19" spans="1:16">
      <c r="A19" s="7" t="s">
        <v>684</v>
      </c>
      <c r="B19" s="25"/>
      <c r="C19" s="25"/>
      <c r="D19" s="25"/>
      <c r="E19" s="25"/>
      <c r="F19" s="25"/>
      <c r="G19" s="25"/>
      <c r="H19" s="60"/>
      <c r="I19" s="25"/>
    </row>
    <row r="20" spans="1:16">
      <c r="A20" s="55" t="s">
        <v>685</v>
      </c>
      <c r="B20" s="25"/>
      <c r="C20" s="25"/>
      <c r="D20" s="25"/>
      <c r="E20" s="25"/>
      <c r="F20" s="25"/>
      <c r="G20" s="25"/>
      <c r="H20" s="60"/>
      <c r="I20" s="25"/>
    </row>
    <row r="21" spans="1:16">
      <c r="A21" s="55" t="s">
        <v>686</v>
      </c>
      <c r="B21" s="25"/>
      <c r="C21" s="25"/>
      <c r="D21" s="25"/>
      <c r="E21" s="25"/>
      <c r="F21" s="25"/>
      <c r="G21" s="25"/>
      <c r="H21" s="60"/>
      <c r="I21" s="25"/>
    </row>
    <row r="22" spans="1:16">
      <c r="A22" s="55" t="s">
        <v>687</v>
      </c>
      <c r="B22" s="25"/>
      <c r="C22" s="25"/>
      <c r="D22" s="25"/>
      <c r="E22" s="25"/>
      <c r="F22" s="25"/>
      <c r="G22" s="25"/>
      <c r="H22" s="60"/>
      <c r="I22" s="25"/>
    </row>
    <row r="23" spans="1:16">
      <c r="A23" s="55" t="s">
        <v>443</v>
      </c>
      <c r="B23" s="25"/>
      <c r="C23" s="25"/>
      <c r="D23" s="25"/>
      <c r="E23" s="25"/>
      <c r="F23" s="25"/>
      <c r="G23" s="25"/>
      <c r="H23" s="60"/>
      <c r="I23" s="25"/>
    </row>
    <row r="28" spans="1:16" ht="20" thickBot="1">
      <c r="L28" s="66" t="s">
        <v>224</v>
      </c>
      <c r="M28" s="66"/>
      <c r="N28" s="66"/>
      <c r="O28" s="66"/>
      <c r="P28" s="113"/>
    </row>
    <row r="29" spans="1:16">
      <c r="L29" s="25"/>
      <c r="M29" s="25"/>
      <c r="N29" s="25"/>
      <c r="O29" s="25"/>
      <c r="P29" s="25"/>
    </row>
    <row r="30" spans="1:16" ht="16" thickBot="1">
      <c r="L30" s="73" t="str">
        <f>Innehåll!D85</f>
        <v>Jan - jun 2023</v>
      </c>
      <c r="M30" s="74" t="s">
        <v>541</v>
      </c>
      <c r="N30" s="25"/>
      <c r="O30" s="25"/>
      <c r="P30" s="25"/>
    </row>
    <row r="31" spans="1:16">
      <c r="L31" s="25"/>
      <c r="M31" s="25"/>
      <c r="N31" s="25"/>
      <c r="O31" s="25"/>
      <c r="P31" s="25"/>
    </row>
    <row r="32" spans="1:16">
      <c r="L32" s="58" t="str">
        <f>A8</f>
        <v>El</v>
      </c>
      <c r="M32" s="58">
        <f t="shared" ref="M32:M38" si="1">INDEX($H$8:$H$16,MATCH(L32,$A$8:$A$16,0))</f>
        <v>37.28130354108756</v>
      </c>
      <c r="N32" s="25"/>
      <c r="P32" s="25"/>
    </row>
    <row r="33" spans="12:16">
      <c r="L33" s="58" t="str">
        <f t="shared" ref="L33:L38" si="2">A9</f>
        <v>Bensin</v>
      </c>
      <c r="M33" s="58">
        <f t="shared" si="1"/>
        <v>22.167876413840169</v>
      </c>
      <c r="N33" s="25"/>
      <c r="P33" s="25"/>
    </row>
    <row r="34" spans="12:16">
      <c r="L34" s="58" t="str">
        <f t="shared" si="2"/>
        <v>Laddhybrid</v>
      </c>
      <c r="M34" s="58">
        <f t="shared" si="1"/>
        <v>20.707648777574772</v>
      </c>
      <c r="N34" s="25"/>
      <c r="P34" s="25"/>
    </row>
    <row r="35" spans="12:16">
      <c r="L35" s="58" t="str">
        <f t="shared" si="2"/>
        <v>Diesel</v>
      </c>
      <c r="M35" s="58">
        <f t="shared" si="1"/>
        <v>9.0364914725265351</v>
      </c>
      <c r="N35" s="25"/>
      <c r="P35" s="25"/>
    </row>
    <row r="36" spans="12:16">
      <c r="L36" s="58" t="str">
        <f t="shared" si="2"/>
        <v>Elhybrid</v>
      </c>
      <c r="M36" s="58">
        <f t="shared" si="1"/>
        <v>8.4037735580785284</v>
      </c>
      <c r="N36" s="25"/>
      <c r="P36" s="25"/>
    </row>
    <row r="37" spans="12:16">
      <c r="L37" s="58" t="str">
        <f t="shared" si="2"/>
        <v>Etanol</v>
      </c>
      <c r="M37" s="58">
        <f t="shared" si="1"/>
        <v>1.7111820450296098</v>
      </c>
      <c r="N37" s="25"/>
      <c r="P37" s="25"/>
    </row>
    <row r="38" spans="12:16">
      <c r="L38" s="58" t="str">
        <f t="shared" si="2"/>
        <v>Gas</v>
      </c>
      <c r="M38" s="58">
        <f t="shared" si="1"/>
        <v>0.67679489275786808</v>
      </c>
      <c r="N38" s="25"/>
      <c r="P38" s="25"/>
    </row>
    <row r="39" spans="12:16">
      <c r="L39" s="25"/>
      <c r="M39" s="58"/>
      <c r="N39" s="25"/>
      <c r="O39" s="25"/>
      <c r="P39" s="25"/>
    </row>
    <row r="40" spans="12:16">
      <c r="M40" s="8"/>
    </row>
    <row r="43" spans="12:16" ht="15" hidden="1" customHeight="1"/>
    <row r="60" spans="1:1">
      <c r="A60" s="25" t="s">
        <v>681</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4"/>
  <sheetViews>
    <sheetView showZeros="0" workbookViewId="0">
      <selection activeCell="A11" sqref="A11"/>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479</v>
      </c>
      <c r="P2" s="66"/>
      <c r="Q2" s="66"/>
      <c r="R2" s="66"/>
      <c r="S2" s="66"/>
      <c r="T2" s="66"/>
      <c r="U2" s="113"/>
    </row>
    <row r="3" spans="1:21" ht="15" customHeight="1">
      <c r="A3" s="9"/>
      <c r="O3" s="25" t="s">
        <v>478</v>
      </c>
      <c r="P3" s="25"/>
      <c r="Q3" s="25"/>
      <c r="R3" s="25"/>
      <c r="S3" s="25"/>
      <c r="T3" s="25"/>
      <c r="U3" s="25"/>
    </row>
    <row r="4" spans="1:21" ht="15" customHeight="1">
      <c r="A4" s="9"/>
      <c r="O4" s="6"/>
      <c r="P4" s="6"/>
      <c r="Q4" s="16"/>
      <c r="R4" s="16"/>
      <c r="S4" s="16"/>
      <c r="T4" s="16"/>
      <c r="U4" s="25"/>
    </row>
    <row r="5" spans="1:21" ht="15" customHeight="1" thickBot="1">
      <c r="A5" s="9"/>
      <c r="O5" s="19" t="s">
        <v>458</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c r="S12" s="25"/>
      <c r="T12" s="25"/>
      <c r="U12" s="25"/>
    </row>
    <row r="13" spans="1:21" ht="15" customHeight="1">
      <c r="A13" s="9"/>
      <c r="O13" s="16" t="s">
        <v>9</v>
      </c>
      <c r="P13" s="75">
        <v>47.1</v>
      </c>
      <c r="Q13" s="75">
        <v>45.9</v>
      </c>
      <c r="R13" s="75"/>
      <c r="S13" s="25"/>
      <c r="T13" s="25"/>
      <c r="U13" s="25"/>
    </row>
    <row r="14" spans="1:21" ht="15" customHeight="1">
      <c r="A14" s="9"/>
      <c r="O14" s="16" t="s">
        <v>10</v>
      </c>
      <c r="P14" s="75">
        <v>53.9</v>
      </c>
      <c r="Q14" s="75">
        <v>55.1</v>
      </c>
      <c r="R14" s="75"/>
      <c r="S14" s="25"/>
      <c r="T14" s="25"/>
      <c r="U14" s="25"/>
    </row>
    <row r="15" spans="1:21" ht="15" customHeight="1">
      <c r="A15" s="9"/>
      <c r="O15" s="16" t="s">
        <v>11</v>
      </c>
      <c r="P15" s="75">
        <v>50.9</v>
      </c>
      <c r="Q15" s="75">
        <v>59.4</v>
      </c>
      <c r="R15" s="75"/>
      <c r="S15" s="25"/>
      <c r="T15" s="25"/>
      <c r="U15" s="25"/>
    </row>
    <row r="16" spans="1:21" ht="15" customHeight="1">
      <c r="A16" s="9"/>
      <c r="O16" s="16" t="s">
        <v>12</v>
      </c>
      <c r="P16" s="75">
        <v>54.3</v>
      </c>
      <c r="Q16" s="75">
        <v>64.599999999999994</v>
      </c>
      <c r="R16" s="75"/>
      <c r="S16" s="25"/>
      <c r="T16" s="25"/>
      <c r="U16" s="25"/>
    </row>
    <row r="17" spans="1:21" ht="15" customHeight="1">
      <c r="A17" s="9"/>
      <c r="O17" s="26" t="s">
        <v>13</v>
      </c>
      <c r="P17" s="76">
        <v>60.7</v>
      </c>
      <c r="Q17" s="76">
        <v>74.599999999999994</v>
      </c>
      <c r="R17" s="76"/>
      <c r="S17" s="25"/>
      <c r="T17" s="25"/>
      <c r="U17" s="25"/>
    </row>
    <row r="18" spans="1:21" ht="15" customHeight="1">
      <c r="A18" s="9"/>
      <c r="O18" s="6" t="s">
        <v>537</v>
      </c>
      <c r="P18" s="23">
        <f>IF(getAggModelsPB[[#Totals],[antalFGAr]] &gt; 0,getAggRechargeModels[[#Totals],[antalFGAr]]  / getAggModelsPB[[#Totals],[antalFGAr]] * 100,0)</f>
        <v>51.910085863700047</v>
      </c>
      <c r="Q18" s="23">
        <f>IF(getAggModelsPB[[#Totals],[antalÅret]] &gt; 0,getAggRechargeModels[[#Totals],[antalÅret]]  / getAggModelsPB[[#Totals],[antalÅret]] * 100,0)</f>
        <v>57.996061508712316</v>
      </c>
      <c r="R18" s="23">
        <f>IF(getAggModelsPB[[#Totals],[antalÅret]] &gt; 0,getAggRechargeModels[[#Totals],[antalÅret]]  / getAggModelsPB[[#Totals],[antalÅret]] * 100,0)</f>
        <v>57.996061508712316</v>
      </c>
      <c r="S18" s="25"/>
      <c r="T18" s="25"/>
      <c r="U18" s="25"/>
    </row>
    <row r="19" spans="1:21" ht="15" customHeight="1">
      <c r="A19" s="9"/>
      <c r="O19" s="6" t="s">
        <v>536</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464</v>
      </c>
      <c r="B36" s="66"/>
      <c r="C36" s="66"/>
    </row>
    <row r="37" spans="1:14" ht="15" customHeight="1">
      <c r="A37" s="9"/>
    </row>
    <row r="38" spans="1:14">
      <c r="A38" s="7" t="s">
        <v>454</v>
      </c>
      <c r="B38" s="55"/>
      <c r="C38" s="55"/>
      <c r="D38" s="55"/>
      <c r="E38" s="55"/>
      <c r="F38" s="55"/>
      <c r="G38" s="55"/>
      <c r="H38" s="258" t="s">
        <v>455</v>
      </c>
      <c r="I38" s="258"/>
      <c r="J38" s="258"/>
      <c r="K38" s="258"/>
      <c r="L38" s="258"/>
      <c r="M38" s="258"/>
      <c r="N38" s="55"/>
    </row>
    <row r="39" spans="1:14">
      <c r="A39" s="103"/>
      <c r="B39" s="114"/>
      <c r="C39" s="114"/>
      <c r="D39" s="259" t="s">
        <v>538</v>
      </c>
      <c r="E39" s="260"/>
      <c r="F39" s="261" t="s">
        <v>538</v>
      </c>
      <c r="G39" s="262"/>
      <c r="H39" s="261" t="s">
        <v>539</v>
      </c>
      <c r="I39" s="262"/>
      <c r="J39" s="261" t="s">
        <v>540</v>
      </c>
      <c r="K39" s="262"/>
      <c r="L39" s="261" t="s">
        <v>540</v>
      </c>
      <c r="M39" s="262"/>
      <c r="N39" s="55"/>
    </row>
    <row r="40" spans="1:14">
      <c r="A40" s="103"/>
      <c r="B40" s="115" t="s">
        <v>456</v>
      </c>
      <c r="C40" s="116" t="s">
        <v>542</v>
      </c>
      <c r="D40" s="117" t="str">
        <f>Innehåll!D79</f>
        <v xml:space="preserve"> 2023-06</v>
      </c>
      <c r="E40" s="117" t="str">
        <f>Innehåll!D80</f>
        <v xml:space="preserve"> 2022-06</v>
      </c>
      <c r="F40" s="117" t="str">
        <f>Innehåll!D81</f>
        <v>YTD  2023</v>
      </c>
      <c r="G40" s="117" t="str">
        <f>Innehåll!D82</f>
        <v>YTD  2022</v>
      </c>
      <c r="H40" s="117" t="str">
        <f>D40</f>
        <v xml:space="preserve"> 2023-06</v>
      </c>
      <c r="I40" s="118" t="str">
        <f>F40</f>
        <v>YTD  2023</v>
      </c>
      <c r="J40" s="117" t="str">
        <f>D40</f>
        <v xml:space="preserve"> 2023-06</v>
      </c>
      <c r="K40" s="119" t="str">
        <f>F40</f>
        <v>YTD  2023</v>
      </c>
      <c r="L40" s="120" t="str">
        <f>E40</f>
        <v xml:space="preserve"> 2022-06</v>
      </c>
      <c r="M40" s="120" t="str">
        <f>G40</f>
        <v>YTD  2022</v>
      </c>
      <c r="N40" s="55"/>
    </row>
    <row r="41" spans="1:14" ht="15" hidden="1" customHeight="1">
      <c r="A41" s="55" t="s">
        <v>24</v>
      </c>
      <c r="B41" s="55" t="s">
        <v>226</v>
      </c>
      <c r="C41" s="55" t="s">
        <v>227</v>
      </c>
      <c r="D41" s="55" t="s">
        <v>26</v>
      </c>
      <c r="E41" s="55" t="s">
        <v>27</v>
      </c>
      <c r="F41" s="55" t="s">
        <v>28</v>
      </c>
      <c r="G41" s="55" t="s">
        <v>29</v>
      </c>
      <c r="H41" s="55" t="s">
        <v>30</v>
      </c>
      <c r="I41" s="55" t="s">
        <v>31</v>
      </c>
      <c r="J41" s="55" t="s">
        <v>32</v>
      </c>
      <c r="K41" s="55" t="s">
        <v>33</v>
      </c>
      <c r="L41" s="55" t="s">
        <v>34</v>
      </c>
      <c r="M41" s="55" t="s">
        <v>35</v>
      </c>
      <c r="N41" s="55"/>
    </row>
    <row r="42" spans="1:14">
      <c r="A42" s="55">
        <v>1</v>
      </c>
      <c r="B42" s="55" t="s">
        <v>603</v>
      </c>
      <c r="C42" s="55" t="s">
        <v>20</v>
      </c>
      <c r="D42" s="22">
        <v>2377</v>
      </c>
      <c r="E42" s="22">
        <v>1876</v>
      </c>
      <c r="F42" s="22">
        <v>8542</v>
      </c>
      <c r="G42" s="22">
        <v>4147</v>
      </c>
      <c r="H42" s="55">
        <v>26.71</v>
      </c>
      <c r="I42" s="55">
        <v>105.98</v>
      </c>
      <c r="J42" s="55">
        <v>14.19</v>
      </c>
      <c r="K42" s="55">
        <v>10.47</v>
      </c>
      <c r="L42" s="55">
        <v>13.05</v>
      </c>
      <c r="M42" s="55">
        <v>5.54</v>
      </c>
      <c r="N42" s="55"/>
    </row>
    <row r="43" spans="1:14">
      <c r="A43" s="55">
        <v>2</v>
      </c>
      <c r="B43" s="55" t="s">
        <v>425</v>
      </c>
      <c r="C43" s="55" t="s">
        <v>20</v>
      </c>
      <c r="D43" s="22">
        <v>502</v>
      </c>
      <c r="E43" s="22">
        <v>89</v>
      </c>
      <c r="F43" s="22">
        <v>4985</v>
      </c>
      <c r="G43" s="22">
        <v>2220</v>
      </c>
      <c r="H43" s="55">
        <v>464.04</v>
      </c>
      <c r="I43" s="55">
        <v>124.55</v>
      </c>
      <c r="J43" s="55">
        <v>3</v>
      </c>
      <c r="K43" s="55">
        <v>6.11</v>
      </c>
      <c r="L43" s="55">
        <v>0.62</v>
      </c>
      <c r="M43" s="55">
        <v>2.97</v>
      </c>
      <c r="N43" s="55"/>
    </row>
    <row r="44" spans="1:14">
      <c r="A44" s="55">
        <v>3</v>
      </c>
      <c r="B44" s="55" t="s">
        <v>395</v>
      </c>
      <c r="C44" s="55" t="s">
        <v>19</v>
      </c>
      <c r="D44" s="22">
        <v>949</v>
      </c>
      <c r="E44" s="22">
        <v>151</v>
      </c>
      <c r="F44" s="22">
        <v>4470</v>
      </c>
      <c r="G44" s="22">
        <v>3093</v>
      </c>
      <c r="H44" s="55">
        <v>528.48</v>
      </c>
      <c r="I44" s="55">
        <v>44.52</v>
      </c>
      <c r="J44" s="55">
        <v>5.66</v>
      </c>
      <c r="K44" s="55">
        <v>5.48</v>
      </c>
      <c r="L44" s="55">
        <v>1.05</v>
      </c>
      <c r="M44" s="55">
        <v>4.13</v>
      </c>
      <c r="N44" s="55"/>
    </row>
    <row r="45" spans="1:14">
      <c r="A45" s="55">
        <v>4</v>
      </c>
      <c r="B45" s="55" t="s">
        <v>481</v>
      </c>
      <c r="C45" s="55" t="s">
        <v>20</v>
      </c>
      <c r="D45" s="22">
        <v>972</v>
      </c>
      <c r="E45" s="22">
        <v>759</v>
      </c>
      <c r="F45" s="22">
        <v>4362</v>
      </c>
      <c r="G45" s="22">
        <v>3859</v>
      </c>
      <c r="H45" s="55">
        <v>28.06</v>
      </c>
      <c r="I45" s="55">
        <v>13.03</v>
      </c>
      <c r="J45" s="55">
        <v>5.8</v>
      </c>
      <c r="K45" s="55">
        <v>5.35</v>
      </c>
      <c r="L45" s="55">
        <v>5.28</v>
      </c>
      <c r="M45" s="55">
        <v>5.16</v>
      </c>
      <c r="N45" s="55"/>
    </row>
    <row r="46" spans="1:14">
      <c r="A46" s="55">
        <v>5</v>
      </c>
      <c r="B46" s="55" t="s">
        <v>631</v>
      </c>
      <c r="C46" s="55" t="s">
        <v>20</v>
      </c>
      <c r="D46" s="22">
        <v>608</v>
      </c>
      <c r="E46" s="22">
        <v>214</v>
      </c>
      <c r="F46" s="22">
        <v>2605</v>
      </c>
      <c r="G46" s="22">
        <v>1703</v>
      </c>
      <c r="H46" s="55">
        <v>184.11</v>
      </c>
      <c r="I46" s="55">
        <v>52.97</v>
      </c>
      <c r="J46" s="55">
        <v>3.63</v>
      </c>
      <c r="K46" s="55">
        <v>3.19</v>
      </c>
      <c r="L46" s="55">
        <v>1.49</v>
      </c>
      <c r="M46" s="55">
        <v>2.2799999999999998</v>
      </c>
      <c r="N46" s="55"/>
    </row>
    <row r="47" spans="1:14">
      <c r="A47" s="55">
        <v>6</v>
      </c>
      <c r="B47" s="55" t="s">
        <v>570</v>
      </c>
      <c r="C47" s="55" t="s">
        <v>20</v>
      </c>
      <c r="D47" s="22">
        <v>425</v>
      </c>
      <c r="E47" s="22">
        <v>523</v>
      </c>
      <c r="F47" s="22">
        <v>1945</v>
      </c>
      <c r="G47" s="22">
        <v>1713</v>
      </c>
      <c r="H47" s="55">
        <v>-18.739999999999998</v>
      </c>
      <c r="I47" s="55">
        <v>13.54</v>
      </c>
      <c r="J47" s="55">
        <v>2.54</v>
      </c>
      <c r="K47" s="55">
        <v>2.38</v>
      </c>
      <c r="L47" s="55">
        <v>3.64</v>
      </c>
      <c r="M47" s="55">
        <v>2.29</v>
      </c>
      <c r="N47" s="55"/>
    </row>
    <row r="48" spans="1:14">
      <c r="A48" s="55">
        <v>7</v>
      </c>
      <c r="B48" s="55" t="s">
        <v>639</v>
      </c>
      <c r="C48" s="55" t="s">
        <v>20</v>
      </c>
      <c r="D48" s="22">
        <v>243</v>
      </c>
      <c r="E48" s="22">
        <v>17</v>
      </c>
      <c r="F48" s="22">
        <v>1901</v>
      </c>
      <c r="G48" s="22">
        <v>360</v>
      </c>
      <c r="H48" s="55">
        <v>1329.41</v>
      </c>
      <c r="I48" s="55">
        <v>428.06</v>
      </c>
      <c r="J48" s="55">
        <v>1.45</v>
      </c>
      <c r="K48" s="55">
        <v>2.33</v>
      </c>
      <c r="L48" s="55">
        <v>0.12</v>
      </c>
      <c r="M48" s="55">
        <v>0.48</v>
      </c>
      <c r="N48" s="55"/>
    </row>
    <row r="49" spans="1:14">
      <c r="A49" s="55">
        <v>8</v>
      </c>
      <c r="B49" s="55" t="s">
        <v>230</v>
      </c>
      <c r="C49" s="55" t="s">
        <v>20</v>
      </c>
      <c r="D49" s="22">
        <v>351</v>
      </c>
      <c r="E49" s="22">
        <v>703</v>
      </c>
      <c r="F49" s="22">
        <v>1868</v>
      </c>
      <c r="G49" s="22">
        <v>4417</v>
      </c>
      <c r="H49" s="55">
        <v>-50.07</v>
      </c>
      <c r="I49" s="55">
        <v>-57.71</v>
      </c>
      <c r="J49" s="55">
        <v>2.1</v>
      </c>
      <c r="K49" s="55">
        <v>2.29</v>
      </c>
      <c r="L49" s="55">
        <v>4.8899999999999997</v>
      </c>
      <c r="M49" s="55">
        <v>5.9</v>
      </c>
      <c r="N49" s="55"/>
    </row>
    <row r="50" spans="1:14">
      <c r="A50" s="55">
        <v>9</v>
      </c>
      <c r="B50" s="55" t="s">
        <v>690</v>
      </c>
      <c r="C50" s="55" t="s">
        <v>19</v>
      </c>
      <c r="D50" s="22">
        <v>281</v>
      </c>
      <c r="E50" s="22">
        <v>649</v>
      </c>
      <c r="F50" s="22">
        <v>1841</v>
      </c>
      <c r="G50" s="22">
        <v>1416</v>
      </c>
      <c r="H50" s="55">
        <v>-56.7</v>
      </c>
      <c r="I50" s="55">
        <v>30.01</v>
      </c>
      <c r="J50" s="55">
        <v>1.68</v>
      </c>
      <c r="K50" s="55">
        <v>2.2599999999999998</v>
      </c>
      <c r="L50" s="55">
        <v>4.5199999999999996</v>
      </c>
      <c r="M50" s="55">
        <v>1.89</v>
      </c>
      <c r="N50" s="55"/>
    </row>
    <row r="51" spans="1:14">
      <c r="A51" s="55">
        <v>10</v>
      </c>
      <c r="B51" s="55" t="s">
        <v>373</v>
      </c>
      <c r="C51" s="55" t="s">
        <v>19</v>
      </c>
      <c r="D51" s="22">
        <v>412</v>
      </c>
      <c r="E51" s="22">
        <v>877</v>
      </c>
      <c r="F51" s="22">
        <v>1833</v>
      </c>
      <c r="G51" s="22">
        <v>3349</v>
      </c>
      <c r="H51" s="55">
        <v>-53.02</v>
      </c>
      <c r="I51" s="55">
        <v>-45.27</v>
      </c>
      <c r="J51" s="55">
        <v>2.46</v>
      </c>
      <c r="K51" s="55">
        <v>2.25</v>
      </c>
      <c r="L51" s="55">
        <v>6.1</v>
      </c>
      <c r="M51" s="55">
        <v>4.47</v>
      </c>
      <c r="N51" s="55"/>
    </row>
    <row r="52" spans="1:14">
      <c r="A52" s="55">
        <v>11</v>
      </c>
      <c r="B52" s="55" t="s">
        <v>406</v>
      </c>
      <c r="C52" s="55" t="s">
        <v>20</v>
      </c>
      <c r="D52" s="22">
        <v>450</v>
      </c>
      <c r="E52" s="22">
        <v>289</v>
      </c>
      <c r="F52" s="22">
        <v>1789</v>
      </c>
      <c r="G52" s="22">
        <v>2288</v>
      </c>
      <c r="H52" s="55">
        <v>55.71</v>
      </c>
      <c r="I52" s="55">
        <v>-21.81</v>
      </c>
      <c r="J52" s="55">
        <v>2.69</v>
      </c>
      <c r="K52" s="55">
        <v>2.19</v>
      </c>
      <c r="L52" s="55">
        <v>2.0099999999999998</v>
      </c>
      <c r="M52" s="55">
        <v>3.06</v>
      </c>
      <c r="N52" s="55"/>
    </row>
    <row r="53" spans="1:14">
      <c r="A53" s="55">
        <v>12</v>
      </c>
      <c r="B53" s="55" t="s">
        <v>55</v>
      </c>
      <c r="C53" s="55" t="s">
        <v>20</v>
      </c>
      <c r="D53" s="22">
        <v>464</v>
      </c>
      <c r="E53" s="22">
        <v>175</v>
      </c>
      <c r="F53" s="22">
        <v>1718</v>
      </c>
      <c r="G53" s="22">
        <v>1358</v>
      </c>
      <c r="H53" s="55">
        <v>165.14</v>
      </c>
      <c r="I53" s="55">
        <v>26.51</v>
      </c>
      <c r="J53" s="55">
        <v>2.77</v>
      </c>
      <c r="K53" s="55">
        <v>2.11</v>
      </c>
      <c r="L53" s="55">
        <v>1.22</v>
      </c>
      <c r="M53" s="55">
        <v>1.81</v>
      </c>
      <c r="N53" s="55"/>
    </row>
    <row r="54" spans="1:14">
      <c r="A54" s="55">
        <v>13</v>
      </c>
      <c r="B54" s="55" t="s">
        <v>595</v>
      </c>
      <c r="C54" s="55" t="s">
        <v>20</v>
      </c>
      <c r="D54" s="22">
        <v>433</v>
      </c>
      <c r="E54" s="22">
        <v>106</v>
      </c>
      <c r="F54" s="22">
        <v>1574</v>
      </c>
      <c r="G54" s="22">
        <v>1096</v>
      </c>
      <c r="H54" s="55">
        <v>308.49</v>
      </c>
      <c r="I54" s="55">
        <v>43.61</v>
      </c>
      <c r="J54" s="55">
        <v>2.58</v>
      </c>
      <c r="K54" s="55">
        <v>1.93</v>
      </c>
      <c r="L54" s="55">
        <v>0.74</v>
      </c>
      <c r="M54" s="55">
        <v>1.46</v>
      </c>
      <c r="N54" s="55"/>
    </row>
    <row r="55" spans="1:14">
      <c r="A55" s="55">
        <v>14</v>
      </c>
      <c r="B55" s="55" t="s">
        <v>419</v>
      </c>
      <c r="C55" s="55" t="s">
        <v>20</v>
      </c>
      <c r="D55" s="22">
        <v>224</v>
      </c>
      <c r="E55" s="22">
        <v>108</v>
      </c>
      <c r="F55" s="22">
        <v>1453</v>
      </c>
      <c r="G55" s="22">
        <v>729</v>
      </c>
      <c r="H55" s="55">
        <v>107.41</v>
      </c>
      <c r="I55" s="55">
        <v>99.31</v>
      </c>
      <c r="J55" s="55">
        <v>1.34</v>
      </c>
      <c r="K55" s="55">
        <v>1.78</v>
      </c>
      <c r="L55" s="55">
        <v>0.75</v>
      </c>
      <c r="M55" s="55">
        <v>0.97</v>
      </c>
      <c r="N55" s="55"/>
    </row>
    <row r="56" spans="1:14">
      <c r="A56" s="55">
        <v>15</v>
      </c>
      <c r="B56" s="55" t="s">
        <v>396</v>
      </c>
      <c r="C56" s="55" t="s">
        <v>19</v>
      </c>
      <c r="D56" s="22">
        <v>320</v>
      </c>
      <c r="E56" s="22">
        <v>66</v>
      </c>
      <c r="F56" s="22">
        <v>1248</v>
      </c>
      <c r="G56" s="22">
        <v>1074</v>
      </c>
      <c r="H56" s="55">
        <v>384.85</v>
      </c>
      <c r="I56" s="55">
        <v>16.2</v>
      </c>
      <c r="J56" s="55">
        <v>1.91</v>
      </c>
      <c r="K56" s="55">
        <v>1.53</v>
      </c>
      <c r="L56" s="55">
        <v>0.46</v>
      </c>
      <c r="M56" s="55">
        <v>1.43</v>
      </c>
      <c r="N56" s="55"/>
    </row>
    <row r="57" spans="1:14">
      <c r="A57" s="55">
        <v>16</v>
      </c>
      <c r="B57" s="55" t="s">
        <v>695</v>
      </c>
      <c r="C57" s="55" t="s">
        <v>20</v>
      </c>
      <c r="D57" s="22">
        <v>33</v>
      </c>
      <c r="E57" s="22">
        <v>72</v>
      </c>
      <c r="F57" s="22">
        <v>1188</v>
      </c>
      <c r="G57" s="22">
        <v>235</v>
      </c>
      <c r="H57" s="55">
        <v>-54.17</v>
      </c>
      <c r="I57" s="55">
        <v>405.53</v>
      </c>
      <c r="J57" s="55">
        <v>0.2</v>
      </c>
      <c r="K57" s="55">
        <v>1.46</v>
      </c>
      <c r="L57" s="55">
        <v>0.5</v>
      </c>
      <c r="M57" s="55">
        <v>0.31</v>
      </c>
      <c r="N57" s="55"/>
    </row>
    <row r="58" spans="1:14">
      <c r="A58" s="55">
        <v>17</v>
      </c>
      <c r="B58" s="55" t="s">
        <v>377</v>
      </c>
      <c r="C58" s="55" t="s">
        <v>19</v>
      </c>
      <c r="D58" s="22">
        <v>35</v>
      </c>
      <c r="E58" s="22">
        <v>477</v>
      </c>
      <c r="F58" s="22">
        <v>1054</v>
      </c>
      <c r="G58" s="22">
        <v>2252</v>
      </c>
      <c r="H58" s="55">
        <v>-92.66</v>
      </c>
      <c r="I58" s="55">
        <v>-53.2</v>
      </c>
      <c r="J58" s="55">
        <v>0.21</v>
      </c>
      <c r="K58" s="55">
        <v>1.29</v>
      </c>
      <c r="L58" s="55">
        <v>3.32</v>
      </c>
      <c r="M58" s="55">
        <v>3.01</v>
      </c>
      <c r="N58" s="55"/>
    </row>
    <row r="59" spans="1:14">
      <c r="A59" s="55">
        <v>18</v>
      </c>
      <c r="B59" s="55" t="s">
        <v>411</v>
      </c>
      <c r="C59" s="55" t="s">
        <v>19</v>
      </c>
      <c r="D59" s="22">
        <v>215</v>
      </c>
      <c r="E59" s="22">
        <v>131</v>
      </c>
      <c r="F59" s="22">
        <v>1049</v>
      </c>
      <c r="G59" s="22">
        <v>2194</v>
      </c>
      <c r="H59" s="55">
        <v>64.12</v>
      </c>
      <c r="I59" s="55">
        <v>-52.19</v>
      </c>
      <c r="J59" s="55">
        <v>1.28</v>
      </c>
      <c r="K59" s="55">
        <v>1.29</v>
      </c>
      <c r="L59" s="55">
        <v>0.91</v>
      </c>
      <c r="M59" s="55">
        <v>2.93</v>
      </c>
      <c r="N59" s="55"/>
    </row>
    <row r="60" spans="1:14">
      <c r="A60" s="55">
        <v>19</v>
      </c>
      <c r="B60" s="55" t="s">
        <v>232</v>
      </c>
      <c r="C60" s="55" t="s">
        <v>19</v>
      </c>
      <c r="D60" s="22">
        <v>156</v>
      </c>
      <c r="E60" s="22">
        <v>93</v>
      </c>
      <c r="F60" s="22">
        <v>1013</v>
      </c>
      <c r="G60" s="22">
        <v>630</v>
      </c>
      <c r="H60" s="55">
        <v>67.739999999999995</v>
      </c>
      <c r="I60" s="55">
        <v>60.79</v>
      </c>
      <c r="J60" s="55">
        <v>0.93</v>
      </c>
      <c r="K60" s="55">
        <v>1.24</v>
      </c>
      <c r="L60" s="55">
        <v>0.65</v>
      </c>
      <c r="M60" s="55">
        <v>0.84</v>
      </c>
      <c r="N60" s="55"/>
    </row>
    <row r="61" spans="1:14">
      <c r="A61" s="55">
        <v>20</v>
      </c>
      <c r="B61" s="55" t="s">
        <v>575</v>
      </c>
      <c r="C61" s="55" t="s">
        <v>19</v>
      </c>
      <c r="D61" s="22">
        <v>200</v>
      </c>
      <c r="E61" s="22">
        <v>135</v>
      </c>
      <c r="F61" s="22">
        <v>986</v>
      </c>
      <c r="G61" s="22">
        <v>983</v>
      </c>
      <c r="H61" s="55">
        <v>48.15</v>
      </c>
      <c r="I61" s="55">
        <v>0.31</v>
      </c>
      <c r="J61" s="55">
        <v>1.19</v>
      </c>
      <c r="K61" s="55">
        <v>1.21</v>
      </c>
      <c r="L61" s="55">
        <v>0.94</v>
      </c>
      <c r="M61" s="55">
        <v>1.31</v>
      </c>
      <c r="N61" s="55"/>
    </row>
    <row r="62" spans="1:14">
      <c r="A62" s="55">
        <v>21</v>
      </c>
      <c r="B62" s="55" t="s">
        <v>1008</v>
      </c>
      <c r="C62" s="55" t="s">
        <v>20</v>
      </c>
      <c r="D62" s="22">
        <v>272</v>
      </c>
      <c r="E62" s="22">
        <v>0</v>
      </c>
      <c r="F62" s="22">
        <v>935</v>
      </c>
      <c r="G62" s="22">
        <v>0</v>
      </c>
      <c r="H62" s="55">
        <v>0</v>
      </c>
      <c r="I62" s="55">
        <v>0</v>
      </c>
      <c r="J62" s="55">
        <v>1.62</v>
      </c>
      <c r="K62" s="55">
        <v>1.1499999999999999</v>
      </c>
      <c r="L62" s="55">
        <v>0</v>
      </c>
      <c r="M62" s="55">
        <v>0</v>
      </c>
      <c r="N62" s="55"/>
    </row>
    <row r="63" spans="1:14">
      <c r="A63" s="55">
        <v>22</v>
      </c>
      <c r="B63" s="55" t="s">
        <v>691</v>
      </c>
      <c r="C63" s="55" t="s">
        <v>20</v>
      </c>
      <c r="D63" s="22">
        <v>288</v>
      </c>
      <c r="E63" s="22">
        <v>107</v>
      </c>
      <c r="F63" s="22">
        <v>902</v>
      </c>
      <c r="G63" s="22">
        <v>205</v>
      </c>
      <c r="H63" s="55">
        <v>169.16</v>
      </c>
      <c r="I63" s="55">
        <v>340</v>
      </c>
      <c r="J63" s="55">
        <v>1.72</v>
      </c>
      <c r="K63" s="55">
        <v>1.1100000000000001</v>
      </c>
      <c r="L63" s="55">
        <v>0.74</v>
      </c>
      <c r="M63" s="55">
        <v>0.27</v>
      </c>
      <c r="N63" s="55"/>
    </row>
    <row r="64" spans="1:14">
      <c r="A64" s="55">
        <v>23</v>
      </c>
      <c r="B64" s="55" t="s">
        <v>426</v>
      </c>
      <c r="C64" s="55" t="s">
        <v>19</v>
      </c>
      <c r="D64" s="22">
        <v>379</v>
      </c>
      <c r="E64" s="22">
        <v>112</v>
      </c>
      <c r="F64" s="22">
        <v>882</v>
      </c>
      <c r="G64" s="22">
        <v>1115</v>
      </c>
      <c r="H64" s="55">
        <v>238.39</v>
      </c>
      <c r="I64" s="55">
        <v>-20.9</v>
      </c>
      <c r="J64" s="55">
        <v>2.2599999999999998</v>
      </c>
      <c r="K64" s="55">
        <v>1.08</v>
      </c>
      <c r="L64" s="55">
        <v>0.78</v>
      </c>
      <c r="M64" s="55">
        <v>1.49</v>
      </c>
      <c r="N64" s="55"/>
    </row>
    <row r="65" spans="1:14">
      <c r="A65" s="55">
        <v>24</v>
      </c>
      <c r="B65" s="55" t="s">
        <v>94</v>
      </c>
      <c r="C65" s="55" t="s">
        <v>20</v>
      </c>
      <c r="D65" s="22">
        <v>162</v>
      </c>
      <c r="E65" s="22">
        <v>68</v>
      </c>
      <c r="F65" s="22">
        <v>862</v>
      </c>
      <c r="G65" s="22">
        <v>1518</v>
      </c>
      <c r="H65" s="55">
        <v>138.24</v>
      </c>
      <c r="I65" s="55">
        <v>-43.21</v>
      </c>
      <c r="J65" s="55">
        <v>0.97</v>
      </c>
      <c r="K65" s="55">
        <v>1.06</v>
      </c>
      <c r="L65" s="55">
        <v>0.47</v>
      </c>
      <c r="M65" s="55">
        <v>2.0299999999999998</v>
      </c>
      <c r="N65" s="55"/>
    </row>
    <row r="66" spans="1:14">
      <c r="A66" s="55">
        <v>25</v>
      </c>
      <c r="B66" s="55" t="s">
        <v>697</v>
      </c>
      <c r="C66" s="55" t="s">
        <v>20</v>
      </c>
      <c r="D66" s="22">
        <v>280</v>
      </c>
      <c r="E66" s="22">
        <v>92</v>
      </c>
      <c r="F66" s="22">
        <v>834</v>
      </c>
      <c r="G66" s="22">
        <v>165</v>
      </c>
      <c r="H66" s="55">
        <v>204.35</v>
      </c>
      <c r="I66" s="55">
        <v>405.45</v>
      </c>
      <c r="J66" s="55">
        <v>1.67</v>
      </c>
      <c r="K66" s="55">
        <v>1.02</v>
      </c>
      <c r="L66" s="55">
        <v>0.64</v>
      </c>
      <c r="M66" s="55">
        <v>0.22</v>
      </c>
      <c r="N66" s="55"/>
    </row>
    <row r="67" spans="1:14">
      <c r="A67" s="55">
        <v>26</v>
      </c>
      <c r="B67" s="55" t="s">
        <v>1027</v>
      </c>
      <c r="C67" s="55" t="s">
        <v>20</v>
      </c>
      <c r="D67" s="22">
        <v>99</v>
      </c>
      <c r="E67" s="22">
        <v>0</v>
      </c>
      <c r="F67" s="22">
        <v>768</v>
      </c>
      <c r="G67" s="22">
        <v>0</v>
      </c>
      <c r="H67" s="55">
        <v>0</v>
      </c>
      <c r="I67" s="55">
        <v>0</v>
      </c>
      <c r="J67" s="55">
        <v>0.59</v>
      </c>
      <c r="K67" s="55">
        <v>0.94</v>
      </c>
      <c r="L67" s="55">
        <v>0</v>
      </c>
      <c r="M67" s="55">
        <v>0</v>
      </c>
      <c r="N67" s="55"/>
    </row>
    <row r="68" spans="1:14">
      <c r="A68" s="55">
        <v>27</v>
      </c>
      <c r="B68" s="55" t="s">
        <v>984</v>
      </c>
      <c r="C68" s="55" t="s">
        <v>19</v>
      </c>
      <c r="D68" s="22">
        <v>55</v>
      </c>
      <c r="E68" s="22">
        <v>0</v>
      </c>
      <c r="F68" s="22">
        <v>761</v>
      </c>
      <c r="G68" s="22">
        <v>0</v>
      </c>
      <c r="H68" s="55">
        <v>0</v>
      </c>
      <c r="I68" s="55">
        <v>0</v>
      </c>
      <c r="J68" s="55">
        <v>0.33</v>
      </c>
      <c r="K68" s="55">
        <v>0.93</v>
      </c>
      <c r="L68" s="55">
        <v>0</v>
      </c>
      <c r="M68" s="55">
        <v>0</v>
      </c>
      <c r="N68" s="55"/>
    </row>
    <row r="69" spans="1:14">
      <c r="A69" s="55">
        <v>28</v>
      </c>
      <c r="B69" s="55" t="s">
        <v>640</v>
      </c>
      <c r="C69" s="55" t="s">
        <v>20</v>
      </c>
      <c r="D69" s="22">
        <v>13</v>
      </c>
      <c r="E69" s="22">
        <v>151</v>
      </c>
      <c r="F69" s="22">
        <v>760</v>
      </c>
      <c r="G69" s="22">
        <v>614</v>
      </c>
      <c r="H69" s="55">
        <v>-91.39</v>
      </c>
      <c r="I69" s="55">
        <v>23.78</v>
      </c>
      <c r="J69" s="55">
        <v>0.08</v>
      </c>
      <c r="K69" s="55">
        <v>0.93</v>
      </c>
      <c r="L69" s="55">
        <v>1.05</v>
      </c>
      <c r="M69" s="55">
        <v>0.82</v>
      </c>
      <c r="N69" s="55"/>
    </row>
    <row r="70" spans="1:14">
      <c r="A70" s="55">
        <v>29</v>
      </c>
      <c r="B70" s="55" t="s">
        <v>137</v>
      </c>
      <c r="C70" s="55" t="s">
        <v>20</v>
      </c>
      <c r="D70" s="22">
        <v>175</v>
      </c>
      <c r="E70" s="22">
        <v>387</v>
      </c>
      <c r="F70" s="22">
        <v>759</v>
      </c>
      <c r="G70" s="22">
        <v>1112</v>
      </c>
      <c r="H70" s="55">
        <v>-54.78</v>
      </c>
      <c r="I70" s="55">
        <v>-31.74</v>
      </c>
      <c r="J70" s="55">
        <v>1.04</v>
      </c>
      <c r="K70" s="55">
        <v>0.93</v>
      </c>
      <c r="L70" s="55">
        <v>2.69</v>
      </c>
      <c r="M70" s="55">
        <v>1.49</v>
      </c>
      <c r="N70" s="55"/>
    </row>
    <row r="71" spans="1:14">
      <c r="A71" s="55">
        <v>30</v>
      </c>
      <c r="B71" s="55" t="s">
        <v>648</v>
      </c>
      <c r="C71" s="55" t="s">
        <v>20</v>
      </c>
      <c r="D71" s="22">
        <v>170</v>
      </c>
      <c r="E71" s="22">
        <v>119</v>
      </c>
      <c r="F71" s="22">
        <v>754</v>
      </c>
      <c r="G71" s="22">
        <v>306</v>
      </c>
      <c r="H71" s="55">
        <v>42.86</v>
      </c>
      <c r="I71" s="55">
        <v>146.41</v>
      </c>
      <c r="J71" s="55">
        <v>1.01</v>
      </c>
      <c r="K71" s="55">
        <v>0.92</v>
      </c>
      <c r="L71" s="55">
        <v>0.83</v>
      </c>
      <c r="M71" s="55">
        <v>0.41</v>
      </c>
      <c r="N71" s="55"/>
    </row>
    <row r="72" spans="1:14">
      <c r="A72" s="55">
        <v>31</v>
      </c>
      <c r="B72" s="55" t="s">
        <v>646</v>
      </c>
      <c r="C72" s="55" t="s">
        <v>19</v>
      </c>
      <c r="D72" s="22">
        <v>179</v>
      </c>
      <c r="E72" s="22">
        <v>168</v>
      </c>
      <c r="F72" s="22">
        <v>748</v>
      </c>
      <c r="G72" s="22">
        <v>517</v>
      </c>
      <c r="H72" s="55">
        <v>6.55</v>
      </c>
      <c r="I72" s="55">
        <v>44.68</v>
      </c>
      <c r="J72" s="55">
        <v>1.07</v>
      </c>
      <c r="K72" s="55">
        <v>0.92</v>
      </c>
      <c r="L72" s="55">
        <v>1.17</v>
      </c>
      <c r="M72" s="55">
        <v>0.69</v>
      </c>
      <c r="N72" s="55"/>
    </row>
    <row r="73" spans="1:14">
      <c r="A73" s="55">
        <v>32</v>
      </c>
      <c r="B73" s="55" t="s">
        <v>397</v>
      </c>
      <c r="C73" s="55" t="s">
        <v>19</v>
      </c>
      <c r="D73" s="22">
        <v>100</v>
      </c>
      <c r="E73" s="22">
        <v>30</v>
      </c>
      <c r="F73" s="22">
        <v>718</v>
      </c>
      <c r="G73" s="22">
        <v>1085</v>
      </c>
      <c r="H73" s="55">
        <v>233.33</v>
      </c>
      <c r="I73" s="55">
        <v>-33.82</v>
      </c>
      <c r="J73" s="55">
        <v>0.6</v>
      </c>
      <c r="K73" s="55">
        <v>0.88</v>
      </c>
      <c r="L73" s="55">
        <v>0.21</v>
      </c>
      <c r="M73" s="55">
        <v>1.45</v>
      </c>
      <c r="N73" s="55"/>
    </row>
    <row r="74" spans="1:14">
      <c r="A74" s="55">
        <v>33</v>
      </c>
      <c r="B74" s="55" t="s">
        <v>402</v>
      </c>
      <c r="C74" s="55" t="s">
        <v>19</v>
      </c>
      <c r="D74" s="22">
        <v>95</v>
      </c>
      <c r="E74" s="22">
        <v>178</v>
      </c>
      <c r="F74" s="22">
        <v>718</v>
      </c>
      <c r="G74" s="22">
        <v>896</v>
      </c>
      <c r="H74" s="55">
        <v>-46.63</v>
      </c>
      <c r="I74" s="55">
        <v>-19.87</v>
      </c>
      <c r="J74" s="55">
        <v>0.56999999999999995</v>
      </c>
      <c r="K74" s="55">
        <v>0.88</v>
      </c>
      <c r="L74" s="55">
        <v>1.24</v>
      </c>
      <c r="M74" s="55">
        <v>1.2</v>
      </c>
      <c r="N74" s="55"/>
    </row>
    <row r="75" spans="1:14">
      <c r="A75" s="55">
        <v>34</v>
      </c>
      <c r="B75" s="55" t="s">
        <v>1132</v>
      </c>
      <c r="C75" s="55" t="s">
        <v>20</v>
      </c>
      <c r="D75" s="22">
        <v>148</v>
      </c>
      <c r="E75" s="22">
        <v>95</v>
      </c>
      <c r="F75" s="22">
        <v>688</v>
      </c>
      <c r="G75" s="22">
        <v>95</v>
      </c>
      <c r="H75" s="55">
        <v>55.79</v>
      </c>
      <c r="I75" s="55">
        <v>624.21</v>
      </c>
      <c r="J75" s="55">
        <v>0.88</v>
      </c>
      <c r="K75" s="55">
        <v>0.84</v>
      </c>
      <c r="L75" s="55">
        <v>0.66</v>
      </c>
      <c r="M75" s="55">
        <v>0.13</v>
      </c>
      <c r="N75" s="55"/>
    </row>
    <row r="76" spans="1:14">
      <c r="A76" s="55">
        <v>35</v>
      </c>
      <c r="B76" s="55" t="s">
        <v>1024</v>
      </c>
      <c r="C76" s="55" t="s">
        <v>20</v>
      </c>
      <c r="D76" s="22">
        <v>302</v>
      </c>
      <c r="E76" s="22">
        <v>0</v>
      </c>
      <c r="F76" s="22">
        <v>675</v>
      </c>
      <c r="G76" s="22">
        <v>0</v>
      </c>
      <c r="H76" s="55">
        <v>0</v>
      </c>
      <c r="I76" s="55">
        <v>0</v>
      </c>
      <c r="J76" s="55">
        <v>1.8</v>
      </c>
      <c r="K76" s="55">
        <v>0.83</v>
      </c>
      <c r="L76" s="55">
        <v>0</v>
      </c>
      <c r="M76" s="55">
        <v>0</v>
      </c>
      <c r="N76" s="55"/>
    </row>
    <row r="77" spans="1:14">
      <c r="A77" s="55">
        <v>36</v>
      </c>
      <c r="B77" s="55" t="s">
        <v>692</v>
      </c>
      <c r="C77" s="55" t="s">
        <v>20</v>
      </c>
      <c r="D77" s="22">
        <v>16</v>
      </c>
      <c r="E77" s="22">
        <v>0</v>
      </c>
      <c r="F77" s="22">
        <v>667</v>
      </c>
      <c r="G77" s="22">
        <v>8</v>
      </c>
      <c r="H77" s="55">
        <v>0</v>
      </c>
      <c r="I77" s="55">
        <v>8237.5</v>
      </c>
      <c r="J77" s="55">
        <v>0.1</v>
      </c>
      <c r="K77" s="55">
        <v>0.82</v>
      </c>
      <c r="L77" s="55">
        <v>0</v>
      </c>
      <c r="M77" s="55">
        <v>0.01</v>
      </c>
      <c r="N77" s="55"/>
    </row>
    <row r="78" spans="1:14">
      <c r="A78" s="55">
        <v>37</v>
      </c>
      <c r="B78" s="55" t="s">
        <v>228</v>
      </c>
      <c r="C78" s="55" t="s">
        <v>19</v>
      </c>
      <c r="D78" s="22">
        <v>93</v>
      </c>
      <c r="E78" s="22">
        <v>83</v>
      </c>
      <c r="F78" s="22">
        <v>654</v>
      </c>
      <c r="G78" s="22">
        <v>961</v>
      </c>
      <c r="H78" s="55">
        <v>12.05</v>
      </c>
      <c r="I78" s="55">
        <v>-31.95</v>
      </c>
      <c r="J78" s="55">
        <v>0.56000000000000005</v>
      </c>
      <c r="K78" s="55">
        <v>0.8</v>
      </c>
      <c r="L78" s="55">
        <v>0.57999999999999996</v>
      </c>
      <c r="M78" s="55">
        <v>1.28</v>
      </c>
      <c r="N78" s="55"/>
    </row>
    <row r="79" spans="1:14">
      <c r="A79" s="55">
        <v>38</v>
      </c>
      <c r="B79" s="55" t="s">
        <v>414</v>
      </c>
      <c r="C79" s="55" t="s">
        <v>19</v>
      </c>
      <c r="D79" s="22">
        <v>65</v>
      </c>
      <c r="E79" s="22">
        <v>89</v>
      </c>
      <c r="F79" s="22">
        <v>604</v>
      </c>
      <c r="G79" s="22">
        <v>855</v>
      </c>
      <c r="H79" s="55">
        <v>-26.97</v>
      </c>
      <c r="I79" s="55">
        <v>-29.36</v>
      </c>
      <c r="J79" s="55">
        <v>0.39</v>
      </c>
      <c r="K79" s="55">
        <v>0.74</v>
      </c>
      <c r="L79" s="55">
        <v>0.62</v>
      </c>
      <c r="M79" s="55">
        <v>1.1399999999999999</v>
      </c>
      <c r="N79" s="55"/>
    </row>
    <row r="80" spans="1:14">
      <c r="A80" s="55">
        <v>39</v>
      </c>
      <c r="B80" s="55" t="s">
        <v>641</v>
      </c>
      <c r="C80" s="55" t="s">
        <v>20</v>
      </c>
      <c r="D80" s="22">
        <v>121</v>
      </c>
      <c r="E80" s="22">
        <v>0</v>
      </c>
      <c r="F80" s="22">
        <v>571</v>
      </c>
      <c r="G80" s="22">
        <v>0</v>
      </c>
      <c r="H80" s="55">
        <v>0</v>
      </c>
      <c r="I80" s="55">
        <v>0</v>
      </c>
      <c r="J80" s="55">
        <v>0.72</v>
      </c>
      <c r="K80" s="55">
        <v>0.7</v>
      </c>
      <c r="L80" s="55">
        <v>0</v>
      </c>
      <c r="M80" s="55">
        <v>0</v>
      </c>
      <c r="N80" s="55"/>
    </row>
    <row r="81" spans="1:14">
      <c r="A81" s="55">
        <v>40</v>
      </c>
      <c r="B81" s="55" t="s">
        <v>491</v>
      </c>
      <c r="C81" s="55" t="s">
        <v>19</v>
      </c>
      <c r="D81" s="22">
        <v>131</v>
      </c>
      <c r="E81" s="22">
        <v>69</v>
      </c>
      <c r="F81" s="22">
        <v>570</v>
      </c>
      <c r="G81" s="22">
        <v>708</v>
      </c>
      <c r="H81" s="55">
        <v>89.86</v>
      </c>
      <c r="I81" s="55">
        <v>-19.489999999999998</v>
      </c>
      <c r="J81" s="55">
        <v>0.78</v>
      </c>
      <c r="K81" s="55">
        <v>0.7</v>
      </c>
      <c r="L81" s="55">
        <v>0.48</v>
      </c>
      <c r="M81" s="55">
        <v>0.95</v>
      </c>
      <c r="N81" s="55"/>
    </row>
    <row r="82" spans="1:14">
      <c r="A82" s="55">
        <v>41</v>
      </c>
      <c r="B82" s="55" t="s">
        <v>383</v>
      </c>
      <c r="C82" s="55" t="s">
        <v>19</v>
      </c>
      <c r="D82" s="22">
        <v>58</v>
      </c>
      <c r="E82" s="22">
        <v>336</v>
      </c>
      <c r="F82" s="22">
        <v>552</v>
      </c>
      <c r="G82" s="22">
        <v>1344</v>
      </c>
      <c r="H82" s="55">
        <v>-82.74</v>
      </c>
      <c r="I82" s="55">
        <v>-58.93</v>
      </c>
      <c r="J82" s="55">
        <v>0.35</v>
      </c>
      <c r="K82" s="55">
        <v>0.68</v>
      </c>
      <c r="L82" s="55">
        <v>2.34</v>
      </c>
      <c r="M82" s="55">
        <v>1.8</v>
      </c>
      <c r="N82" s="55"/>
    </row>
    <row r="83" spans="1:14">
      <c r="A83" s="55">
        <v>42</v>
      </c>
      <c r="B83" s="55" t="s">
        <v>1029</v>
      </c>
      <c r="C83" s="55" t="s">
        <v>19</v>
      </c>
      <c r="D83" s="22">
        <v>126</v>
      </c>
      <c r="E83" s="22">
        <v>0</v>
      </c>
      <c r="F83" s="22">
        <v>548</v>
      </c>
      <c r="G83" s="22">
        <v>0</v>
      </c>
      <c r="H83" s="55">
        <v>0</v>
      </c>
      <c r="I83" s="55">
        <v>0</v>
      </c>
      <c r="J83" s="55">
        <v>0.75</v>
      </c>
      <c r="K83" s="55">
        <v>0.67</v>
      </c>
      <c r="L83" s="55">
        <v>0</v>
      </c>
      <c r="M83" s="55">
        <v>0</v>
      </c>
      <c r="N83" s="55"/>
    </row>
    <row r="84" spans="1:14">
      <c r="A84" s="55">
        <v>43</v>
      </c>
      <c r="B84" s="55" t="s">
        <v>229</v>
      </c>
      <c r="C84" s="55" t="s">
        <v>19</v>
      </c>
      <c r="D84" s="22">
        <v>169</v>
      </c>
      <c r="E84" s="22">
        <v>123</v>
      </c>
      <c r="F84" s="22">
        <v>547</v>
      </c>
      <c r="G84" s="22">
        <v>530</v>
      </c>
      <c r="H84" s="55">
        <v>37.4</v>
      </c>
      <c r="I84" s="55">
        <v>3.21</v>
      </c>
      <c r="J84" s="55">
        <v>1.01</v>
      </c>
      <c r="K84" s="55">
        <v>0.67</v>
      </c>
      <c r="L84" s="55">
        <v>0.86</v>
      </c>
      <c r="M84" s="55">
        <v>0.71</v>
      </c>
      <c r="N84" s="55"/>
    </row>
    <row r="85" spans="1:14">
      <c r="A85" s="55">
        <v>44</v>
      </c>
      <c r="B85" s="55" t="s">
        <v>700</v>
      </c>
      <c r="C85" s="55" t="s">
        <v>20</v>
      </c>
      <c r="D85" s="22">
        <v>100</v>
      </c>
      <c r="E85" s="22">
        <v>165</v>
      </c>
      <c r="F85" s="22">
        <v>533</v>
      </c>
      <c r="G85" s="22">
        <v>349</v>
      </c>
      <c r="H85" s="55">
        <v>-39.39</v>
      </c>
      <c r="I85" s="55">
        <v>52.72</v>
      </c>
      <c r="J85" s="55">
        <v>0.6</v>
      </c>
      <c r="K85" s="55">
        <v>0.65</v>
      </c>
      <c r="L85" s="55">
        <v>1.1499999999999999</v>
      </c>
      <c r="M85" s="55">
        <v>0.47</v>
      </c>
      <c r="N85" s="55"/>
    </row>
    <row r="86" spans="1:14">
      <c r="A86" s="55">
        <v>45</v>
      </c>
      <c r="B86" s="55" t="s">
        <v>587</v>
      </c>
      <c r="C86" s="55" t="s">
        <v>20</v>
      </c>
      <c r="D86" s="22">
        <v>95</v>
      </c>
      <c r="E86" s="22">
        <v>382</v>
      </c>
      <c r="F86" s="22">
        <v>510</v>
      </c>
      <c r="G86" s="22">
        <v>1178</v>
      </c>
      <c r="H86" s="55">
        <v>-75.13</v>
      </c>
      <c r="I86" s="55">
        <v>-56.71</v>
      </c>
      <c r="J86" s="55">
        <v>0.56999999999999995</v>
      </c>
      <c r="K86" s="55">
        <v>0.63</v>
      </c>
      <c r="L86" s="55">
        <v>2.66</v>
      </c>
      <c r="M86" s="55">
        <v>1.57</v>
      </c>
      <c r="N86" s="55"/>
    </row>
    <row r="87" spans="1:14">
      <c r="A87" s="55">
        <v>46</v>
      </c>
      <c r="B87" s="55" t="s">
        <v>563</v>
      </c>
      <c r="C87" s="55" t="s">
        <v>20</v>
      </c>
      <c r="D87" s="22">
        <v>89</v>
      </c>
      <c r="E87" s="22">
        <v>218</v>
      </c>
      <c r="F87" s="22">
        <v>491</v>
      </c>
      <c r="G87" s="22">
        <v>418</v>
      </c>
      <c r="H87" s="55">
        <v>-59.17</v>
      </c>
      <c r="I87" s="55">
        <v>17.46</v>
      </c>
      <c r="J87" s="55">
        <v>0.53</v>
      </c>
      <c r="K87" s="55">
        <v>0.6</v>
      </c>
      <c r="L87" s="55">
        <v>1.52</v>
      </c>
      <c r="M87" s="55">
        <v>0.56000000000000005</v>
      </c>
      <c r="N87" s="55"/>
    </row>
    <row r="88" spans="1:14">
      <c r="A88" s="55">
        <v>47</v>
      </c>
      <c r="B88" s="55" t="s">
        <v>496</v>
      </c>
      <c r="C88" s="55" t="s">
        <v>20</v>
      </c>
      <c r="D88" s="22">
        <v>80</v>
      </c>
      <c r="E88" s="22">
        <v>43</v>
      </c>
      <c r="F88" s="22">
        <v>480</v>
      </c>
      <c r="G88" s="22">
        <v>242</v>
      </c>
      <c r="H88" s="55">
        <v>86.05</v>
      </c>
      <c r="I88" s="55">
        <v>98.35</v>
      </c>
      <c r="J88" s="55">
        <v>0.48</v>
      </c>
      <c r="K88" s="55">
        <v>0.59</v>
      </c>
      <c r="L88" s="55">
        <v>0.3</v>
      </c>
      <c r="M88" s="55">
        <v>0.32</v>
      </c>
      <c r="N88" s="55"/>
    </row>
    <row r="89" spans="1:14">
      <c r="A89" s="55">
        <v>48</v>
      </c>
      <c r="B89" s="55" t="s">
        <v>490</v>
      </c>
      <c r="C89" s="55" t="s">
        <v>19</v>
      </c>
      <c r="D89" s="22">
        <v>88</v>
      </c>
      <c r="E89" s="22">
        <v>23</v>
      </c>
      <c r="F89" s="22">
        <v>471</v>
      </c>
      <c r="G89" s="22">
        <v>182</v>
      </c>
      <c r="H89" s="55">
        <v>282.61</v>
      </c>
      <c r="I89" s="55">
        <v>158.79</v>
      </c>
      <c r="J89" s="55">
        <v>0.53</v>
      </c>
      <c r="K89" s="55">
        <v>0.57999999999999996</v>
      </c>
      <c r="L89" s="55">
        <v>0.16</v>
      </c>
      <c r="M89" s="55">
        <v>0.24</v>
      </c>
      <c r="N89" s="55"/>
    </row>
    <row r="90" spans="1:14">
      <c r="A90" s="55">
        <v>49</v>
      </c>
      <c r="B90" s="55" t="s">
        <v>359</v>
      </c>
      <c r="C90" s="55" t="s">
        <v>19</v>
      </c>
      <c r="D90" s="22">
        <v>65</v>
      </c>
      <c r="E90" s="22">
        <v>80</v>
      </c>
      <c r="F90" s="22">
        <v>453</v>
      </c>
      <c r="G90" s="22">
        <v>189</v>
      </c>
      <c r="H90" s="55">
        <v>-18.75</v>
      </c>
      <c r="I90" s="55">
        <v>139.68</v>
      </c>
      <c r="J90" s="55">
        <v>0.39</v>
      </c>
      <c r="K90" s="55">
        <v>0.56000000000000005</v>
      </c>
      <c r="L90" s="55">
        <v>0.56000000000000005</v>
      </c>
      <c r="M90" s="55">
        <v>0.25</v>
      </c>
      <c r="N90" s="55"/>
    </row>
    <row r="91" spans="1:14">
      <c r="A91" s="55">
        <v>50</v>
      </c>
      <c r="B91" s="55" t="s">
        <v>1014</v>
      </c>
      <c r="C91" s="55" t="s">
        <v>20</v>
      </c>
      <c r="D91" s="22">
        <v>86</v>
      </c>
      <c r="E91" s="22">
        <v>0</v>
      </c>
      <c r="F91" s="22">
        <v>445</v>
      </c>
      <c r="G91" s="22">
        <v>0</v>
      </c>
      <c r="H91" s="55">
        <v>0</v>
      </c>
      <c r="I91" s="55">
        <v>0</v>
      </c>
      <c r="J91" s="55">
        <v>0.51</v>
      </c>
      <c r="K91" s="55">
        <v>0.55000000000000004</v>
      </c>
      <c r="L91" s="55">
        <v>0</v>
      </c>
      <c r="M91" s="55">
        <v>0</v>
      </c>
      <c r="N91" s="55"/>
    </row>
    <row r="92" spans="1:14">
      <c r="A92" s="55">
        <v>51</v>
      </c>
      <c r="B92" s="55" t="s">
        <v>561</v>
      </c>
      <c r="C92" s="55" t="s">
        <v>20</v>
      </c>
      <c r="D92" s="22">
        <v>102</v>
      </c>
      <c r="E92" s="22">
        <v>31</v>
      </c>
      <c r="F92" s="22">
        <v>431</v>
      </c>
      <c r="G92" s="22">
        <v>238</v>
      </c>
      <c r="H92" s="55">
        <v>229.03</v>
      </c>
      <c r="I92" s="55">
        <v>81.09</v>
      </c>
      <c r="J92" s="55">
        <v>0.61</v>
      </c>
      <c r="K92" s="55">
        <v>0.53</v>
      </c>
      <c r="L92" s="55">
        <v>0.22</v>
      </c>
      <c r="M92" s="55">
        <v>0.32</v>
      </c>
      <c r="N92" s="55"/>
    </row>
    <row r="93" spans="1:14">
      <c r="A93" s="55">
        <v>52</v>
      </c>
      <c r="B93" s="55" t="s">
        <v>99</v>
      </c>
      <c r="C93" s="55" t="s">
        <v>20</v>
      </c>
      <c r="D93" s="22">
        <v>18</v>
      </c>
      <c r="E93" s="22">
        <v>128</v>
      </c>
      <c r="F93" s="22">
        <v>430</v>
      </c>
      <c r="G93" s="22">
        <v>677</v>
      </c>
      <c r="H93" s="55">
        <v>-85.94</v>
      </c>
      <c r="I93" s="55">
        <v>-36.479999999999997</v>
      </c>
      <c r="J93" s="55">
        <v>0.11</v>
      </c>
      <c r="K93" s="55">
        <v>0.53</v>
      </c>
      <c r="L93" s="55">
        <v>0.89</v>
      </c>
      <c r="M93" s="55">
        <v>0.9</v>
      </c>
      <c r="N93" s="55"/>
    </row>
    <row r="94" spans="1:14">
      <c r="A94" s="55">
        <v>53</v>
      </c>
      <c r="B94" s="55" t="s">
        <v>662</v>
      </c>
      <c r="C94" s="55" t="s">
        <v>20</v>
      </c>
      <c r="D94" s="22">
        <v>145</v>
      </c>
      <c r="E94" s="22">
        <v>113</v>
      </c>
      <c r="F94" s="22">
        <v>423</v>
      </c>
      <c r="G94" s="22">
        <v>317</v>
      </c>
      <c r="H94" s="62">
        <v>28.32</v>
      </c>
      <c r="I94" s="62">
        <v>33.44</v>
      </c>
      <c r="J94" s="55">
        <v>0.87</v>
      </c>
      <c r="K94" s="55">
        <v>0.52</v>
      </c>
      <c r="L94" s="55">
        <v>0.79</v>
      </c>
      <c r="M94" s="55">
        <v>0.42</v>
      </c>
      <c r="N94" s="55"/>
    </row>
    <row r="95" spans="1:14">
      <c r="A95" s="55">
        <v>54</v>
      </c>
      <c r="B95" s="55" t="s">
        <v>1035</v>
      </c>
      <c r="C95" s="55" t="s">
        <v>20</v>
      </c>
      <c r="D95" s="22">
        <v>110</v>
      </c>
      <c r="E95" s="22">
        <v>0</v>
      </c>
      <c r="F95" s="22">
        <v>413</v>
      </c>
      <c r="G95" s="22">
        <v>0</v>
      </c>
      <c r="H95" s="78">
        <v>0</v>
      </c>
      <c r="I95" s="78">
        <v>0</v>
      </c>
      <c r="J95" s="55">
        <v>0.66</v>
      </c>
      <c r="K95" s="55">
        <v>0.51</v>
      </c>
      <c r="L95" s="55">
        <v>0</v>
      </c>
      <c r="M95" s="55">
        <v>0</v>
      </c>
      <c r="N95" s="55"/>
    </row>
    <row r="96" spans="1:14">
      <c r="A96" s="55">
        <v>55</v>
      </c>
      <c r="B96" s="55" t="s">
        <v>117</v>
      </c>
      <c r="C96" s="55" t="s">
        <v>19</v>
      </c>
      <c r="D96" s="22">
        <v>87</v>
      </c>
      <c r="E96" s="22">
        <v>72</v>
      </c>
      <c r="F96" s="22">
        <v>389</v>
      </c>
      <c r="G96" s="22">
        <v>451</v>
      </c>
      <c r="H96" s="55">
        <v>20.83</v>
      </c>
      <c r="I96" s="55">
        <v>-13.75</v>
      </c>
      <c r="J96" s="55">
        <v>0.52</v>
      </c>
      <c r="K96" s="55">
        <v>0.48</v>
      </c>
      <c r="L96" s="55">
        <v>0.5</v>
      </c>
      <c r="M96" s="55">
        <v>0.6</v>
      </c>
      <c r="N96" s="55"/>
    </row>
    <row r="97" spans="1:14">
      <c r="A97" s="55">
        <v>56</v>
      </c>
      <c r="B97" s="55" t="s">
        <v>364</v>
      </c>
      <c r="C97" s="55" t="s">
        <v>20</v>
      </c>
      <c r="D97" s="22">
        <v>70</v>
      </c>
      <c r="E97" s="22">
        <v>96</v>
      </c>
      <c r="F97" s="22">
        <v>379</v>
      </c>
      <c r="G97" s="22">
        <v>487</v>
      </c>
      <c r="H97" s="55">
        <v>-27.08</v>
      </c>
      <c r="I97" s="55">
        <v>-22.18</v>
      </c>
      <c r="J97" s="55">
        <v>0.42</v>
      </c>
      <c r="K97" s="55">
        <v>0.46</v>
      </c>
      <c r="L97" s="55">
        <v>0.67</v>
      </c>
      <c r="M97" s="55">
        <v>0.65</v>
      </c>
      <c r="N97" s="55"/>
    </row>
    <row r="98" spans="1:14">
      <c r="A98" s="55">
        <v>57</v>
      </c>
      <c r="B98" s="55" t="s">
        <v>403</v>
      </c>
      <c r="C98" s="55" t="s">
        <v>20</v>
      </c>
      <c r="D98" s="22">
        <v>62</v>
      </c>
      <c r="E98" s="22">
        <v>67</v>
      </c>
      <c r="F98" s="22">
        <v>372</v>
      </c>
      <c r="G98" s="22">
        <v>520</v>
      </c>
      <c r="H98" s="55">
        <v>-7.46</v>
      </c>
      <c r="I98" s="55">
        <v>-28.46</v>
      </c>
      <c r="J98" s="55">
        <v>0.37</v>
      </c>
      <c r="K98" s="55">
        <v>0.46</v>
      </c>
      <c r="L98" s="55">
        <v>0.47</v>
      </c>
      <c r="M98" s="55">
        <v>0.69</v>
      </c>
      <c r="N98" s="55"/>
    </row>
    <row r="99" spans="1:14">
      <c r="A99" s="55">
        <v>58</v>
      </c>
      <c r="B99" s="55" t="s">
        <v>75</v>
      </c>
      <c r="C99" s="55" t="s">
        <v>19</v>
      </c>
      <c r="D99" s="22">
        <v>114</v>
      </c>
      <c r="E99" s="22">
        <v>25</v>
      </c>
      <c r="F99" s="22">
        <v>364</v>
      </c>
      <c r="G99" s="22">
        <v>322</v>
      </c>
      <c r="H99" s="55">
        <v>356</v>
      </c>
      <c r="I99" s="55">
        <v>13.04</v>
      </c>
      <c r="J99" s="55">
        <v>0.68</v>
      </c>
      <c r="K99" s="55">
        <v>0.45</v>
      </c>
      <c r="L99" s="55">
        <v>0.17</v>
      </c>
      <c r="M99" s="55">
        <v>0.43</v>
      </c>
      <c r="N99" s="55"/>
    </row>
    <row r="100" spans="1:14">
      <c r="A100" s="55">
        <v>59</v>
      </c>
      <c r="B100" s="55" t="s">
        <v>407</v>
      </c>
      <c r="C100" s="55" t="s">
        <v>19</v>
      </c>
      <c r="D100" s="22">
        <v>63</v>
      </c>
      <c r="E100" s="22">
        <v>22</v>
      </c>
      <c r="F100" s="22">
        <v>334</v>
      </c>
      <c r="G100" s="22">
        <v>141</v>
      </c>
      <c r="H100" s="55">
        <v>186.36</v>
      </c>
      <c r="I100" s="55">
        <v>136.88</v>
      </c>
      <c r="J100" s="55">
        <v>0.38</v>
      </c>
      <c r="K100" s="55">
        <v>0.41</v>
      </c>
      <c r="L100" s="55">
        <v>0.15</v>
      </c>
      <c r="M100" s="55">
        <v>0.19</v>
      </c>
      <c r="N100" s="55"/>
    </row>
    <row r="101" spans="1:14">
      <c r="A101" s="55">
        <v>60</v>
      </c>
      <c r="B101" s="55" t="s">
        <v>235</v>
      </c>
      <c r="C101" s="55" t="s">
        <v>19</v>
      </c>
      <c r="D101" s="22">
        <v>25</v>
      </c>
      <c r="E101" s="22">
        <v>0</v>
      </c>
      <c r="F101" s="22">
        <v>330</v>
      </c>
      <c r="G101" s="22">
        <v>1</v>
      </c>
      <c r="H101" s="55">
        <v>0</v>
      </c>
      <c r="I101" s="55">
        <v>32900</v>
      </c>
      <c r="J101" s="55">
        <v>0.15</v>
      </c>
      <c r="K101" s="55">
        <v>0.4</v>
      </c>
      <c r="L101" s="55">
        <v>0</v>
      </c>
      <c r="M101" s="55">
        <v>0</v>
      </c>
      <c r="N101" s="55"/>
    </row>
    <row r="102" spans="1:14">
      <c r="A102" s="55">
        <v>61</v>
      </c>
      <c r="B102" s="55" t="s">
        <v>484</v>
      </c>
      <c r="C102" s="55" t="s">
        <v>20</v>
      </c>
      <c r="D102" s="22">
        <v>9</v>
      </c>
      <c r="E102" s="22">
        <v>51</v>
      </c>
      <c r="F102" s="22">
        <v>319</v>
      </c>
      <c r="G102" s="22">
        <v>197</v>
      </c>
      <c r="H102" s="55">
        <v>-82.35</v>
      </c>
      <c r="I102" s="55">
        <v>61.93</v>
      </c>
      <c r="J102" s="55">
        <v>0.05</v>
      </c>
      <c r="K102" s="55">
        <v>0.39</v>
      </c>
      <c r="L102" s="55">
        <v>0.35</v>
      </c>
      <c r="M102" s="55">
        <v>0.26</v>
      </c>
      <c r="N102" s="55"/>
    </row>
    <row r="103" spans="1:14">
      <c r="A103" s="55">
        <v>62</v>
      </c>
      <c r="B103" s="55" t="s">
        <v>601</v>
      </c>
      <c r="C103" s="55" t="s">
        <v>20</v>
      </c>
      <c r="D103" s="22">
        <v>6</v>
      </c>
      <c r="E103" s="22">
        <v>1</v>
      </c>
      <c r="F103" s="22">
        <v>316</v>
      </c>
      <c r="G103" s="22">
        <v>290</v>
      </c>
      <c r="H103" s="55">
        <v>500</v>
      </c>
      <c r="I103" s="55">
        <v>8.9700000000000006</v>
      </c>
      <c r="J103" s="55">
        <v>0.04</v>
      </c>
      <c r="K103" s="55">
        <v>0.39</v>
      </c>
      <c r="L103" s="55">
        <v>0.01</v>
      </c>
      <c r="M103" s="55">
        <v>0.39</v>
      </c>
      <c r="N103" s="55"/>
    </row>
    <row r="104" spans="1:14">
      <c r="A104" s="55">
        <v>63</v>
      </c>
      <c r="B104" s="55" t="s">
        <v>374</v>
      </c>
      <c r="C104" s="55" t="s">
        <v>19</v>
      </c>
      <c r="D104" s="22">
        <v>21</v>
      </c>
      <c r="E104" s="22">
        <v>165</v>
      </c>
      <c r="F104" s="22">
        <v>310</v>
      </c>
      <c r="G104" s="22">
        <v>707</v>
      </c>
      <c r="H104" s="55">
        <v>-87.27</v>
      </c>
      <c r="I104" s="55">
        <v>-56.15</v>
      </c>
      <c r="J104" s="55">
        <v>0.13</v>
      </c>
      <c r="K104" s="55">
        <v>0.38</v>
      </c>
      <c r="L104" s="55">
        <v>1.1499999999999999</v>
      </c>
      <c r="M104" s="55">
        <v>0.94</v>
      </c>
      <c r="N104" s="55"/>
    </row>
    <row r="105" spans="1:14">
      <c r="A105" s="55">
        <v>64</v>
      </c>
      <c r="B105" s="55" t="s">
        <v>408</v>
      </c>
      <c r="C105" s="55" t="s">
        <v>20</v>
      </c>
      <c r="D105" s="22">
        <v>74</v>
      </c>
      <c r="E105" s="22">
        <v>50</v>
      </c>
      <c r="F105" s="22">
        <v>292</v>
      </c>
      <c r="G105" s="22">
        <v>290</v>
      </c>
      <c r="H105" s="55">
        <v>48</v>
      </c>
      <c r="I105" s="55">
        <v>0.69</v>
      </c>
      <c r="J105" s="55">
        <v>0.44</v>
      </c>
      <c r="K105" s="55">
        <v>0.36</v>
      </c>
      <c r="L105" s="55">
        <v>0.35</v>
      </c>
      <c r="M105" s="55">
        <v>0.39</v>
      </c>
      <c r="N105" s="55"/>
    </row>
    <row r="106" spans="1:14">
      <c r="A106" s="55">
        <v>65</v>
      </c>
      <c r="B106" s="55" t="s">
        <v>392</v>
      </c>
      <c r="C106" s="55" t="s">
        <v>19</v>
      </c>
      <c r="D106" s="22">
        <v>59</v>
      </c>
      <c r="E106" s="22">
        <v>179</v>
      </c>
      <c r="F106" s="22">
        <v>269</v>
      </c>
      <c r="G106" s="22">
        <v>673</v>
      </c>
      <c r="H106" s="55">
        <v>-67.040000000000006</v>
      </c>
      <c r="I106" s="55">
        <v>-60.03</v>
      </c>
      <c r="J106" s="55">
        <v>0.35</v>
      </c>
      <c r="K106" s="55">
        <v>0.33</v>
      </c>
      <c r="L106" s="55">
        <v>1.25</v>
      </c>
      <c r="M106" s="55">
        <v>0.9</v>
      </c>
      <c r="N106" s="55"/>
    </row>
    <row r="107" spans="1:14">
      <c r="A107" s="55">
        <v>66</v>
      </c>
      <c r="B107" s="55" t="s">
        <v>138</v>
      </c>
      <c r="C107" s="55" t="s">
        <v>20</v>
      </c>
      <c r="D107" s="22">
        <v>83</v>
      </c>
      <c r="E107" s="22">
        <v>0</v>
      </c>
      <c r="F107" s="22">
        <v>263</v>
      </c>
      <c r="G107" s="22">
        <v>0</v>
      </c>
      <c r="H107" s="55">
        <v>0</v>
      </c>
      <c r="I107" s="55">
        <v>0</v>
      </c>
      <c r="J107" s="55">
        <v>0.5</v>
      </c>
      <c r="K107" s="55">
        <v>0.32</v>
      </c>
      <c r="L107" s="55">
        <v>0</v>
      </c>
      <c r="M107" s="55">
        <v>0</v>
      </c>
      <c r="N107" s="55"/>
    </row>
    <row r="108" spans="1:14">
      <c r="A108" s="55">
        <v>67</v>
      </c>
      <c r="B108" s="55" t="s">
        <v>353</v>
      </c>
      <c r="C108" s="55" t="s">
        <v>19</v>
      </c>
      <c r="D108" s="22">
        <v>56</v>
      </c>
      <c r="E108" s="22">
        <v>37</v>
      </c>
      <c r="F108" s="22">
        <v>255</v>
      </c>
      <c r="G108" s="22">
        <v>318</v>
      </c>
      <c r="H108" s="55">
        <v>51.35</v>
      </c>
      <c r="I108" s="55">
        <v>-19.809999999999999</v>
      </c>
      <c r="J108" s="55">
        <v>0.33</v>
      </c>
      <c r="K108" s="55">
        <v>0.31</v>
      </c>
      <c r="L108" s="55">
        <v>0.26</v>
      </c>
      <c r="M108" s="55">
        <v>0.42</v>
      </c>
      <c r="N108" s="55"/>
    </row>
    <row r="109" spans="1:14">
      <c r="A109" s="55">
        <v>68</v>
      </c>
      <c r="B109" s="55" t="s">
        <v>413</v>
      </c>
      <c r="C109" s="55" t="s">
        <v>20</v>
      </c>
      <c r="D109" s="22">
        <v>9</v>
      </c>
      <c r="E109" s="22">
        <v>92</v>
      </c>
      <c r="F109" s="22">
        <v>240</v>
      </c>
      <c r="G109" s="22">
        <v>654</v>
      </c>
      <c r="H109" s="55">
        <v>-90.22</v>
      </c>
      <c r="I109" s="55">
        <v>-63.3</v>
      </c>
      <c r="J109" s="55">
        <v>0.05</v>
      </c>
      <c r="K109" s="55">
        <v>0.28999999999999998</v>
      </c>
      <c r="L109" s="55">
        <v>0.64</v>
      </c>
      <c r="M109" s="55">
        <v>0.87</v>
      </c>
      <c r="N109" s="55"/>
    </row>
    <row r="110" spans="1:14">
      <c r="A110" s="55">
        <v>69</v>
      </c>
      <c r="B110" s="55" t="s">
        <v>655</v>
      </c>
      <c r="C110" s="55" t="s">
        <v>19</v>
      </c>
      <c r="D110" s="22">
        <v>74</v>
      </c>
      <c r="E110" s="22">
        <v>25</v>
      </c>
      <c r="F110" s="22">
        <v>234</v>
      </c>
      <c r="G110" s="22">
        <v>157</v>
      </c>
      <c r="H110" s="55">
        <v>196</v>
      </c>
      <c r="I110" s="55">
        <v>49.04</v>
      </c>
      <c r="J110" s="55">
        <v>0.44</v>
      </c>
      <c r="K110" s="55">
        <v>0.28999999999999998</v>
      </c>
      <c r="L110" s="55">
        <v>0.17</v>
      </c>
      <c r="M110" s="55">
        <v>0.21</v>
      </c>
      <c r="N110" s="55"/>
    </row>
    <row r="111" spans="1:14">
      <c r="A111" s="55">
        <v>70</v>
      </c>
      <c r="B111" s="55" t="s">
        <v>632</v>
      </c>
      <c r="C111" s="55" t="s">
        <v>19</v>
      </c>
      <c r="D111" s="22">
        <v>132</v>
      </c>
      <c r="E111" s="22">
        <v>59</v>
      </c>
      <c r="F111" s="22">
        <v>232</v>
      </c>
      <c r="G111" s="22">
        <v>194</v>
      </c>
      <c r="H111" s="55">
        <v>123.73</v>
      </c>
      <c r="I111" s="55">
        <v>19.59</v>
      </c>
      <c r="J111" s="55">
        <v>0.79</v>
      </c>
      <c r="K111" s="55">
        <v>0.28000000000000003</v>
      </c>
      <c r="L111" s="55">
        <v>0.41</v>
      </c>
      <c r="M111" s="55">
        <v>0.26</v>
      </c>
      <c r="N111" s="55"/>
    </row>
    <row r="112" spans="1:14">
      <c r="A112" s="55">
        <v>71</v>
      </c>
      <c r="B112" s="55" t="s">
        <v>399</v>
      </c>
      <c r="C112" s="55" t="s">
        <v>19</v>
      </c>
      <c r="D112" s="22">
        <v>19</v>
      </c>
      <c r="E112" s="22">
        <v>75</v>
      </c>
      <c r="F112" s="22">
        <v>229</v>
      </c>
      <c r="G112" s="22">
        <v>351</v>
      </c>
      <c r="H112" s="55">
        <v>-74.67</v>
      </c>
      <c r="I112" s="55">
        <v>-34.76</v>
      </c>
      <c r="J112" s="55">
        <v>0.11</v>
      </c>
      <c r="K112" s="55">
        <v>0.28000000000000003</v>
      </c>
      <c r="L112" s="55">
        <v>0.52</v>
      </c>
      <c r="M112" s="55">
        <v>0.47</v>
      </c>
      <c r="N112" s="55"/>
    </row>
    <row r="113" spans="1:14">
      <c r="A113" s="55">
        <v>72</v>
      </c>
      <c r="B113" s="55" t="s">
        <v>574</v>
      </c>
      <c r="C113" s="55" t="s">
        <v>20</v>
      </c>
      <c r="D113" s="22">
        <v>29</v>
      </c>
      <c r="E113" s="22">
        <v>36</v>
      </c>
      <c r="F113" s="22">
        <v>225</v>
      </c>
      <c r="G113" s="22">
        <v>352</v>
      </c>
      <c r="H113" s="55">
        <v>-19.440000000000001</v>
      </c>
      <c r="I113" s="55">
        <v>-36.08</v>
      </c>
      <c r="J113" s="55">
        <v>0.17</v>
      </c>
      <c r="K113" s="55">
        <v>0.28000000000000003</v>
      </c>
      <c r="L113" s="55">
        <v>0.25</v>
      </c>
      <c r="M113" s="55">
        <v>0.47</v>
      </c>
      <c r="N113" s="55"/>
    </row>
    <row r="114" spans="1:14">
      <c r="A114" s="55">
        <v>73</v>
      </c>
      <c r="B114" s="55" t="s">
        <v>642</v>
      </c>
      <c r="C114" s="55" t="s">
        <v>20</v>
      </c>
      <c r="D114" s="22">
        <v>39</v>
      </c>
      <c r="E114" s="22">
        <v>32</v>
      </c>
      <c r="F114" s="22">
        <v>222</v>
      </c>
      <c r="G114" s="22">
        <v>156</v>
      </c>
      <c r="H114" s="55">
        <v>21.88</v>
      </c>
      <c r="I114" s="55">
        <v>42.31</v>
      </c>
      <c r="J114" s="55">
        <v>0.23</v>
      </c>
      <c r="K114" s="55">
        <v>0.27</v>
      </c>
      <c r="L114" s="55">
        <v>0.22</v>
      </c>
      <c r="M114" s="55">
        <v>0.21</v>
      </c>
      <c r="N114" s="55"/>
    </row>
    <row r="115" spans="1:14">
      <c r="A115" s="55">
        <v>74</v>
      </c>
      <c r="B115" s="55" t="s">
        <v>375</v>
      </c>
      <c r="C115" s="55" t="s">
        <v>19</v>
      </c>
      <c r="D115" s="22">
        <v>68</v>
      </c>
      <c r="E115" s="22">
        <v>7</v>
      </c>
      <c r="F115" s="22">
        <v>217</v>
      </c>
      <c r="G115" s="22">
        <v>60</v>
      </c>
      <c r="H115" s="55">
        <v>871.43</v>
      </c>
      <c r="I115" s="55">
        <v>261.67</v>
      </c>
      <c r="J115" s="55">
        <v>0.41</v>
      </c>
      <c r="K115" s="55">
        <v>0.27</v>
      </c>
      <c r="L115" s="55">
        <v>0.05</v>
      </c>
      <c r="M115" s="55">
        <v>0.08</v>
      </c>
      <c r="N115" s="55"/>
    </row>
    <row r="116" spans="1:14">
      <c r="A116" s="55">
        <v>75</v>
      </c>
      <c r="B116" s="55" t="s">
        <v>1097</v>
      </c>
      <c r="C116" s="55" t="s">
        <v>20</v>
      </c>
      <c r="D116" s="22">
        <v>54</v>
      </c>
      <c r="E116" s="22">
        <v>3</v>
      </c>
      <c r="F116" s="22">
        <v>209</v>
      </c>
      <c r="G116" s="22">
        <v>3</v>
      </c>
      <c r="H116" s="55">
        <v>1700</v>
      </c>
      <c r="I116" s="55">
        <v>6866.67</v>
      </c>
      <c r="J116" s="55">
        <v>0.32</v>
      </c>
      <c r="K116" s="55">
        <v>0.26</v>
      </c>
      <c r="L116" s="55">
        <v>0.02</v>
      </c>
      <c r="M116" s="55">
        <v>0</v>
      </c>
      <c r="N116" s="55"/>
    </row>
    <row r="117" spans="1:14">
      <c r="A117" s="55">
        <v>76</v>
      </c>
      <c r="B117" s="55" t="s">
        <v>376</v>
      </c>
      <c r="C117" s="55" t="s">
        <v>19</v>
      </c>
      <c r="D117" s="22">
        <v>20</v>
      </c>
      <c r="E117" s="22">
        <v>10</v>
      </c>
      <c r="F117" s="22">
        <v>203</v>
      </c>
      <c r="G117" s="22">
        <v>296</v>
      </c>
      <c r="H117" s="55">
        <v>100</v>
      </c>
      <c r="I117" s="55">
        <v>-31.42</v>
      </c>
      <c r="J117" s="55">
        <v>0.12</v>
      </c>
      <c r="K117" s="55">
        <v>0.25</v>
      </c>
      <c r="L117" s="55">
        <v>7.0000000000000007E-2</v>
      </c>
      <c r="M117" s="55">
        <v>0.4</v>
      </c>
      <c r="N117" s="55"/>
    </row>
    <row r="118" spans="1:14">
      <c r="A118" s="55">
        <v>77</v>
      </c>
      <c r="B118" s="55" t="s">
        <v>404</v>
      </c>
      <c r="C118" s="55" t="s">
        <v>19</v>
      </c>
      <c r="D118" s="22">
        <v>43</v>
      </c>
      <c r="E118" s="22">
        <v>95</v>
      </c>
      <c r="F118" s="22">
        <v>197</v>
      </c>
      <c r="G118" s="22">
        <v>773</v>
      </c>
      <c r="H118" s="55">
        <v>-54.74</v>
      </c>
      <c r="I118" s="55">
        <v>-74.510000000000005</v>
      </c>
      <c r="J118" s="55">
        <v>0.26</v>
      </c>
      <c r="K118" s="55">
        <v>0.24</v>
      </c>
      <c r="L118" s="55">
        <v>0.66</v>
      </c>
      <c r="M118" s="55">
        <v>1.03</v>
      </c>
      <c r="N118" s="55"/>
    </row>
    <row r="119" spans="1:14">
      <c r="A119" s="55">
        <v>78</v>
      </c>
      <c r="B119" s="55" t="s">
        <v>40</v>
      </c>
      <c r="C119" s="55" t="s">
        <v>19</v>
      </c>
      <c r="D119" s="22">
        <v>72</v>
      </c>
      <c r="E119" s="22">
        <v>18</v>
      </c>
      <c r="F119" s="22">
        <v>197</v>
      </c>
      <c r="G119" s="22">
        <v>130</v>
      </c>
      <c r="H119" s="55">
        <v>300</v>
      </c>
      <c r="I119" s="55">
        <v>51.54</v>
      </c>
      <c r="J119" s="55">
        <v>0.43</v>
      </c>
      <c r="K119" s="55">
        <v>0.24</v>
      </c>
      <c r="L119" s="55">
        <v>0.13</v>
      </c>
      <c r="M119" s="55">
        <v>0.17</v>
      </c>
      <c r="N119" s="55"/>
    </row>
    <row r="120" spans="1:14">
      <c r="A120" s="55">
        <v>79</v>
      </c>
      <c r="B120" s="55" t="s">
        <v>433</v>
      </c>
      <c r="C120" s="55" t="s">
        <v>19</v>
      </c>
      <c r="D120" s="22">
        <v>25</v>
      </c>
      <c r="E120" s="22">
        <v>64</v>
      </c>
      <c r="F120" s="22">
        <v>192</v>
      </c>
      <c r="G120" s="22">
        <v>418</v>
      </c>
      <c r="H120" s="55">
        <v>-60.94</v>
      </c>
      <c r="I120" s="55">
        <v>-54.07</v>
      </c>
      <c r="J120" s="55">
        <v>0.15</v>
      </c>
      <c r="K120" s="55">
        <v>0.24</v>
      </c>
      <c r="L120" s="55">
        <v>0.45</v>
      </c>
      <c r="M120" s="55">
        <v>0.56000000000000005</v>
      </c>
      <c r="N120" s="55"/>
    </row>
    <row r="121" spans="1:14">
      <c r="A121" s="55">
        <v>80</v>
      </c>
      <c r="B121" s="55" t="s">
        <v>594</v>
      </c>
      <c r="C121" s="55" t="s">
        <v>20</v>
      </c>
      <c r="D121" s="22">
        <v>77</v>
      </c>
      <c r="E121" s="22">
        <v>68</v>
      </c>
      <c r="F121" s="22">
        <v>183</v>
      </c>
      <c r="G121" s="22">
        <v>729</v>
      </c>
      <c r="H121" s="55">
        <v>13.24</v>
      </c>
      <c r="I121" s="55">
        <v>-74.900000000000006</v>
      </c>
      <c r="J121" s="55">
        <v>0.46</v>
      </c>
      <c r="K121" s="55">
        <v>0.22</v>
      </c>
      <c r="L121" s="55">
        <v>0.47</v>
      </c>
      <c r="M121" s="55">
        <v>0.97</v>
      </c>
      <c r="N121" s="55"/>
    </row>
    <row r="122" spans="1:14">
      <c r="A122" s="55">
        <v>81</v>
      </c>
      <c r="B122" s="55" t="s">
        <v>173</v>
      </c>
      <c r="C122" s="55" t="s">
        <v>19</v>
      </c>
      <c r="D122" s="22">
        <v>31</v>
      </c>
      <c r="E122" s="22">
        <v>35</v>
      </c>
      <c r="F122" s="22">
        <v>178</v>
      </c>
      <c r="G122" s="22">
        <v>233</v>
      </c>
      <c r="H122" s="55">
        <v>-11.43</v>
      </c>
      <c r="I122" s="55">
        <v>-23.61</v>
      </c>
      <c r="J122" s="55">
        <v>0.19</v>
      </c>
      <c r="K122" s="55">
        <v>0.22</v>
      </c>
      <c r="L122" s="55">
        <v>0.24</v>
      </c>
      <c r="M122" s="55">
        <v>0.31</v>
      </c>
      <c r="N122" s="55"/>
    </row>
    <row r="123" spans="1:14">
      <c r="A123" s="55">
        <v>82</v>
      </c>
      <c r="B123" s="55" t="s">
        <v>361</v>
      </c>
      <c r="C123" s="55" t="s">
        <v>19</v>
      </c>
      <c r="D123" s="22">
        <v>27</v>
      </c>
      <c r="E123" s="22">
        <v>175</v>
      </c>
      <c r="F123" s="22">
        <v>165</v>
      </c>
      <c r="G123" s="22">
        <v>832</v>
      </c>
      <c r="H123" s="55">
        <v>-84.57</v>
      </c>
      <c r="I123" s="55">
        <v>-80.17</v>
      </c>
      <c r="J123" s="55">
        <v>0.16</v>
      </c>
      <c r="K123" s="55">
        <v>0.2</v>
      </c>
      <c r="L123" s="55">
        <v>1.22</v>
      </c>
      <c r="M123" s="55">
        <v>1.1100000000000001</v>
      </c>
      <c r="N123" s="55"/>
    </row>
    <row r="124" spans="1:14">
      <c r="A124" s="55">
        <v>83</v>
      </c>
      <c r="B124" s="55" t="s">
        <v>398</v>
      </c>
      <c r="C124" s="55" t="s">
        <v>20</v>
      </c>
      <c r="D124" s="22">
        <v>41</v>
      </c>
      <c r="E124" s="22">
        <v>30</v>
      </c>
      <c r="F124" s="22">
        <v>165</v>
      </c>
      <c r="G124" s="22">
        <v>335</v>
      </c>
      <c r="H124" s="55">
        <v>36.67</v>
      </c>
      <c r="I124" s="55">
        <v>-50.75</v>
      </c>
      <c r="J124" s="55">
        <v>0.24</v>
      </c>
      <c r="K124" s="55">
        <v>0.2</v>
      </c>
      <c r="L124" s="55">
        <v>0.21</v>
      </c>
      <c r="M124" s="55">
        <v>0.45</v>
      </c>
      <c r="N124" s="55"/>
    </row>
    <row r="125" spans="1:14">
      <c r="A125" s="55">
        <v>84</v>
      </c>
      <c r="B125" s="55" t="s">
        <v>434</v>
      </c>
      <c r="C125" s="55" t="s">
        <v>19</v>
      </c>
      <c r="D125" s="22">
        <v>52</v>
      </c>
      <c r="E125" s="22">
        <v>15</v>
      </c>
      <c r="F125" s="22">
        <v>147</v>
      </c>
      <c r="G125" s="22">
        <v>213</v>
      </c>
      <c r="H125" s="55">
        <v>246.67</v>
      </c>
      <c r="I125" s="55">
        <v>-30.99</v>
      </c>
      <c r="J125" s="55">
        <v>0.31</v>
      </c>
      <c r="K125" s="55">
        <v>0.18</v>
      </c>
      <c r="L125" s="55">
        <v>0.1</v>
      </c>
      <c r="M125" s="55">
        <v>0.28000000000000003</v>
      </c>
      <c r="N125" s="55"/>
    </row>
    <row r="126" spans="1:14">
      <c r="A126" s="55">
        <v>85</v>
      </c>
      <c r="B126" s="55" t="s">
        <v>1041</v>
      </c>
      <c r="C126" s="55" t="s">
        <v>19</v>
      </c>
      <c r="D126" s="22">
        <v>12</v>
      </c>
      <c r="E126" s="22">
        <v>0</v>
      </c>
      <c r="F126" s="22">
        <v>147</v>
      </c>
      <c r="G126" s="22">
        <v>0</v>
      </c>
      <c r="H126" s="55">
        <v>0</v>
      </c>
      <c r="I126" s="55">
        <v>0</v>
      </c>
      <c r="J126" s="55">
        <v>7.0000000000000007E-2</v>
      </c>
      <c r="K126" s="55">
        <v>0.18</v>
      </c>
      <c r="L126" s="55">
        <v>0</v>
      </c>
      <c r="M126" s="55">
        <v>0</v>
      </c>
      <c r="N126" s="55"/>
    </row>
    <row r="127" spans="1:14">
      <c r="A127" s="55">
        <v>86</v>
      </c>
      <c r="B127" s="55" t="s">
        <v>1007</v>
      </c>
      <c r="C127" s="55" t="s">
        <v>20</v>
      </c>
      <c r="D127" s="22">
        <v>37</v>
      </c>
      <c r="E127" s="22">
        <v>0</v>
      </c>
      <c r="F127" s="22">
        <v>146</v>
      </c>
      <c r="G127" s="22">
        <v>0</v>
      </c>
      <c r="H127" s="55">
        <v>0</v>
      </c>
      <c r="I127" s="55">
        <v>0</v>
      </c>
      <c r="J127" s="55">
        <v>0.22</v>
      </c>
      <c r="K127" s="55">
        <v>0.18</v>
      </c>
      <c r="L127" s="55">
        <v>0</v>
      </c>
      <c r="M127" s="55">
        <v>0</v>
      </c>
      <c r="N127" s="55"/>
    </row>
    <row r="128" spans="1:14">
      <c r="A128" s="55">
        <v>87</v>
      </c>
      <c r="B128" s="55" t="s">
        <v>385</v>
      </c>
      <c r="C128" s="55" t="s">
        <v>19</v>
      </c>
      <c r="D128" s="22">
        <v>30</v>
      </c>
      <c r="E128" s="22">
        <v>8</v>
      </c>
      <c r="F128" s="22">
        <v>145</v>
      </c>
      <c r="G128" s="22">
        <v>113</v>
      </c>
      <c r="H128" s="55">
        <v>275</v>
      </c>
      <c r="I128" s="55">
        <v>28.32</v>
      </c>
      <c r="J128" s="55">
        <v>0.18</v>
      </c>
      <c r="K128" s="55">
        <v>0.18</v>
      </c>
      <c r="L128" s="55">
        <v>0.06</v>
      </c>
      <c r="M128" s="55">
        <v>0.15</v>
      </c>
      <c r="N128" s="55"/>
    </row>
    <row r="129" spans="1:14">
      <c r="A129" s="55">
        <v>88</v>
      </c>
      <c r="B129" s="55" t="s">
        <v>588</v>
      </c>
      <c r="C129" s="55" t="s">
        <v>19</v>
      </c>
      <c r="D129" s="22">
        <v>1</v>
      </c>
      <c r="E129" s="22">
        <v>337</v>
      </c>
      <c r="F129" s="22">
        <v>143</v>
      </c>
      <c r="G129" s="22">
        <v>1284</v>
      </c>
      <c r="H129" s="55">
        <v>-99.7</v>
      </c>
      <c r="I129" s="55">
        <v>-88.86</v>
      </c>
      <c r="J129" s="55">
        <v>0.01</v>
      </c>
      <c r="K129" s="55">
        <v>0.18</v>
      </c>
      <c r="L129" s="55">
        <v>2.34</v>
      </c>
      <c r="M129" s="55">
        <v>1.72</v>
      </c>
      <c r="N129" s="55"/>
    </row>
    <row r="130" spans="1:14">
      <c r="A130" s="55">
        <v>89</v>
      </c>
      <c r="B130" s="55" t="s">
        <v>416</v>
      </c>
      <c r="C130" s="55" t="s">
        <v>19</v>
      </c>
      <c r="D130" s="22">
        <v>15</v>
      </c>
      <c r="E130" s="22">
        <v>20</v>
      </c>
      <c r="F130" s="22">
        <v>137</v>
      </c>
      <c r="G130" s="22">
        <v>223</v>
      </c>
      <c r="H130" s="55">
        <v>-25</v>
      </c>
      <c r="I130" s="55">
        <v>-38.57</v>
      </c>
      <c r="J130" s="55">
        <v>0.09</v>
      </c>
      <c r="K130" s="55">
        <v>0.17</v>
      </c>
      <c r="L130" s="55">
        <v>0.14000000000000001</v>
      </c>
      <c r="M130" s="55">
        <v>0.3</v>
      </c>
      <c r="N130" s="55"/>
    </row>
    <row r="131" spans="1:14">
      <c r="A131" s="55">
        <v>90</v>
      </c>
      <c r="B131" s="55" t="s">
        <v>444</v>
      </c>
      <c r="C131" s="55" t="s">
        <v>20</v>
      </c>
      <c r="D131" s="22">
        <v>19</v>
      </c>
      <c r="E131" s="22">
        <v>2</v>
      </c>
      <c r="F131" s="22">
        <v>132</v>
      </c>
      <c r="G131" s="22">
        <v>68</v>
      </c>
      <c r="H131" s="55">
        <v>850</v>
      </c>
      <c r="I131" s="55">
        <v>94.12</v>
      </c>
      <c r="J131" s="55">
        <v>0.11</v>
      </c>
      <c r="K131" s="55">
        <v>0.16</v>
      </c>
      <c r="L131" s="55">
        <v>0.01</v>
      </c>
      <c r="M131" s="55">
        <v>0.09</v>
      </c>
      <c r="N131" s="55"/>
    </row>
    <row r="132" spans="1:14">
      <c r="A132" s="55">
        <v>91</v>
      </c>
      <c r="B132" s="55" t="s">
        <v>992</v>
      </c>
      <c r="C132" s="55" t="s">
        <v>19</v>
      </c>
      <c r="D132" s="22">
        <v>7</v>
      </c>
      <c r="E132" s="22">
        <v>0</v>
      </c>
      <c r="F132" s="22">
        <v>116</v>
      </c>
      <c r="G132" s="22">
        <v>0</v>
      </c>
      <c r="H132" s="55">
        <v>0</v>
      </c>
      <c r="I132" s="55">
        <v>0</v>
      </c>
      <c r="J132" s="55">
        <v>0.04</v>
      </c>
      <c r="K132" s="55">
        <v>0.14000000000000001</v>
      </c>
      <c r="L132" s="55">
        <v>0</v>
      </c>
      <c r="M132" s="55">
        <v>0</v>
      </c>
      <c r="N132" s="55"/>
    </row>
    <row r="133" spans="1:14">
      <c r="A133" s="55">
        <v>92</v>
      </c>
      <c r="B133" s="55" t="s">
        <v>499</v>
      </c>
      <c r="C133" s="55" t="s">
        <v>19</v>
      </c>
      <c r="D133" s="22">
        <v>38</v>
      </c>
      <c r="E133" s="22">
        <v>27</v>
      </c>
      <c r="F133" s="22">
        <v>111</v>
      </c>
      <c r="G133" s="22">
        <v>126</v>
      </c>
      <c r="H133" s="55">
        <v>40.74</v>
      </c>
      <c r="I133" s="55">
        <v>-11.9</v>
      </c>
      <c r="J133" s="55">
        <v>0.23</v>
      </c>
      <c r="K133" s="55">
        <v>0.14000000000000001</v>
      </c>
      <c r="L133" s="55">
        <v>0.19</v>
      </c>
      <c r="M133" s="55">
        <v>0.17</v>
      </c>
      <c r="N133" s="55"/>
    </row>
    <row r="134" spans="1:14">
      <c r="A134" s="55">
        <v>93</v>
      </c>
      <c r="B134" s="55" t="s">
        <v>148</v>
      </c>
      <c r="C134" s="55" t="s">
        <v>19</v>
      </c>
      <c r="D134" s="22">
        <v>51</v>
      </c>
      <c r="E134" s="22">
        <v>98</v>
      </c>
      <c r="F134" s="22">
        <v>108</v>
      </c>
      <c r="G134" s="22">
        <v>176</v>
      </c>
      <c r="H134" s="55">
        <v>-47.96</v>
      </c>
      <c r="I134" s="55">
        <v>-38.64</v>
      </c>
      <c r="J134" s="55">
        <v>0.3</v>
      </c>
      <c r="K134" s="55">
        <v>0.13</v>
      </c>
      <c r="L134" s="55">
        <v>0.68</v>
      </c>
      <c r="M134" s="55">
        <v>0.24</v>
      </c>
      <c r="N134" s="55"/>
    </row>
    <row r="135" spans="1:14">
      <c r="A135" s="55">
        <v>94</v>
      </c>
      <c r="B135" s="55" t="s">
        <v>415</v>
      </c>
      <c r="C135" s="55" t="s">
        <v>19</v>
      </c>
      <c r="D135" s="22">
        <v>7</v>
      </c>
      <c r="E135" s="22">
        <v>46</v>
      </c>
      <c r="F135" s="22">
        <v>108</v>
      </c>
      <c r="G135" s="22">
        <v>114</v>
      </c>
      <c r="H135" s="55">
        <v>-84.78</v>
      </c>
      <c r="I135" s="55">
        <v>-5.26</v>
      </c>
      <c r="J135" s="55">
        <v>0.04</v>
      </c>
      <c r="K135" s="55">
        <v>0.13</v>
      </c>
      <c r="L135" s="55">
        <v>0.32</v>
      </c>
      <c r="M135" s="55">
        <v>0.15</v>
      </c>
      <c r="N135" s="55"/>
    </row>
    <row r="136" spans="1:14">
      <c r="A136" s="55">
        <v>95</v>
      </c>
      <c r="B136" s="55" t="s">
        <v>614</v>
      </c>
      <c r="C136" s="55" t="s">
        <v>20</v>
      </c>
      <c r="D136" s="22">
        <v>29</v>
      </c>
      <c r="E136" s="22">
        <v>109</v>
      </c>
      <c r="F136" s="22">
        <v>107</v>
      </c>
      <c r="G136" s="22">
        <v>340</v>
      </c>
      <c r="H136" s="55">
        <v>-73.39</v>
      </c>
      <c r="I136" s="55">
        <v>-68.53</v>
      </c>
      <c r="J136" s="55">
        <v>0.17</v>
      </c>
      <c r="K136" s="55">
        <v>0.13</v>
      </c>
      <c r="L136" s="55">
        <v>0.76</v>
      </c>
      <c r="M136" s="55">
        <v>0.45</v>
      </c>
      <c r="N136" s="55"/>
    </row>
    <row r="137" spans="1:14">
      <c r="A137" s="55">
        <v>96</v>
      </c>
      <c r="B137" s="55" t="s">
        <v>79</v>
      </c>
      <c r="C137" s="55" t="s">
        <v>20</v>
      </c>
      <c r="D137" s="22">
        <v>3</v>
      </c>
      <c r="E137" s="22">
        <v>94</v>
      </c>
      <c r="F137" s="22">
        <v>106</v>
      </c>
      <c r="G137" s="22">
        <v>429</v>
      </c>
      <c r="H137" s="55">
        <v>-96.81</v>
      </c>
      <c r="I137" s="55">
        <v>-75.290000000000006</v>
      </c>
      <c r="J137" s="55">
        <v>0.02</v>
      </c>
      <c r="K137" s="55">
        <v>0.13</v>
      </c>
      <c r="L137" s="55">
        <v>0.65</v>
      </c>
      <c r="M137" s="55">
        <v>0.56999999999999995</v>
      </c>
      <c r="N137" s="55"/>
    </row>
    <row r="138" spans="1:14">
      <c r="A138" s="55">
        <v>97</v>
      </c>
      <c r="B138" s="55" t="s">
        <v>154</v>
      </c>
      <c r="C138" s="55" t="s">
        <v>19</v>
      </c>
      <c r="D138" s="22">
        <v>24</v>
      </c>
      <c r="E138" s="22">
        <v>100</v>
      </c>
      <c r="F138" s="22">
        <v>105</v>
      </c>
      <c r="G138" s="22">
        <v>267</v>
      </c>
      <c r="H138" s="55">
        <v>-76</v>
      </c>
      <c r="I138" s="55">
        <v>-60.67</v>
      </c>
      <c r="J138" s="55">
        <v>0.14000000000000001</v>
      </c>
      <c r="K138" s="55">
        <v>0.13</v>
      </c>
      <c r="L138" s="55">
        <v>0.7</v>
      </c>
      <c r="M138" s="55">
        <v>0.36</v>
      </c>
      <c r="N138" s="55"/>
    </row>
    <row r="139" spans="1:14">
      <c r="A139" s="55">
        <v>98</v>
      </c>
      <c r="B139" s="55" t="s">
        <v>710</v>
      </c>
      <c r="C139" s="55" t="s">
        <v>20</v>
      </c>
      <c r="D139" s="22">
        <v>16</v>
      </c>
      <c r="E139" s="22">
        <v>2</v>
      </c>
      <c r="F139" s="22">
        <v>94</v>
      </c>
      <c r="G139" s="22">
        <v>2</v>
      </c>
      <c r="H139" s="55">
        <v>700</v>
      </c>
      <c r="I139" s="55">
        <v>4600</v>
      </c>
      <c r="J139" s="55">
        <v>0.1</v>
      </c>
      <c r="K139" s="55">
        <v>0.12</v>
      </c>
      <c r="L139" s="55">
        <v>0.01</v>
      </c>
      <c r="M139" s="55">
        <v>0</v>
      </c>
      <c r="N139" s="55"/>
    </row>
    <row r="140" spans="1:14">
      <c r="A140" s="55">
        <v>99</v>
      </c>
      <c r="B140" s="55" t="s">
        <v>400</v>
      </c>
      <c r="C140" s="55" t="s">
        <v>20</v>
      </c>
      <c r="D140" s="22">
        <v>12</v>
      </c>
      <c r="E140" s="22">
        <v>28</v>
      </c>
      <c r="F140" s="22">
        <v>90</v>
      </c>
      <c r="G140" s="22">
        <v>232</v>
      </c>
      <c r="H140" s="55">
        <v>-57.14</v>
      </c>
      <c r="I140" s="55">
        <v>-61.21</v>
      </c>
      <c r="J140" s="55">
        <v>7.0000000000000007E-2</v>
      </c>
      <c r="K140" s="55">
        <v>0.11</v>
      </c>
      <c r="L140" s="55">
        <v>0.19</v>
      </c>
      <c r="M140" s="55">
        <v>0.31</v>
      </c>
      <c r="N140" s="55"/>
    </row>
    <row r="141" spans="1:14">
      <c r="A141" s="55">
        <v>100</v>
      </c>
      <c r="B141" s="55" t="s">
        <v>236</v>
      </c>
      <c r="C141" s="55" t="s">
        <v>19</v>
      </c>
      <c r="D141" s="22">
        <v>14</v>
      </c>
      <c r="E141" s="22">
        <v>19</v>
      </c>
      <c r="F141" s="22">
        <v>88</v>
      </c>
      <c r="G141" s="22">
        <v>68</v>
      </c>
      <c r="H141" s="55">
        <v>-26.32</v>
      </c>
      <c r="I141" s="55">
        <v>29.41</v>
      </c>
      <c r="J141" s="55">
        <v>0.08</v>
      </c>
      <c r="K141" s="55">
        <v>0.11</v>
      </c>
      <c r="L141" s="55">
        <v>0.13</v>
      </c>
      <c r="M141" s="55">
        <v>0.09</v>
      </c>
      <c r="N141" s="55"/>
    </row>
    <row r="142" spans="1:14">
      <c r="A142" s="55">
        <v>101</v>
      </c>
      <c r="B142" s="55" t="s">
        <v>126</v>
      </c>
      <c r="C142" s="55" t="s">
        <v>19</v>
      </c>
      <c r="D142" s="22">
        <v>42</v>
      </c>
      <c r="E142" s="22">
        <v>10</v>
      </c>
      <c r="F142" s="22">
        <v>85</v>
      </c>
      <c r="G142" s="22">
        <v>25</v>
      </c>
      <c r="H142" s="55">
        <v>320</v>
      </c>
      <c r="I142" s="55">
        <v>240</v>
      </c>
      <c r="J142" s="55">
        <v>0.25</v>
      </c>
      <c r="K142" s="55">
        <v>0.1</v>
      </c>
      <c r="L142" s="55">
        <v>7.0000000000000007E-2</v>
      </c>
      <c r="M142" s="55">
        <v>0.03</v>
      </c>
      <c r="N142" s="55"/>
    </row>
    <row r="143" spans="1:14">
      <c r="A143" s="55">
        <v>102</v>
      </c>
      <c r="B143" s="55" t="s">
        <v>1095</v>
      </c>
      <c r="C143" s="55" t="s">
        <v>19</v>
      </c>
      <c r="D143" s="22">
        <v>31</v>
      </c>
      <c r="E143" s="22">
        <v>0</v>
      </c>
      <c r="F143" s="22">
        <v>85</v>
      </c>
      <c r="G143" s="22">
        <v>0</v>
      </c>
      <c r="H143" s="55">
        <v>0</v>
      </c>
      <c r="I143" s="55">
        <v>0</v>
      </c>
      <c r="J143" s="55">
        <v>0.19</v>
      </c>
      <c r="K143" s="55">
        <v>0.1</v>
      </c>
      <c r="L143" s="55">
        <v>0</v>
      </c>
      <c r="M143" s="55">
        <v>0</v>
      </c>
      <c r="N143" s="55"/>
    </row>
    <row r="144" spans="1:14">
      <c r="A144" s="55">
        <v>103</v>
      </c>
      <c r="B144" s="55" t="s">
        <v>1198</v>
      </c>
      <c r="C144" s="55" t="s">
        <v>20</v>
      </c>
      <c r="D144" s="22">
        <v>57</v>
      </c>
      <c r="E144" s="22">
        <v>0</v>
      </c>
      <c r="F144" s="22">
        <v>85</v>
      </c>
      <c r="G144" s="22">
        <v>0</v>
      </c>
      <c r="H144" s="55">
        <v>0</v>
      </c>
      <c r="I144" s="55">
        <v>0</v>
      </c>
      <c r="J144" s="55">
        <v>0.34</v>
      </c>
      <c r="K144" s="55">
        <v>0.1</v>
      </c>
      <c r="L144" s="55">
        <v>0</v>
      </c>
      <c r="M144" s="55">
        <v>0</v>
      </c>
      <c r="N144" s="55"/>
    </row>
    <row r="145" spans="1:14">
      <c r="A145" s="55">
        <v>104</v>
      </c>
      <c r="B145" s="55" t="s">
        <v>435</v>
      </c>
      <c r="C145" s="55" t="s">
        <v>20</v>
      </c>
      <c r="D145" s="22">
        <v>22</v>
      </c>
      <c r="E145" s="22">
        <v>50</v>
      </c>
      <c r="F145" s="22">
        <v>84</v>
      </c>
      <c r="G145" s="22">
        <v>269</v>
      </c>
      <c r="H145" s="55">
        <v>-56</v>
      </c>
      <c r="I145" s="55">
        <v>-68.77</v>
      </c>
      <c r="J145" s="55">
        <v>0.13</v>
      </c>
      <c r="K145" s="55">
        <v>0.1</v>
      </c>
      <c r="L145" s="55">
        <v>0.35</v>
      </c>
      <c r="M145" s="55">
        <v>0.36</v>
      </c>
      <c r="N145" s="55"/>
    </row>
    <row r="146" spans="1:14">
      <c r="A146" s="55">
        <v>105</v>
      </c>
      <c r="B146" s="55" t="s">
        <v>412</v>
      </c>
      <c r="C146" s="55" t="s">
        <v>19</v>
      </c>
      <c r="D146" s="22">
        <v>13</v>
      </c>
      <c r="E146" s="22">
        <v>48</v>
      </c>
      <c r="F146" s="22">
        <v>83</v>
      </c>
      <c r="G146" s="22">
        <v>337</v>
      </c>
      <c r="H146" s="55">
        <v>-72.92</v>
      </c>
      <c r="I146" s="55">
        <v>-75.37</v>
      </c>
      <c r="J146" s="55">
        <v>0.08</v>
      </c>
      <c r="K146" s="55">
        <v>0.1</v>
      </c>
      <c r="L146" s="55">
        <v>0.33</v>
      </c>
      <c r="M146" s="55">
        <v>0.45</v>
      </c>
      <c r="N146" s="55"/>
    </row>
    <row r="147" spans="1:14">
      <c r="A147" s="55">
        <v>106</v>
      </c>
      <c r="B147" s="55" t="s">
        <v>421</v>
      </c>
      <c r="C147" s="55" t="s">
        <v>19</v>
      </c>
      <c r="D147" s="22">
        <v>11</v>
      </c>
      <c r="E147" s="22">
        <v>47</v>
      </c>
      <c r="F147" s="22">
        <v>83</v>
      </c>
      <c r="G147" s="22">
        <v>154</v>
      </c>
      <c r="H147" s="55">
        <v>-76.599999999999994</v>
      </c>
      <c r="I147" s="55">
        <v>-46.1</v>
      </c>
      <c r="J147" s="55">
        <v>7.0000000000000007E-2</v>
      </c>
      <c r="K147" s="55">
        <v>0.1</v>
      </c>
      <c r="L147" s="55">
        <v>0.33</v>
      </c>
      <c r="M147" s="55">
        <v>0.21</v>
      </c>
      <c r="N147" s="55"/>
    </row>
    <row r="148" spans="1:14">
      <c r="A148" s="55">
        <v>107</v>
      </c>
      <c r="B148" s="55" t="s">
        <v>986</v>
      </c>
      <c r="C148" s="55" t="s">
        <v>20</v>
      </c>
      <c r="D148" s="22">
        <v>12</v>
      </c>
      <c r="E148" s="22">
        <v>0</v>
      </c>
      <c r="F148" s="22">
        <v>82</v>
      </c>
      <c r="G148" s="22">
        <v>0</v>
      </c>
      <c r="H148" s="55">
        <v>0</v>
      </c>
      <c r="I148" s="55">
        <v>0</v>
      </c>
      <c r="J148" s="55">
        <v>7.0000000000000007E-2</v>
      </c>
      <c r="K148" s="55">
        <v>0.1</v>
      </c>
      <c r="L148" s="55">
        <v>0</v>
      </c>
      <c r="M148" s="55">
        <v>0</v>
      </c>
      <c r="N148" s="55"/>
    </row>
    <row r="149" spans="1:14">
      <c r="A149" s="55">
        <v>108</v>
      </c>
      <c r="B149" s="55" t="s">
        <v>1038</v>
      </c>
      <c r="C149" s="55" t="s">
        <v>19</v>
      </c>
      <c r="D149" s="22">
        <v>12</v>
      </c>
      <c r="E149" s="22">
        <v>0</v>
      </c>
      <c r="F149" s="22">
        <v>78</v>
      </c>
      <c r="G149" s="22">
        <v>0</v>
      </c>
      <c r="H149" s="55">
        <v>0</v>
      </c>
      <c r="I149" s="55">
        <v>0</v>
      </c>
      <c r="J149" s="55">
        <v>7.0000000000000007E-2</v>
      </c>
      <c r="K149" s="55">
        <v>0.1</v>
      </c>
      <c r="L149" s="55">
        <v>0</v>
      </c>
      <c r="M149" s="55">
        <v>0</v>
      </c>
      <c r="N149" s="55"/>
    </row>
    <row r="150" spans="1:14">
      <c r="A150" s="55">
        <v>109</v>
      </c>
      <c r="B150" s="55" t="s">
        <v>1098</v>
      </c>
      <c r="C150" s="55" t="s">
        <v>19</v>
      </c>
      <c r="D150" s="22">
        <v>13</v>
      </c>
      <c r="E150" s="22">
        <v>0</v>
      </c>
      <c r="F150" s="22">
        <v>77</v>
      </c>
      <c r="G150" s="22">
        <v>0</v>
      </c>
      <c r="H150" s="55">
        <v>0</v>
      </c>
      <c r="I150" s="55">
        <v>0</v>
      </c>
      <c r="J150" s="55">
        <v>0.08</v>
      </c>
      <c r="K150" s="55">
        <v>0.09</v>
      </c>
      <c r="L150" s="55">
        <v>0</v>
      </c>
      <c r="M150" s="55">
        <v>0</v>
      </c>
      <c r="N150" s="55"/>
    </row>
    <row r="151" spans="1:14">
      <c r="A151" s="55">
        <v>110</v>
      </c>
      <c r="B151" s="55" t="s">
        <v>494</v>
      </c>
      <c r="C151" s="55" t="s">
        <v>19</v>
      </c>
      <c r="D151" s="22">
        <v>23</v>
      </c>
      <c r="E151" s="22">
        <v>11</v>
      </c>
      <c r="F151" s="22">
        <v>76</v>
      </c>
      <c r="G151" s="22">
        <v>89</v>
      </c>
      <c r="H151" s="55">
        <v>109.09</v>
      </c>
      <c r="I151" s="55">
        <v>-14.61</v>
      </c>
      <c r="J151" s="55">
        <v>0.14000000000000001</v>
      </c>
      <c r="K151" s="55">
        <v>0.09</v>
      </c>
      <c r="L151" s="55">
        <v>0.08</v>
      </c>
      <c r="M151" s="55">
        <v>0.12</v>
      </c>
      <c r="N151" s="55"/>
    </row>
    <row r="152" spans="1:14">
      <c r="A152" s="55">
        <v>111</v>
      </c>
      <c r="B152" s="55" t="s">
        <v>663</v>
      </c>
      <c r="C152" s="55" t="s">
        <v>20</v>
      </c>
      <c r="D152" s="22">
        <v>9</v>
      </c>
      <c r="E152" s="22">
        <v>18</v>
      </c>
      <c r="F152" s="22">
        <v>66</v>
      </c>
      <c r="G152" s="22">
        <v>128</v>
      </c>
      <c r="H152" s="55">
        <v>-50</v>
      </c>
      <c r="I152" s="55">
        <v>-48.44</v>
      </c>
      <c r="J152" s="55">
        <v>0.05</v>
      </c>
      <c r="K152" s="55">
        <v>0.08</v>
      </c>
      <c r="L152" s="55">
        <v>0.13</v>
      </c>
      <c r="M152" s="55">
        <v>0.17</v>
      </c>
      <c r="N152" s="55"/>
    </row>
    <row r="153" spans="1:14">
      <c r="A153" s="55">
        <v>112</v>
      </c>
      <c r="B153" s="55" t="s">
        <v>70</v>
      </c>
      <c r="C153" s="55" t="s">
        <v>19</v>
      </c>
      <c r="D153" s="22">
        <v>15</v>
      </c>
      <c r="E153" s="22">
        <v>103</v>
      </c>
      <c r="F153" s="22">
        <v>61</v>
      </c>
      <c r="G153" s="22">
        <v>729</v>
      </c>
      <c r="H153" s="55">
        <v>-85.44</v>
      </c>
      <c r="I153" s="55">
        <v>-91.63</v>
      </c>
      <c r="J153" s="55">
        <v>0.09</v>
      </c>
      <c r="K153" s="55">
        <v>7.0000000000000007E-2</v>
      </c>
      <c r="L153" s="55">
        <v>0.72</v>
      </c>
      <c r="M153" s="55">
        <v>0.97</v>
      </c>
      <c r="N153" s="55"/>
    </row>
    <row r="154" spans="1:14">
      <c r="A154" s="55">
        <v>113</v>
      </c>
      <c r="B154" s="55" t="s">
        <v>641</v>
      </c>
      <c r="C154" s="55" t="s">
        <v>20</v>
      </c>
      <c r="D154" s="22">
        <v>7</v>
      </c>
      <c r="E154" s="22">
        <v>171</v>
      </c>
      <c r="F154" s="22">
        <v>61</v>
      </c>
      <c r="G154" s="22">
        <v>613</v>
      </c>
      <c r="H154" s="62">
        <v>-95.91</v>
      </c>
      <c r="I154" s="62">
        <v>-90.05</v>
      </c>
      <c r="J154" s="55">
        <v>0.04</v>
      </c>
      <c r="K154" s="55">
        <v>7.0000000000000007E-2</v>
      </c>
      <c r="L154" s="55">
        <v>1.19</v>
      </c>
      <c r="M154" s="55">
        <v>0.82</v>
      </c>
      <c r="N154" s="55"/>
    </row>
    <row r="155" spans="1:14">
      <c r="A155" s="55">
        <v>114</v>
      </c>
      <c r="B155" s="55" t="s">
        <v>1064</v>
      </c>
      <c r="C155" s="55" t="s">
        <v>19</v>
      </c>
      <c r="D155" s="22">
        <v>43</v>
      </c>
      <c r="E155" s="22">
        <v>0</v>
      </c>
      <c r="F155" s="22">
        <v>61</v>
      </c>
      <c r="G155" s="22">
        <v>0</v>
      </c>
      <c r="H155" s="55">
        <v>0</v>
      </c>
      <c r="I155" s="55">
        <v>0</v>
      </c>
      <c r="J155" s="55">
        <v>0.26</v>
      </c>
      <c r="K155" s="55">
        <v>7.0000000000000007E-2</v>
      </c>
      <c r="L155" s="55">
        <v>0</v>
      </c>
      <c r="M155" s="55">
        <v>0</v>
      </c>
      <c r="N155" s="55"/>
    </row>
    <row r="156" spans="1:14">
      <c r="A156" s="55">
        <v>115</v>
      </c>
      <c r="B156" s="55" t="s">
        <v>1039</v>
      </c>
      <c r="C156" s="55" t="s">
        <v>20</v>
      </c>
      <c r="D156" s="22">
        <v>29</v>
      </c>
      <c r="E156" s="22">
        <v>0</v>
      </c>
      <c r="F156" s="22">
        <v>60</v>
      </c>
      <c r="G156" s="22">
        <v>0</v>
      </c>
      <c r="H156" s="55">
        <v>0</v>
      </c>
      <c r="I156" s="55">
        <v>0</v>
      </c>
      <c r="J156" s="55">
        <v>0.17</v>
      </c>
      <c r="K156" s="55">
        <v>7.0000000000000007E-2</v>
      </c>
      <c r="L156" s="55">
        <v>0</v>
      </c>
      <c r="M156" s="55">
        <v>0</v>
      </c>
      <c r="N156" s="55"/>
    </row>
    <row r="157" spans="1:14">
      <c r="A157" s="55">
        <v>116</v>
      </c>
      <c r="B157" s="55" t="s">
        <v>1042</v>
      </c>
      <c r="C157" s="55" t="s">
        <v>20</v>
      </c>
      <c r="D157" s="22">
        <v>6</v>
      </c>
      <c r="E157" s="22">
        <v>0</v>
      </c>
      <c r="F157" s="22">
        <v>60</v>
      </c>
      <c r="G157" s="22">
        <v>0</v>
      </c>
      <c r="H157" s="55">
        <v>0</v>
      </c>
      <c r="I157" s="55">
        <v>0</v>
      </c>
      <c r="J157" s="55">
        <v>0.04</v>
      </c>
      <c r="K157" s="55">
        <v>7.0000000000000007E-2</v>
      </c>
      <c r="L157" s="55">
        <v>0</v>
      </c>
      <c r="M157" s="55">
        <v>0</v>
      </c>
      <c r="N157" s="55"/>
    </row>
    <row r="158" spans="1:14">
      <c r="A158" s="55">
        <v>117</v>
      </c>
      <c r="B158" s="55" t="s">
        <v>599</v>
      </c>
      <c r="C158" s="55" t="s">
        <v>19</v>
      </c>
      <c r="D158" s="22">
        <v>4</v>
      </c>
      <c r="E158" s="22">
        <v>18</v>
      </c>
      <c r="F158" s="22">
        <v>56</v>
      </c>
      <c r="G158" s="22">
        <v>60</v>
      </c>
      <c r="H158" s="55">
        <v>-77.78</v>
      </c>
      <c r="I158" s="55">
        <v>-6.67</v>
      </c>
      <c r="J158" s="55">
        <v>0.02</v>
      </c>
      <c r="K158" s="55">
        <v>7.0000000000000007E-2</v>
      </c>
      <c r="L158" s="55">
        <v>0.13</v>
      </c>
      <c r="M158" s="55">
        <v>0.08</v>
      </c>
      <c r="N158" s="55"/>
    </row>
    <row r="159" spans="1:14">
      <c r="A159" s="55">
        <v>118</v>
      </c>
      <c r="B159" s="55" t="s">
        <v>656</v>
      </c>
      <c r="C159" s="55" t="s">
        <v>20</v>
      </c>
      <c r="D159" s="22">
        <v>2</v>
      </c>
      <c r="E159" s="22">
        <v>24</v>
      </c>
      <c r="F159" s="22">
        <v>52</v>
      </c>
      <c r="G159" s="22">
        <v>47</v>
      </c>
      <c r="H159" s="55">
        <v>-91.67</v>
      </c>
      <c r="I159" s="55">
        <v>10.64</v>
      </c>
      <c r="J159" s="55">
        <v>0.01</v>
      </c>
      <c r="K159" s="55">
        <v>0.06</v>
      </c>
      <c r="L159" s="55">
        <v>0.17</v>
      </c>
      <c r="M159" s="55">
        <v>0.06</v>
      </c>
      <c r="N159" s="55"/>
    </row>
    <row r="160" spans="1:14">
      <c r="A160" s="55">
        <v>119</v>
      </c>
      <c r="B160" s="55" t="s">
        <v>597</v>
      </c>
      <c r="C160" s="55" t="s">
        <v>19</v>
      </c>
      <c r="D160" s="22">
        <v>11</v>
      </c>
      <c r="E160" s="22">
        <v>2</v>
      </c>
      <c r="F160" s="22">
        <v>51</v>
      </c>
      <c r="G160" s="22">
        <v>142</v>
      </c>
      <c r="H160" s="55">
        <v>450</v>
      </c>
      <c r="I160" s="55">
        <v>-64.08</v>
      </c>
      <c r="J160" s="55">
        <v>7.0000000000000007E-2</v>
      </c>
      <c r="K160" s="55">
        <v>0.06</v>
      </c>
      <c r="L160" s="55">
        <v>0.01</v>
      </c>
      <c r="M160" s="55">
        <v>0.19</v>
      </c>
      <c r="N160" s="55"/>
    </row>
    <row r="161" spans="1:14">
      <c r="A161" s="55">
        <v>120</v>
      </c>
      <c r="B161" s="55" t="s">
        <v>1063</v>
      </c>
      <c r="C161" s="55" t="s">
        <v>20</v>
      </c>
      <c r="D161" s="22">
        <v>15</v>
      </c>
      <c r="E161" s="22">
        <v>0</v>
      </c>
      <c r="F161" s="22">
        <v>51</v>
      </c>
      <c r="G161" s="22">
        <v>0</v>
      </c>
      <c r="H161" s="55">
        <v>0</v>
      </c>
      <c r="I161" s="55">
        <v>0</v>
      </c>
      <c r="J161" s="55">
        <v>0.09</v>
      </c>
      <c r="K161" s="55">
        <v>0.06</v>
      </c>
      <c r="L161" s="55">
        <v>0</v>
      </c>
      <c r="M161" s="55">
        <v>0</v>
      </c>
      <c r="N161" s="55"/>
    </row>
    <row r="162" spans="1:14">
      <c r="A162" s="55">
        <v>121</v>
      </c>
      <c r="B162" s="55" t="s">
        <v>1059</v>
      </c>
      <c r="C162" s="55" t="s">
        <v>19</v>
      </c>
      <c r="D162" s="22">
        <v>11</v>
      </c>
      <c r="E162" s="22">
        <v>0</v>
      </c>
      <c r="F162" s="22">
        <v>50</v>
      </c>
      <c r="G162" s="22">
        <v>0</v>
      </c>
      <c r="H162" s="55">
        <v>0</v>
      </c>
      <c r="I162" s="55">
        <v>0</v>
      </c>
      <c r="J162" s="55">
        <v>7.0000000000000007E-2</v>
      </c>
      <c r="K162" s="55">
        <v>0.06</v>
      </c>
      <c r="L162" s="55">
        <v>0</v>
      </c>
      <c r="M162" s="55">
        <v>0</v>
      </c>
      <c r="N162" s="55"/>
    </row>
    <row r="163" spans="1:14">
      <c r="A163" s="55">
        <v>122</v>
      </c>
      <c r="B163" s="55" t="s">
        <v>1028</v>
      </c>
      <c r="C163" s="55" t="s">
        <v>20</v>
      </c>
      <c r="D163" s="22">
        <v>5</v>
      </c>
      <c r="E163" s="22">
        <v>0</v>
      </c>
      <c r="F163" s="22">
        <v>50</v>
      </c>
      <c r="G163" s="22">
        <v>0</v>
      </c>
      <c r="H163" s="55">
        <v>0</v>
      </c>
      <c r="I163" s="55">
        <v>0</v>
      </c>
      <c r="J163" s="55">
        <v>0.03</v>
      </c>
      <c r="K163" s="55">
        <v>0.06</v>
      </c>
      <c r="L163" s="55">
        <v>0</v>
      </c>
      <c r="M163" s="55">
        <v>0</v>
      </c>
      <c r="N163" s="55"/>
    </row>
    <row r="164" spans="1:14">
      <c r="A164" s="55">
        <v>123</v>
      </c>
      <c r="B164" s="55" t="s">
        <v>553</v>
      </c>
      <c r="C164" s="55" t="s">
        <v>19</v>
      </c>
      <c r="D164" s="22">
        <v>1</v>
      </c>
      <c r="E164" s="22">
        <v>20</v>
      </c>
      <c r="F164" s="22">
        <v>49</v>
      </c>
      <c r="G164" s="22">
        <v>98</v>
      </c>
      <c r="H164" s="55">
        <v>-95</v>
      </c>
      <c r="I164" s="55">
        <v>-50</v>
      </c>
      <c r="J164" s="55">
        <v>0.01</v>
      </c>
      <c r="K164" s="55">
        <v>0.06</v>
      </c>
      <c r="L164" s="55">
        <v>0.14000000000000001</v>
      </c>
      <c r="M164" s="55">
        <v>0.13</v>
      </c>
      <c r="N164" s="55"/>
    </row>
    <row r="165" spans="1:14">
      <c r="A165" s="55">
        <v>124</v>
      </c>
      <c r="B165" s="55" t="s">
        <v>1135</v>
      </c>
      <c r="C165" s="55" t="s">
        <v>19</v>
      </c>
      <c r="D165" s="22">
        <v>1</v>
      </c>
      <c r="E165" s="22">
        <v>0</v>
      </c>
      <c r="F165" s="22">
        <v>48</v>
      </c>
      <c r="G165" s="22">
        <v>0</v>
      </c>
      <c r="H165" s="55">
        <v>0</v>
      </c>
      <c r="I165" s="55">
        <v>0</v>
      </c>
      <c r="J165" s="55">
        <v>0.01</v>
      </c>
      <c r="K165" s="55">
        <v>0.06</v>
      </c>
      <c r="L165" s="55">
        <v>0</v>
      </c>
      <c r="M165" s="55">
        <v>0</v>
      </c>
      <c r="N165" s="55"/>
    </row>
    <row r="166" spans="1:14">
      <c r="A166" s="55">
        <v>125</v>
      </c>
      <c r="B166" s="55" t="s">
        <v>239</v>
      </c>
      <c r="C166" s="55" t="s">
        <v>19</v>
      </c>
      <c r="D166" s="22">
        <v>21</v>
      </c>
      <c r="E166" s="22">
        <v>1</v>
      </c>
      <c r="F166" s="22">
        <v>47</v>
      </c>
      <c r="G166" s="22">
        <v>29</v>
      </c>
      <c r="H166" s="55">
        <v>2000</v>
      </c>
      <c r="I166" s="55">
        <v>62.07</v>
      </c>
      <c r="J166" s="55">
        <v>0.13</v>
      </c>
      <c r="K166" s="55">
        <v>0.06</v>
      </c>
      <c r="L166" s="55">
        <v>0.01</v>
      </c>
      <c r="M166" s="55">
        <v>0.04</v>
      </c>
      <c r="N166" s="55"/>
    </row>
    <row r="167" spans="1:14">
      <c r="A167" s="55">
        <v>126</v>
      </c>
      <c r="B167" s="55" t="s">
        <v>649</v>
      </c>
      <c r="C167" s="55" t="s">
        <v>19</v>
      </c>
      <c r="D167" s="22">
        <v>12</v>
      </c>
      <c r="E167" s="22">
        <v>3</v>
      </c>
      <c r="F167" s="22">
        <v>46</v>
      </c>
      <c r="G167" s="22">
        <v>71</v>
      </c>
      <c r="H167" s="55">
        <v>300</v>
      </c>
      <c r="I167" s="55">
        <v>-35.21</v>
      </c>
      <c r="J167" s="55">
        <v>7.0000000000000007E-2</v>
      </c>
      <c r="K167" s="55">
        <v>0.06</v>
      </c>
      <c r="L167" s="55">
        <v>0.02</v>
      </c>
      <c r="M167" s="55">
        <v>0.09</v>
      </c>
      <c r="N167" s="55"/>
    </row>
    <row r="168" spans="1:14">
      <c r="A168" s="55">
        <v>127</v>
      </c>
      <c r="B168" s="55" t="s">
        <v>1161</v>
      </c>
      <c r="C168" s="55" t="s">
        <v>20</v>
      </c>
      <c r="D168" s="22">
        <v>18</v>
      </c>
      <c r="E168" s="22">
        <v>0</v>
      </c>
      <c r="F168" s="22">
        <v>46</v>
      </c>
      <c r="G168" s="22">
        <v>0</v>
      </c>
      <c r="H168" s="55">
        <v>0</v>
      </c>
      <c r="I168" s="55">
        <v>0</v>
      </c>
      <c r="J168" s="55">
        <v>0.11</v>
      </c>
      <c r="K168" s="55">
        <v>0.06</v>
      </c>
      <c r="L168" s="55">
        <v>0</v>
      </c>
      <c r="M168" s="55">
        <v>0</v>
      </c>
      <c r="N168" s="55"/>
    </row>
    <row r="169" spans="1:14">
      <c r="A169" s="55">
        <v>128</v>
      </c>
      <c r="B169" s="55" t="s">
        <v>431</v>
      </c>
      <c r="C169" s="55" t="s">
        <v>19</v>
      </c>
      <c r="D169" s="22">
        <v>14</v>
      </c>
      <c r="E169" s="22">
        <v>17</v>
      </c>
      <c r="F169" s="22">
        <v>44</v>
      </c>
      <c r="G169" s="22">
        <v>56</v>
      </c>
      <c r="H169" s="55">
        <v>-17.649999999999999</v>
      </c>
      <c r="I169" s="55">
        <v>-21.43</v>
      </c>
      <c r="J169" s="55">
        <v>0.08</v>
      </c>
      <c r="K169" s="55">
        <v>0.05</v>
      </c>
      <c r="L169" s="55">
        <v>0.12</v>
      </c>
      <c r="M169" s="55">
        <v>7.0000000000000007E-2</v>
      </c>
      <c r="N169" s="55"/>
    </row>
    <row r="170" spans="1:14">
      <c r="A170" s="55">
        <v>129</v>
      </c>
      <c r="B170" s="55" t="s">
        <v>430</v>
      </c>
      <c r="C170" s="55" t="s">
        <v>19</v>
      </c>
      <c r="D170" s="22">
        <v>4</v>
      </c>
      <c r="E170" s="22">
        <v>12</v>
      </c>
      <c r="F170" s="22">
        <v>42</v>
      </c>
      <c r="G170" s="22">
        <v>56</v>
      </c>
      <c r="H170" s="55">
        <v>-66.67</v>
      </c>
      <c r="I170" s="55">
        <v>-25</v>
      </c>
      <c r="J170" s="55">
        <v>0.02</v>
      </c>
      <c r="K170" s="55">
        <v>0.05</v>
      </c>
      <c r="L170" s="55">
        <v>0.08</v>
      </c>
      <c r="M170" s="55">
        <v>7.0000000000000007E-2</v>
      </c>
      <c r="N170" s="55"/>
    </row>
    <row r="171" spans="1:14">
      <c r="A171" s="55">
        <v>130</v>
      </c>
      <c r="B171" s="55" t="s">
        <v>612</v>
      </c>
      <c r="C171" s="55" t="s">
        <v>19</v>
      </c>
      <c r="D171" s="22">
        <v>5</v>
      </c>
      <c r="E171" s="22">
        <v>9</v>
      </c>
      <c r="F171" s="22">
        <v>42</v>
      </c>
      <c r="G171" s="22">
        <v>35</v>
      </c>
      <c r="H171" s="55">
        <v>-44.44</v>
      </c>
      <c r="I171" s="55">
        <v>20</v>
      </c>
      <c r="J171" s="55">
        <v>0.03</v>
      </c>
      <c r="K171" s="55">
        <v>0.05</v>
      </c>
      <c r="L171" s="55">
        <v>0.06</v>
      </c>
      <c r="M171" s="55">
        <v>0.05</v>
      </c>
      <c r="N171" s="55"/>
    </row>
    <row r="172" spans="1:14">
      <c r="A172" s="55">
        <v>131</v>
      </c>
      <c r="B172" s="55" t="s">
        <v>1238</v>
      </c>
      <c r="C172" s="55" t="s">
        <v>19</v>
      </c>
      <c r="D172" s="22">
        <v>41</v>
      </c>
      <c r="E172" s="22">
        <v>0</v>
      </c>
      <c r="F172" s="22">
        <v>41</v>
      </c>
      <c r="G172" s="22">
        <v>0</v>
      </c>
      <c r="H172" s="55">
        <v>0</v>
      </c>
      <c r="I172" s="55">
        <v>0</v>
      </c>
      <c r="J172" s="55">
        <v>0.24</v>
      </c>
      <c r="K172" s="55">
        <v>0.05</v>
      </c>
      <c r="L172" s="55">
        <v>0</v>
      </c>
      <c r="M172" s="55">
        <v>0</v>
      </c>
      <c r="N172" s="55"/>
    </row>
    <row r="173" spans="1:14">
      <c r="A173" s="55">
        <v>132</v>
      </c>
      <c r="B173" s="55" t="s">
        <v>1083</v>
      </c>
      <c r="C173" s="55" t="s">
        <v>20</v>
      </c>
      <c r="D173" s="22">
        <v>11</v>
      </c>
      <c r="E173" s="22">
        <v>0</v>
      </c>
      <c r="F173" s="22">
        <v>40</v>
      </c>
      <c r="G173" s="22">
        <v>0</v>
      </c>
      <c r="H173" s="55">
        <v>0</v>
      </c>
      <c r="I173" s="55">
        <v>0</v>
      </c>
      <c r="J173" s="55">
        <v>7.0000000000000007E-2</v>
      </c>
      <c r="K173" s="55">
        <v>0.05</v>
      </c>
      <c r="L173" s="55">
        <v>0</v>
      </c>
      <c r="M173" s="55">
        <v>0</v>
      </c>
      <c r="N173" s="55"/>
    </row>
    <row r="174" spans="1:14">
      <c r="A174" s="55">
        <v>133</v>
      </c>
      <c r="B174" s="55" t="s">
        <v>438</v>
      </c>
      <c r="C174" s="55" t="s">
        <v>19</v>
      </c>
      <c r="D174" s="22">
        <v>2</v>
      </c>
      <c r="E174" s="22">
        <v>0</v>
      </c>
      <c r="F174" s="22">
        <v>38</v>
      </c>
      <c r="G174" s="22">
        <v>23</v>
      </c>
      <c r="H174" s="55">
        <v>0</v>
      </c>
      <c r="I174" s="55">
        <v>65.22</v>
      </c>
      <c r="J174" s="55">
        <v>0.01</v>
      </c>
      <c r="K174" s="55">
        <v>0.05</v>
      </c>
      <c r="L174" s="55">
        <v>0</v>
      </c>
      <c r="M174" s="55">
        <v>0.03</v>
      </c>
      <c r="N174" s="55"/>
    </row>
    <row r="175" spans="1:14">
      <c r="A175" s="55">
        <v>134</v>
      </c>
      <c r="B175" s="55" t="s">
        <v>1060</v>
      </c>
      <c r="C175" s="55" t="s">
        <v>20</v>
      </c>
      <c r="D175" s="22">
        <v>3</v>
      </c>
      <c r="E175" s="22">
        <v>0</v>
      </c>
      <c r="F175" s="22">
        <v>38</v>
      </c>
      <c r="G175" s="22">
        <v>0</v>
      </c>
      <c r="H175" s="55">
        <v>0</v>
      </c>
      <c r="I175" s="55">
        <v>0</v>
      </c>
      <c r="J175" s="55">
        <v>0.02</v>
      </c>
      <c r="K175" s="55">
        <v>0.05</v>
      </c>
      <c r="L175" s="55">
        <v>0</v>
      </c>
      <c r="M175" s="55">
        <v>0</v>
      </c>
      <c r="N175" s="55"/>
    </row>
    <row r="176" spans="1:14">
      <c r="A176" s="55">
        <v>135</v>
      </c>
      <c r="B176" s="55" t="s">
        <v>498</v>
      </c>
      <c r="C176" s="55" t="s">
        <v>20</v>
      </c>
      <c r="D176" s="22">
        <v>20</v>
      </c>
      <c r="E176" s="22">
        <v>21</v>
      </c>
      <c r="F176" s="22">
        <v>35</v>
      </c>
      <c r="G176" s="22">
        <v>70</v>
      </c>
      <c r="H176" s="55">
        <v>-4.76</v>
      </c>
      <c r="I176" s="55">
        <v>-50</v>
      </c>
      <c r="J176" s="55">
        <v>0.12</v>
      </c>
      <c r="K176" s="55">
        <v>0.04</v>
      </c>
      <c r="L176" s="55">
        <v>0.15</v>
      </c>
      <c r="M176" s="55">
        <v>0.09</v>
      </c>
      <c r="N176" s="55"/>
    </row>
    <row r="177" spans="1:14">
      <c r="A177" s="55">
        <v>136</v>
      </c>
      <c r="B177" s="55" t="s">
        <v>429</v>
      </c>
      <c r="C177" s="55" t="s">
        <v>19</v>
      </c>
      <c r="D177" s="22">
        <v>1</v>
      </c>
      <c r="E177" s="22">
        <v>6</v>
      </c>
      <c r="F177" s="22">
        <v>35</v>
      </c>
      <c r="G177" s="22">
        <v>30</v>
      </c>
      <c r="H177" s="62">
        <v>-83.33</v>
      </c>
      <c r="I177" s="62">
        <v>16.670000000000002</v>
      </c>
      <c r="J177" s="55">
        <v>0.01</v>
      </c>
      <c r="K177" s="55">
        <v>0.04</v>
      </c>
      <c r="L177" s="55">
        <v>0.04</v>
      </c>
      <c r="M177" s="55">
        <v>0.04</v>
      </c>
      <c r="N177" s="55"/>
    </row>
    <row r="178" spans="1:14">
      <c r="A178" s="55">
        <v>137</v>
      </c>
      <c r="B178" s="55" t="s">
        <v>559</v>
      </c>
      <c r="C178" s="55" t="s">
        <v>20</v>
      </c>
      <c r="D178" s="22">
        <v>14</v>
      </c>
      <c r="E178" s="22">
        <v>31</v>
      </c>
      <c r="F178" s="22">
        <v>34</v>
      </c>
      <c r="G178" s="22">
        <v>113</v>
      </c>
      <c r="H178" s="55">
        <v>-54.84</v>
      </c>
      <c r="I178" s="55">
        <v>-69.91</v>
      </c>
      <c r="J178" s="55">
        <v>0.08</v>
      </c>
      <c r="K178" s="55">
        <v>0.04</v>
      </c>
      <c r="L178" s="55">
        <v>0.22</v>
      </c>
      <c r="M178" s="55">
        <v>0.15</v>
      </c>
      <c r="N178" s="55"/>
    </row>
    <row r="179" spans="1:14">
      <c r="A179" s="55">
        <v>138</v>
      </c>
      <c r="B179" s="55" t="s">
        <v>1096</v>
      </c>
      <c r="C179" s="55" t="s">
        <v>20</v>
      </c>
      <c r="D179" s="22">
        <v>6</v>
      </c>
      <c r="E179" s="22">
        <v>4</v>
      </c>
      <c r="F179" s="22">
        <v>34</v>
      </c>
      <c r="G179" s="22">
        <v>38</v>
      </c>
      <c r="H179" s="55">
        <v>50</v>
      </c>
      <c r="I179" s="55">
        <v>-10.53</v>
      </c>
      <c r="J179" s="55">
        <v>0.04</v>
      </c>
      <c r="K179" s="55">
        <v>0.04</v>
      </c>
      <c r="L179" s="55">
        <v>0.03</v>
      </c>
      <c r="M179" s="55">
        <v>0.05</v>
      </c>
      <c r="N179" s="55"/>
    </row>
    <row r="180" spans="1:14">
      <c r="A180" s="55">
        <v>139</v>
      </c>
      <c r="B180" s="55" t="s">
        <v>493</v>
      </c>
      <c r="C180" s="55" t="s">
        <v>19</v>
      </c>
      <c r="D180" s="22">
        <v>13</v>
      </c>
      <c r="E180" s="22">
        <v>0</v>
      </c>
      <c r="F180" s="22">
        <v>33</v>
      </c>
      <c r="G180" s="22">
        <v>40</v>
      </c>
      <c r="H180" s="62">
        <v>0</v>
      </c>
      <c r="I180" s="62">
        <v>-17.5</v>
      </c>
      <c r="J180" s="55">
        <v>0.08</v>
      </c>
      <c r="K180" s="55">
        <v>0.04</v>
      </c>
      <c r="L180" s="55">
        <v>0</v>
      </c>
      <c r="M180" s="55">
        <v>0.05</v>
      </c>
      <c r="N180" s="55"/>
    </row>
    <row r="181" spans="1:14">
      <c r="A181" s="55">
        <v>140</v>
      </c>
      <c r="B181" s="55" t="s">
        <v>707</v>
      </c>
      <c r="C181" s="55" t="s">
        <v>20</v>
      </c>
      <c r="D181" s="22">
        <v>7</v>
      </c>
      <c r="E181" s="22">
        <v>0</v>
      </c>
      <c r="F181" s="22">
        <v>33</v>
      </c>
      <c r="G181" s="22">
        <v>2</v>
      </c>
      <c r="H181" s="55">
        <v>0</v>
      </c>
      <c r="I181" s="55">
        <v>1550</v>
      </c>
      <c r="J181" s="55">
        <v>0.04</v>
      </c>
      <c r="K181" s="55">
        <v>0.04</v>
      </c>
      <c r="L181" s="55">
        <v>0</v>
      </c>
      <c r="M181" s="55">
        <v>0</v>
      </c>
      <c r="N181" s="55"/>
    </row>
    <row r="182" spans="1:14">
      <c r="A182" s="55">
        <v>141</v>
      </c>
      <c r="B182" s="55" t="s">
        <v>501</v>
      </c>
      <c r="C182" s="55" t="s">
        <v>20</v>
      </c>
      <c r="D182" s="22">
        <v>2</v>
      </c>
      <c r="E182" s="22">
        <v>16</v>
      </c>
      <c r="F182" s="22">
        <v>32</v>
      </c>
      <c r="G182" s="22">
        <v>57</v>
      </c>
      <c r="H182" s="55">
        <v>-87.5</v>
      </c>
      <c r="I182" s="55">
        <v>-43.86</v>
      </c>
      <c r="J182" s="55">
        <v>0.01</v>
      </c>
      <c r="K182" s="55">
        <v>0.04</v>
      </c>
      <c r="L182" s="55">
        <v>0.11</v>
      </c>
      <c r="M182" s="55">
        <v>0.08</v>
      </c>
      <c r="N182" s="55"/>
    </row>
    <row r="183" spans="1:14">
      <c r="A183" s="55">
        <v>142</v>
      </c>
      <c r="B183" s="55" t="s">
        <v>650</v>
      </c>
      <c r="C183" s="55" t="s">
        <v>20</v>
      </c>
      <c r="D183" s="22">
        <v>6</v>
      </c>
      <c r="E183" s="22">
        <v>2</v>
      </c>
      <c r="F183" s="22">
        <v>32</v>
      </c>
      <c r="G183" s="22">
        <v>20</v>
      </c>
      <c r="H183" s="55">
        <v>200</v>
      </c>
      <c r="I183" s="55">
        <v>60</v>
      </c>
      <c r="J183" s="55">
        <v>0.04</v>
      </c>
      <c r="K183" s="55">
        <v>0.04</v>
      </c>
      <c r="L183" s="55">
        <v>0.01</v>
      </c>
      <c r="M183" s="55">
        <v>0.03</v>
      </c>
      <c r="N183" s="55"/>
    </row>
    <row r="184" spans="1:14">
      <c r="A184" s="55">
        <v>143</v>
      </c>
      <c r="B184" s="55" t="s">
        <v>1154</v>
      </c>
      <c r="C184" s="55" t="s">
        <v>19</v>
      </c>
      <c r="D184" s="22">
        <v>13</v>
      </c>
      <c r="E184" s="22">
        <v>0</v>
      </c>
      <c r="F184" s="22">
        <v>32</v>
      </c>
      <c r="G184" s="22">
        <v>0</v>
      </c>
      <c r="H184" s="55">
        <v>0</v>
      </c>
      <c r="I184" s="55">
        <v>0</v>
      </c>
      <c r="J184" s="55">
        <v>0.08</v>
      </c>
      <c r="K184" s="55">
        <v>0.04</v>
      </c>
      <c r="L184" s="55">
        <v>0</v>
      </c>
      <c r="M184" s="55">
        <v>0</v>
      </c>
      <c r="N184" s="55"/>
    </row>
    <row r="185" spans="1:14">
      <c r="A185" s="55">
        <v>144</v>
      </c>
      <c r="B185" s="55" t="s">
        <v>1082</v>
      </c>
      <c r="C185" s="55" t="s">
        <v>19</v>
      </c>
      <c r="D185" s="22">
        <v>3</v>
      </c>
      <c r="E185" s="22">
        <v>0</v>
      </c>
      <c r="F185" s="22">
        <v>31</v>
      </c>
      <c r="G185" s="22">
        <v>0</v>
      </c>
      <c r="H185" s="55">
        <v>0</v>
      </c>
      <c r="I185" s="55">
        <v>0</v>
      </c>
      <c r="J185" s="55">
        <v>0.02</v>
      </c>
      <c r="K185" s="55">
        <v>0.04</v>
      </c>
      <c r="L185" s="55">
        <v>0</v>
      </c>
      <c r="M185" s="55">
        <v>0</v>
      </c>
      <c r="N185" s="55"/>
    </row>
    <row r="186" spans="1:14">
      <c r="A186" s="55">
        <v>145</v>
      </c>
      <c r="B186" s="55" t="s">
        <v>1080</v>
      </c>
      <c r="C186" s="55" t="s">
        <v>20</v>
      </c>
      <c r="D186" s="22">
        <v>6</v>
      </c>
      <c r="E186" s="22">
        <v>0</v>
      </c>
      <c r="F186" s="22">
        <v>31</v>
      </c>
      <c r="G186" s="22">
        <v>0</v>
      </c>
      <c r="H186" s="55">
        <v>0</v>
      </c>
      <c r="I186" s="55">
        <v>0</v>
      </c>
      <c r="J186" s="55">
        <v>0.04</v>
      </c>
      <c r="K186" s="55">
        <v>0.04</v>
      </c>
      <c r="L186" s="55">
        <v>0</v>
      </c>
      <c r="M186" s="55">
        <v>0</v>
      </c>
      <c r="N186" s="55"/>
    </row>
    <row r="187" spans="1:14">
      <c r="A187" s="55">
        <v>146</v>
      </c>
      <c r="B187" s="55" t="s">
        <v>140</v>
      </c>
      <c r="C187" s="55" t="s">
        <v>19</v>
      </c>
      <c r="D187" s="22">
        <v>1</v>
      </c>
      <c r="E187" s="22">
        <v>43</v>
      </c>
      <c r="F187" s="22">
        <v>30</v>
      </c>
      <c r="G187" s="22">
        <v>102</v>
      </c>
      <c r="H187" s="55">
        <v>-97.67</v>
      </c>
      <c r="I187" s="55">
        <v>-70.59</v>
      </c>
      <c r="J187" s="55">
        <v>0.01</v>
      </c>
      <c r="K187" s="55">
        <v>0.04</v>
      </c>
      <c r="L187" s="55">
        <v>0.3</v>
      </c>
      <c r="M187" s="55">
        <v>0.14000000000000001</v>
      </c>
      <c r="N187" s="55"/>
    </row>
    <row r="188" spans="1:14">
      <c r="A188" s="55">
        <v>147</v>
      </c>
      <c r="B188" s="55" t="s">
        <v>991</v>
      </c>
      <c r="C188" s="55" t="s">
        <v>19</v>
      </c>
      <c r="D188" s="22">
        <v>1</v>
      </c>
      <c r="E188" s="22">
        <v>0</v>
      </c>
      <c r="F188" s="22">
        <v>30</v>
      </c>
      <c r="G188" s="22">
        <v>0</v>
      </c>
      <c r="H188" s="55">
        <v>0</v>
      </c>
      <c r="I188" s="55">
        <v>0</v>
      </c>
      <c r="J188" s="55">
        <v>0.01</v>
      </c>
      <c r="K188" s="55">
        <v>0.04</v>
      </c>
      <c r="L188" s="55">
        <v>0</v>
      </c>
      <c r="M188" s="55">
        <v>0</v>
      </c>
      <c r="N188" s="55"/>
    </row>
    <row r="189" spans="1:14">
      <c r="A189" s="55">
        <v>148</v>
      </c>
      <c r="B189" s="55" t="s">
        <v>191</v>
      </c>
      <c r="C189" s="55" t="s">
        <v>19</v>
      </c>
      <c r="D189" s="22">
        <v>8</v>
      </c>
      <c r="E189" s="22">
        <v>0</v>
      </c>
      <c r="F189" s="22">
        <v>30</v>
      </c>
      <c r="G189" s="22">
        <v>0</v>
      </c>
      <c r="H189" s="55">
        <v>0</v>
      </c>
      <c r="I189" s="55">
        <v>0</v>
      </c>
      <c r="J189" s="55">
        <v>0.05</v>
      </c>
      <c r="K189" s="55">
        <v>0.04</v>
      </c>
      <c r="L189" s="55">
        <v>0</v>
      </c>
      <c r="M189" s="55">
        <v>0</v>
      </c>
      <c r="N189" s="55"/>
    </row>
    <row r="190" spans="1:14">
      <c r="A190" s="55">
        <v>149</v>
      </c>
      <c r="B190" s="55" t="s">
        <v>420</v>
      </c>
      <c r="C190" s="55" t="s">
        <v>19</v>
      </c>
      <c r="D190" s="22">
        <v>2</v>
      </c>
      <c r="E190" s="22">
        <v>2</v>
      </c>
      <c r="F190" s="22">
        <v>26</v>
      </c>
      <c r="G190" s="22">
        <v>47</v>
      </c>
      <c r="H190" s="55">
        <v>0</v>
      </c>
      <c r="I190" s="55">
        <v>-44.68</v>
      </c>
      <c r="J190" s="55">
        <v>0.01</v>
      </c>
      <c r="K190" s="55">
        <v>0.03</v>
      </c>
      <c r="L190" s="55">
        <v>0.01</v>
      </c>
      <c r="M190" s="55">
        <v>0.06</v>
      </c>
      <c r="N190" s="55"/>
    </row>
    <row r="191" spans="1:14">
      <c r="A191" s="55">
        <v>150</v>
      </c>
      <c r="B191" s="55" t="s">
        <v>576</v>
      </c>
      <c r="C191" s="55" t="s">
        <v>20</v>
      </c>
      <c r="D191" s="22">
        <v>4</v>
      </c>
      <c r="E191" s="22">
        <v>1</v>
      </c>
      <c r="F191" s="22">
        <v>24</v>
      </c>
      <c r="G191" s="22">
        <v>26</v>
      </c>
      <c r="H191" s="55">
        <v>300</v>
      </c>
      <c r="I191" s="55">
        <v>-7.69</v>
      </c>
      <c r="J191" s="55">
        <v>0.02</v>
      </c>
      <c r="K191" s="55">
        <v>0.03</v>
      </c>
      <c r="L191" s="55">
        <v>0.01</v>
      </c>
      <c r="M191" s="55">
        <v>0.03</v>
      </c>
      <c r="N191" s="55"/>
    </row>
    <row r="192" spans="1:14">
      <c r="A192" s="55">
        <v>151</v>
      </c>
      <c r="B192" s="55" t="s">
        <v>613</v>
      </c>
      <c r="C192" s="55" t="s">
        <v>20</v>
      </c>
      <c r="D192" s="22">
        <v>7</v>
      </c>
      <c r="E192" s="22">
        <v>1</v>
      </c>
      <c r="F192" s="22">
        <v>24</v>
      </c>
      <c r="G192" s="22">
        <v>15</v>
      </c>
      <c r="H192" s="55">
        <v>600</v>
      </c>
      <c r="I192" s="55">
        <v>60</v>
      </c>
      <c r="J192" s="55">
        <v>0.04</v>
      </c>
      <c r="K192" s="55">
        <v>0.03</v>
      </c>
      <c r="L192" s="55">
        <v>0.01</v>
      </c>
      <c r="M192" s="55">
        <v>0.02</v>
      </c>
      <c r="N192" s="55"/>
    </row>
    <row r="193" spans="1:14">
      <c r="A193" s="55">
        <v>152</v>
      </c>
      <c r="B193" s="55" t="s">
        <v>401</v>
      </c>
      <c r="C193" s="55" t="s">
        <v>20</v>
      </c>
      <c r="D193" s="22">
        <v>2</v>
      </c>
      <c r="E193" s="22">
        <v>17</v>
      </c>
      <c r="F193" s="22">
        <v>23</v>
      </c>
      <c r="G193" s="22">
        <v>94</v>
      </c>
      <c r="H193" s="55">
        <v>-88.24</v>
      </c>
      <c r="I193" s="55">
        <v>-75.53</v>
      </c>
      <c r="J193" s="55">
        <v>0.01</v>
      </c>
      <c r="K193" s="55">
        <v>0.03</v>
      </c>
      <c r="L193" s="55">
        <v>0.12</v>
      </c>
      <c r="M193" s="55">
        <v>0.13</v>
      </c>
      <c r="N193" s="55"/>
    </row>
    <row r="194" spans="1:14">
      <c r="A194" s="55">
        <v>153</v>
      </c>
      <c r="B194" s="55" t="s">
        <v>440</v>
      </c>
      <c r="C194" s="55" t="s">
        <v>20</v>
      </c>
      <c r="D194" s="22">
        <v>7</v>
      </c>
      <c r="E194" s="22">
        <v>6</v>
      </c>
      <c r="F194" s="22">
        <v>23</v>
      </c>
      <c r="G194" s="22">
        <v>15</v>
      </c>
      <c r="H194" s="55">
        <v>16.670000000000002</v>
      </c>
      <c r="I194" s="55">
        <v>53.33</v>
      </c>
      <c r="J194" s="55">
        <v>0.04</v>
      </c>
      <c r="K194" s="55">
        <v>0.03</v>
      </c>
      <c r="L194" s="55">
        <v>0.04</v>
      </c>
      <c r="M194" s="55">
        <v>0.02</v>
      </c>
      <c r="N194" s="55"/>
    </row>
    <row r="195" spans="1:14">
      <c r="A195" s="55">
        <v>154</v>
      </c>
      <c r="B195" s="55" t="s">
        <v>647</v>
      </c>
      <c r="C195" s="55" t="s">
        <v>20</v>
      </c>
      <c r="D195" s="22">
        <v>5</v>
      </c>
      <c r="E195" s="22">
        <v>3</v>
      </c>
      <c r="F195" s="22">
        <v>21</v>
      </c>
      <c r="G195" s="22">
        <v>40</v>
      </c>
      <c r="H195" s="55">
        <v>66.67</v>
      </c>
      <c r="I195" s="55">
        <v>-47.5</v>
      </c>
      <c r="J195" s="55">
        <v>0.03</v>
      </c>
      <c r="K195" s="55">
        <v>0.03</v>
      </c>
      <c r="L195" s="55">
        <v>0.02</v>
      </c>
      <c r="M195" s="55">
        <v>0.05</v>
      </c>
      <c r="N195" s="55"/>
    </row>
    <row r="196" spans="1:14">
      <c r="A196" s="55">
        <v>155</v>
      </c>
      <c r="B196" s="55" t="s">
        <v>432</v>
      </c>
      <c r="C196" s="55" t="s">
        <v>20</v>
      </c>
      <c r="D196" s="22">
        <v>2</v>
      </c>
      <c r="E196" s="22">
        <v>5</v>
      </c>
      <c r="F196" s="22">
        <v>21</v>
      </c>
      <c r="G196" s="22">
        <v>22</v>
      </c>
      <c r="H196" s="62">
        <v>-60</v>
      </c>
      <c r="I196" s="62">
        <v>-4.55</v>
      </c>
      <c r="J196" s="62">
        <v>0.01</v>
      </c>
      <c r="K196" s="62">
        <v>0.03</v>
      </c>
      <c r="L196" s="62">
        <v>0.03</v>
      </c>
      <c r="M196" s="62">
        <v>0.03</v>
      </c>
      <c r="N196" s="55"/>
    </row>
    <row r="197" spans="1:14">
      <c r="A197" s="55">
        <v>156</v>
      </c>
      <c r="B197" s="55" t="s">
        <v>437</v>
      </c>
      <c r="C197" s="55" t="s">
        <v>19</v>
      </c>
      <c r="D197" s="22">
        <v>3</v>
      </c>
      <c r="E197" s="22">
        <v>18</v>
      </c>
      <c r="F197" s="22">
        <v>20</v>
      </c>
      <c r="G197" s="22">
        <v>67</v>
      </c>
      <c r="H197" s="55">
        <v>-83.33</v>
      </c>
      <c r="I197" s="55">
        <v>-70.150000000000006</v>
      </c>
      <c r="J197" s="55">
        <v>0.02</v>
      </c>
      <c r="K197" s="55">
        <v>0.02</v>
      </c>
      <c r="L197" s="55">
        <v>0.13</v>
      </c>
      <c r="M197" s="55">
        <v>0.09</v>
      </c>
      <c r="N197" s="55"/>
    </row>
    <row r="198" spans="1:14">
      <c r="A198" s="55">
        <v>157</v>
      </c>
      <c r="B198" s="55" t="s">
        <v>705</v>
      </c>
      <c r="C198" s="55" t="s">
        <v>19</v>
      </c>
      <c r="D198" s="22">
        <v>2</v>
      </c>
      <c r="E198" s="22">
        <v>3</v>
      </c>
      <c r="F198" s="22">
        <v>19</v>
      </c>
      <c r="G198" s="22">
        <v>48</v>
      </c>
      <c r="H198" s="55">
        <v>-33.33</v>
      </c>
      <c r="I198" s="55">
        <v>-60.42</v>
      </c>
      <c r="J198" s="55">
        <v>0.01</v>
      </c>
      <c r="K198" s="55">
        <v>0.02</v>
      </c>
      <c r="L198" s="55">
        <v>0.02</v>
      </c>
      <c r="M198" s="55">
        <v>0.06</v>
      </c>
      <c r="N198" s="55"/>
    </row>
    <row r="199" spans="1:14">
      <c r="A199" s="55">
        <v>158</v>
      </c>
      <c r="B199" s="55" t="s">
        <v>130</v>
      </c>
      <c r="C199" s="55" t="s">
        <v>19</v>
      </c>
      <c r="D199" s="22">
        <v>6</v>
      </c>
      <c r="E199" s="22">
        <v>9</v>
      </c>
      <c r="F199" s="22">
        <v>18</v>
      </c>
      <c r="G199" s="22">
        <v>72</v>
      </c>
      <c r="H199" s="55">
        <v>-33.33</v>
      </c>
      <c r="I199" s="55">
        <v>-75</v>
      </c>
      <c r="J199" s="55">
        <v>0.04</v>
      </c>
      <c r="K199" s="55">
        <v>0.02</v>
      </c>
      <c r="L199" s="55">
        <v>0.06</v>
      </c>
      <c r="M199" s="55">
        <v>0.1</v>
      </c>
      <c r="N199" s="55"/>
    </row>
    <row r="200" spans="1:14">
      <c r="A200" s="55">
        <v>159</v>
      </c>
      <c r="B200" s="55" t="s">
        <v>598</v>
      </c>
      <c r="C200" s="55" t="s">
        <v>19</v>
      </c>
      <c r="D200" s="22">
        <v>7</v>
      </c>
      <c r="E200" s="22">
        <v>1</v>
      </c>
      <c r="F200" s="22">
        <v>17</v>
      </c>
      <c r="G200" s="22">
        <v>45</v>
      </c>
      <c r="H200" s="55">
        <v>600</v>
      </c>
      <c r="I200" s="55">
        <v>-62.22</v>
      </c>
      <c r="J200" s="55">
        <v>0.04</v>
      </c>
      <c r="K200" s="55">
        <v>0.02</v>
      </c>
      <c r="L200" s="55">
        <v>0.01</v>
      </c>
      <c r="M200" s="55">
        <v>0.06</v>
      </c>
      <c r="N200" s="55"/>
    </row>
    <row r="201" spans="1:14">
      <c r="A201" s="55">
        <v>160</v>
      </c>
      <c r="B201" s="55" t="s">
        <v>693</v>
      </c>
      <c r="C201" s="55" t="s">
        <v>19</v>
      </c>
      <c r="D201" s="22">
        <v>1</v>
      </c>
      <c r="E201" s="22">
        <v>3</v>
      </c>
      <c r="F201" s="22">
        <v>17</v>
      </c>
      <c r="G201" s="22">
        <v>7</v>
      </c>
      <c r="H201" s="55">
        <v>-66.67</v>
      </c>
      <c r="I201" s="55">
        <v>142.86000000000001</v>
      </c>
      <c r="J201" s="55">
        <v>0.01</v>
      </c>
      <c r="K201" s="55">
        <v>0.02</v>
      </c>
      <c r="L201" s="55">
        <v>0.02</v>
      </c>
      <c r="M201" s="55">
        <v>0.01</v>
      </c>
      <c r="N201" s="55"/>
    </row>
    <row r="202" spans="1:14">
      <c r="A202" s="55">
        <v>161</v>
      </c>
      <c r="B202" s="55" t="s">
        <v>701</v>
      </c>
      <c r="C202" s="55" t="s">
        <v>19</v>
      </c>
      <c r="D202" s="22">
        <v>0</v>
      </c>
      <c r="E202" s="22">
        <v>3</v>
      </c>
      <c r="F202" s="22">
        <v>17</v>
      </c>
      <c r="G202" s="22">
        <v>5</v>
      </c>
      <c r="H202" s="55">
        <v>-100</v>
      </c>
      <c r="I202" s="55">
        <v>240</v>
      </c>
      <c r="J202" s="55">
        <v>0</v>
      </c>
      <c r="K202" s="55">
        <v>0.02</v>
      </c>
      <c r="L202" s="55">
        <v>0.02</v>
      </c>
      <c r="M202" s="55">
        <v>0.01</v>
      </c>
      <c r="N202" s="55"/>
    </row>
    <row r="203" spans="1:14">
      <c r="A203" s="55">
        <v>162</v>
      </c>
      <c r="B203" s="55" t="s">
        <v>1133</v>
      </c>
      <c r="C203" s="55" t="s">
        <v>20</v>
      </c>
      <c r="D203" s="22">
        <v>3</v>
      </c>
      <c r="E203" s="22">
        <v>0</v>
      </c>
      <c r="F203" s="22">
        <v>17</v>
      </c>
      <c r="G203" s="22">
        <v>0</v>
      </c>
      <c r="H203" s="55">
        <v>0</v>
      </c>
      <c r="I203" s="55">
        <v>0</v>
      </c>
      <c r="J203" s="55">
        <v>0.02</v>
      </c>
      <c r="K203" s="55">
        <v>0.02</v>
      </c>
      <c r="L203" s="55">
        <v>0</v>
      </c>
      <c r="M203" s="55">
        <v>0</v>
      </c>
      <c r="N203" s="55"/>
    </row>
    <row r="204" spans="1:14">
      <c r="A204" s="55">
        <v>163</v>
      </c>
      <c r="B204" s="55" t="s">
        <v>495</v>
      </c>
      <c r="C204" s="55" t="s">
        <v>19</v>
      </c>
      <c r="D204" s="22">
        <v>3</v>
      </c>
      <c r="E204" s="22">
        <v>0</v>
      </c>
      <c r="F204" s="22">
        <v>16</v>
      </c>
      <c r="G204" s="22">
        <v>6</v>
      </c>
      <c r="H204" s="55">
        <v>0</v>
      </c>
      <c r="I204" s="55">
        <v>166.67</v>
      </c>
      <c r="J204" s="55">
        <v>0.02</v>
      </c>
      <c r="K204" s="55">
        <v>0.02</v>
      </c>
      <c r="L204" s="55">
        <v>0</v>
      </c>
      <c r="M204" s="55">
        <v>0.01</v>
      </c>
      <c r="N204" s="55"/>
    </row>
    <row r="205" spans="1:14">
      <c r="A205" s="55">
        <v>164</v>
      </c>
      <c r="B205" s="55" t="s">
        <v>1040</v>
      </c>
      <c r="C205" s="55" t="s">
        <v>20</v>
      </c>
      <c r="D205" s="22">
        <v>0</v>
      </c>
      <c r="E205" s="22">
        <v>0</v>
      </c>
      <c r="F205" s="22">
        <v>16</v>
      </c>
      <c r="G205" s="22">
        <v>0</v>
      </c>
      <c r="H205" s="55">
        <v>0</v>
      </c>
      <c r="I205" s="55">
        <v>0</v>
      </c>
      <c r="J205" s="55">
        <v>0</v>
      </c>
      <c r="K205" s="55">
        <v>0.02</v>
      </c>
      <c r="L205" s="55">
        <v>0</v>
      </c>
      <c r="M205" s="55">
        <v>0</v>
      </c>
      <c r="N205" s="55"/>
    </row>
    <row r="206" spans="1:14">
      <c r="A206" s="135">
        <v>165</v>
      </c>
      <c r="B206" s="135" t="s">
        <v>492</v>
      </c>
      <c r="C206" s="135" t="s">
        <v>19</v>
      </c>
      <c r="D206" s="142">
        <v>8</v>
      </c>
      <c r="E206" s="142">
        <v>1</v>
      </c>
      <c r="F206" s="142">
        <v>15</v>
      </c>
      <c r="G206" s="142">
        <v>27</v>
      </c>
      <c r="H206" s="135">
        <v>700</v>
      </c>
      <c r="I206" s="135">
        <v>-44.44</v>
      </c>
      <c r="J206" s="135">
        <v>0.05</v>
      </c>
      <c r="K206" s="135">
        <v>0.02</v>
      </c>
      <c r="L206" s="135">
        <v>0.01</v>
      </c>
      <c r="M206" s="135">
        <v>0.04</v>
      </c>
      <c r="N206" s="55"/>
    </row>
    <row r="207" spans="1:14">
      <c r="A207" s="135">
        <v>166</v>
      </c>
      <c r="B207" s="135" t="s">
        <v>1103</v>
      </c>
      <c r="C207" s="135" t="s">
        <v>20</v>
      </c>
      <c r="D207" s="142">
        <v>4</v>
      </c>
      <c r="E207" s="142">
        <v>1</v>
      </c>
      <c r="F207" s="142">
        <v>13</v>
      </c>
      <c r="G207" s="142">
        <v>10</v>
      </c>
      <c r="H207" s="135">
        <v>300</v>
      </c>
      <c r="I207" s="135">
        <v>30</v>
      </c>
      <c r="J207" s="135">
        <v>0.02</v>
      </c>
      <c r="K207" s="135">
        <v>0.02</v>
      </c>
      <c r="L207" s="135">
        <v>0.01</v>
      </c>
      <c r="M207" s="135">
        <v>0.01</v>
      </c>
      <c r="N207" s="55"/>
    </row>
    <row r="208" spans="1:14">
      <c r="A208" s="135">
        <v>167</v>
      </c>
      <c r="B208" s="135" t="s">
        <v>1088</v>
      </c>
      <c r="C208" s="135" t="s">
        <v>20</v>
      </c>
      <c r="D208" s="142">
        <v>4</v>
      </c>
      <c r="E208" s="142">
        <v>0</v>
      </c>
      <c r="F208" s="142">
        <v>13</v>
      </c>
      <c r="G208" s="142">
        <v>0</v>
      </c>
      <c r="H208" s="135">
        <v>0</v>
      </c>
      <c r="I208" s="135">
        <v>0</v>
      </c>
      <c r="J208" s="135">
        <v>0.02</v>
      </c>
      <c r="K208" s="135">
        <v>0.02</v>
      </c>
      <c r="L208" s="135">
        <v>0</v>
      </c>
      <c r="M208" s="135">
        <v>0</v>
      </c>
      <c r="N208" s="55"/>
    </row>
    <row r="209" spans="1:14">
      <c r="A209" s="135">
        <v>168</v>
      </c>
      <c r="B209" s="135" t="s">
        <v>172</v>
      </c>
      <c r="C209" s="135" t="s">
        <v>19</v>
      </c>
      <c r="D209" s="142">
        <v>1</v>
      </c>
      <c r="E209" s="142">
        <v>10</v>
      </c>
      <c r="F209" s="142">
        <v>11</v>
      </c>
      <c r="G209" s="142">
        <v>26</v>
      </c>
      <c r="H209" s="135">
        <v>-90</v>
      </c>
      <c r="I209" s="135">
        <v>-57.69</v>
      </c>
      <c r="J209" s="135">
        <v>0.01</v>
      </c>
      <c r="K209" s="135">
        <v>0.01</v>
      </c>
      <c r="L209" s="135">
        <v>7.0000000000000007E-2</v>
      </c>
      <c r="M209" s="135">
        <v>0.03</v>
      </c>
      <c r="N209" s="55"/>
    </row>
    <row r="210" spans="1:14">
      <c r="A210" s="135">
        <v>169</v>
      </c>
      <c r="B210" s="135" t="s">
        <v>500</v>
      </c>
      <c r="C210" s="135" t="s">
        <v>19</v>
      </c>
      <c r="D210" s="142">
        <v>4</v>
      </c>
      <c r="E210" s="142">
        <v>1</v>
      </c>
      <c r="F210" s="142">
        <v>11</v>
      </c>
      <c r="G210" s="142">
        <v>21</v>
      </c>
      <c r="H210" s="135">
        <v>300</v>
      </c>
      <c r="I210" s="135">
        <v>-47.62</v>
      </c>
      <c r="J210" s="135">
        <v>0.02</v>
      </c>
      <c r="K210" s="135">
        <v>0.01</v>
      </c>
      <c r="L210" s="135">
        <v>0.01</v>
      </c>
      <c r="M210" s="135">
        <v>0.03</v>
      </c>
      <c r="N210" s="55"/>
    </row>
    <row r="211" spans="1:14">
      <c r="A211" s="135">
        <v>170</v>
      </c>
      <c r="B211" s="135" t="s">
        <v>422</v>
      </c>
      <c r="C211" s="135" t="s">
        <v>19</v>
      </c>
      <c r="D211" s="142">
        <v>2</v>
      </c>
      <c r="E211" s="142">
        <v>4</v>
      </c>
      <c r="F211" s="142">
        <v>10</v>
      </c>
      <c r="G211" s="142">
        <v>27</v>
      </c>
      <c r="H211" s="135">
        <v>-50</v>
      </c>
      <c r="I211" s="135">
        <v>-62.96</v>
      </c>
      <c r="J211" s="135">
        <v>0.01</v>
      </c>
      <c r="K211" s="135">
        <v>0.01</v>
      </c>
      <c r="L211" s="135">
        <v>0.03</v>
      </c>
      <c r="M211" s="135">
        <v>0.04</v>
      </c>
      <c r="N211" s="55"/>
    </row>
    <row r="212" spans="1:14">
      <c r="A212" s="135">
        <v>171</v>
      </c>
      <c r="B212" s="135" t="s">
        <v>238</v>
      </c>
      <c r="C212" s="135" t="s">
        <v>19</v>
      </c>
      <c r="D212" s="142">
        <v>10</v>
      </c>
      <c r="E212" s="142">
        <v>2</v>
      </c>
      <c r="F212" s="142">
        <v>10</v>
      </c>
      <c r="G212" s="142">
        <v>13</v>
      </c>
      <c r="H212" s="135">
        <v>400</v>
      </c>
      <c r="I212" s="135">
        <v>-23.08</v>
      </c>
      <c r="J212" s="135">
        <v>0.06</v>
      </c>
      <c r="K212" s="135">
        <v>0.01</v>
      </c>
      <c r="L212" s="135">
        <v>0.01</v>
      </c>
      <c r="M212" s="135">
        <v>0.02</v>
      </c>
      <c r="N212" s="55"/>
    </row>
    <row r="213" spans="1:14">
      <c r="A213" s="135">
        <v>172</v>
      </c>
      <c r="B213" s="135" t="s">
        <v>389</v>
      </c>
      <c r="C213" s="135" t="s">
        <v>20</v>
      </c>
      <c r="D213" s="142">
        <v>3</v>
      </c>
      <c r="E213" s="142">
        <v>11</v>
      </c>
      <c r="F213" s="142">
        <v>9</v>
      </c>
      <c r="G213" s="142">
        <v>79</v>
      </c>
      <c r="H213" s="135">
        <v>-72.73</v>
      </c>
      <c r="I213" s="135">
        <v>-88.61</v>
      </c>
      <c r="J213" s="135">
        <v>0.02</v>
      </c>
      <c r="K213" s="135">
        <v>0.01</v>
      </c>
      <c r="L213" s="135">
        <v>0.08</v>
      </c>
      <c r="M213" s="135">
        <v>0.11</v>
      </c>
      <c r="N213" s="55"/>
    </row>
    <row r="214" spans="1:14">
      <c r="A214" s="135">
        <v>173</v>
      </c>
      <c r="B214" s="135" t="s">
        <v>233</v>
      </c>
      <c r="C214" s="135" t="s">
        <v>19</v>
      </c>
      <c r="D214" s="142">
        <v>2</v>
      </c>
      <c r="E214" s="142">
        <v>0</v>
      </c>
      <c r="F214" s="142">
        <v>9</v>
      </c>
      <c r="G214" s="142">
        <v>16</v>
      </c>
      <c r="H214" s="135">
        <v>0</v>
      </c>
      <c r="I214" s="135">
        <v>-43.75</v>
      </c>
      <c r="J214" s="135">
        <v>0.01</v>
      </c>
      <c r="K214" s="135">
        <v>0.01</v>
      </c>
      <c r="L214" s="135">
        <v>0</v>
      </c>
      <c r="M214" s="135">
        <v>0.02</v>
      </c>
      <c r="N214" s="55"/>
    </row>
    <row r="215" spans="1:14">
      <c r="A215" s="135">
        <v>174</v>
      </c>
      <c r="B215" s="135" t="s">
        <v>1015</v>
      </c>
      <c r="C215" s="135" t="s">
        <v>20</v>
      </c>
      <c r="D215" s="142">
        <v>2</v>
      </c>
      <c r="E215" s="142">
        <v>0</v>
      </c>
      <c r="F215" s="142">
        <v>9</v>
      </c>
      <c r="G215" s="142">
        <v>0</v>
      </c>
      <c r="H215" s="137">
        <v>0</v>
      </c>
      <c r="I215" s="137">
        <v>0</v>
      </c>
      <c r="J215" s="137">
        <v>0.01</v>
      </c>
      <c r="K215" s="137">
        <v>0.01</v>
      </c>
      <c r="L215" s="137">
        <v>0</v>
      </c>
      <c r="M215" s="137">
        <v>0</v>
      </c>
      <c r="N215" s="55"/>
    </row>
    <row r="216" spans="1:14">
      <c r="A216" s="135">
        <v>175</v>
      </c>
      <c r="B216" s="135" t="s">
        <v>424</v>
      </c>
      <c r="C216" s="135" t="s">
        <v>19</v>
      </c>
      <c r="D216" s="142">
        <v>3</v>
      </c>
      <c r="E216" s="142">
        <v>2</v>
      </c>
      <c r="F216" s="142">
        <v>8</v>
      </c>
      <c r="G216" s="142">
        <v>29</v>
      </c>
      <c r="H216" s="135">
        <v>50</v>
      </c>
      <c r="I216" s="135">
        <v>-72.41</v>
      </c>
      <c r="J216" s="135">
        <v>0.02</v>
      </c>
      <c r="K216" s="135">
        <v>0.01</v>
      </c>
      <c r="L216" s="135">
        <v>0.01</v>
      </c>
      <c r="M216" s="135">
        <v>0.04</v>
      </c>
      <c r="N216" s="55"/>
    </row>
    <row r="217" spans="1:14">
      <c r="A217" s="135">
        <v>176</v>
      </c>
      <c r="B217" s="135" t="s">
        <v>360</v>
      </c>
      <c r="C217" s="135" t="s">
        <v>19</v>
      </c>
      <c r="D217" s="142">
        <v>0</v>
      </c>
      <c r="E217" s="142">
        <v>3</v>
      </c>
      <c r="F217" s="142">
        <v>8</v>
      </c>
      <c r="G217" s="142">
        <v>8</v>
      </c>
      <c r="H217" s="135">
        <v>-100</v>
      </c>
      <c r="I217" s="135">
        <v>0</v>
      </c>
      <c r="J217" s="135">
        <v>0</v>
      </c>
      <c r="K217" s="135">
        <v>0.01</v>
      </c>
      <c r="L217" s="135">
        <v>0.02</v>
      </c>
      <c r="M217" s="135">
        <v>0.01</v>
      </c>
      <c r="N217" s="55"/>
    </row>
    <row r="218" spans="1:14">
      <c r="A218" s="135">
        <v>177</v>
      </c>
      <c r="B218" s="135" t="s">
        <v>1139</v>
      </c>
      <c r="C218" s="135" t="s">
        <v>20</v>
      </c>
      <c r="D218" s="142">
        <v>3</v>
      </c>
      <c r="E218" s="142">
        <v>0</v>
      </c>
      <c r="F218" s="142">
        <v>7</v>
      </c>
      <c r="G218" s="142">
        <v>0</v>
      </c>
      <c r="H218" s="135">
        <v>0</v>
      </c>
      <c r="I218" s="135">
        <v>0</v>
      </c>
      <c r="J218" s="135">
        <v>0.02</v>
      </c>
      <c r="K218" s="135">
        <v>0.01</v>
      </c>
      <c r="L218" s="135">
        <v>0</v>
      </c>
      <c r="M218" s="135">
        <v>0</v>
      </c>
      <c r="N218" s="55"/>
    </row>
    <row r="219" spans="1:14">
      <c r="A219" s="135">
        <v>178</v>
      </c>
      <c r="B219" s="135" t="s">
        <v>392</v>
      </c>
      <c r="C219" s="135" t="s">
        <v>19</v>
      </c>
      <c r="D219" s="142">
        <v>0</v>
      </c>
      <c r="E219" s="142">
        <v>0</v>
      </c>
      <c r="F219" s="142">
        <v>7</v>
      </c>
      <c r="G219" s="142">
        <v>0</v>
      </c>
      <c r="H219" s="135">
        <v>0</v>
      </c>
      <c r="I219" s="135">
        <v>0</v>
      </c>
      <c r="J219" s="135">
        <v>0</v>
      </c>
      <c r="K219" s="135">
        <v>0.01</v>
      </c>
      <c r="L219" s="135">
        <v>0</v>
      </c>
      <c r="M219" s="135">
        <v>0</v>
      </c>
      <c r="N219" s="55"/>
    </row>
    <row r="220" spans="1:14">
      <c r="A220" s="135">
        <v>179</v>
      </c>
      <c r="B220" s="135" t="s">
        <v>378</v>
      </c>
      <c r="C220" s="135" t="s">
        <v>19</v>
      </c>
      <c r="D220" s="142">
        <v>0</v>
      </c>
      <c r="E220" s="142">
        <v>8</v>
      </c>
      <c r="F220" s="142">
        <v>6</v>
      </c>
      <c r="G220" s="142">
        <v>63</v>
      </c>
      <c r="H220" s="135">
        <v>-100</v>
      </c>
      <c r="I220" s="135">
        <v>-90.48</v>
      </c>
      <c r="J220" s="135">
        <v>0</v>
      </c>
      <c r="K220" s="135">
        <v>0.01</v>
      </c>
      <c r="L220" s="135">
        <v>0.06</v>
      </c>
      <c r="M220" s="135">
        <v>0.08</v>
      </c>
      <c r="N220" s="55"/>
    </row>
    <row r="221" spans="1:14">
      <c r="A221" s="135">
        <v>180</v>
      </c>
      <c r="B221" s="135" t="s">
        <v>1085</v>
      </c>
      <c r="C221" s="135" t="s">
        <v>20</v>
      </c>
      <c r="D221" s="142">
        <v>0</v>
      </c>
      <c r="E221" s="142">
        <v>1</v>
      </c>
      <c r="F221" s="142">
        <v>6</v>
      </c>
      <c r="G221" s="142">
        <v>14</v>
      </c>
      <c r="H221" s="135">
        <v>-100</v>
      </c>
      <c r="I221" s="135">
        <v>-57.14</v>
      </c>
      <c r="J221" s="135">
        <v>0</v>
      </c>
      <c r="K221" s="135">
        <v>0.01</v>
      </c>
      <c r="L221" s="135">
        <v>0.01</v>
      </c>
      <c r="M221" s="135">
        <v>0.02</v>
      </c>
      <c r="N221" s="55"/>
    </row>
    <row r="222" spans="1:14">
      <c r="A222" s="135">
        <v>181</v>
      </c>
      <c r="B222" s="135" t="s">
        <v>1100</v>
      </c>
      <c r="C222" s="135" t="s">
        <v>19</v>
      </c>
      <c r="D222" s="142">
        <v>0</v>
      </c>
      <c r="E222" s="142">
        <v>0</v>
      </c>
      <c r="F222" s="142">
        <v>5</v>
      </c>
      <c r="G222" s="142">
        <v>0</v>
      </c>
      <c r="H222" s="135">
        <v>0</v>
      </c>
      <c r="I222" s="135">
        <v>0</v>
      </c>
      <c r="J222" s="135">
        <v>0</v>
      </c>
      <c r="K222" s="135">
        <v>0.01</v>
      </c>
      <c r="L222" s="135">
        <v>0</v>
      </c>
      <c r="M222" s="135">
        <v>0</v>
      </c>
      <c r="N222" s="55"/>
    </row>
    <row r="223" spans="1:14">
      <c r="A223" s="135">
        <v>182</v>
      </c>
      <c r="B223" s="135" t="s">
        <v>1239</v>
      </c>
      <c r="C223" s="135" t="s">
        <v>19</v>
      </c>
      <c r="D223" s="142">
        <v>5</v>
      </c>
      <c r="E223" s="142">
        <v>0</v>
      </c>
      <c r="F223" s="142">
        <v>5</v>
      </c>
      <c r="G223" s="142">
        <v>0</v>
      </c>
      <c r="H223" s="135">
        <v>0</v>
      </c>
      <c r="I223" s="135">
        <v>0</v>
      </c>
      <c r="J223" s="135">
        <v>0.03</v>
      </c>
      <c r="K223" s="135">
        <v>0.01</v>
      </c>
      <c r="L223" s="135">
        <v>0</v>
      </c>
      <c r="M223" s="135">
        <v>0</v>
      </c>
      <c r="N223" s="55"/>
    </row>
    <row r="224" spans="1:14">
      <c r="A224" s="135">
        <v>183</v>
      </c>
      <c r="B224" s="135" t="s">
        <v>436</v>
      </c>
      <c r="C224" s="135" t="s">
        <v>19</v>
      </c>
      <c r="D224" s="142">
        <v>4</v>
      </c>
      <c r="E224" s="142">
        <v>2</v>
      </c>
      <c r="F224" s="142">
        <v>4</v>
      </c>
      <c r="G224" s="142">
        <v>5</v>
      </c>
      <c r="H224" s="135">
        <v>100</v>
      </c>
      <c r="I224" s="135">
        <v>-20</v>
      </c>
      <c r="J224" s="135">
        <v>0.02</v>
      </c>
      <c r="K224" s="135">
        <v>0</v>
      </c>
      <c r="L224" s="135">
        <v>0.01</v>
      </c>
      <c r="M224" s="135">
        <v>0.01</v>
      </c>
      <c r="N224" s="55"/>
    </row>
    <row r="225" spans="1:14">
      <c r="A225" s="135">
        <v>184</v>
      </c>
      <c r="B225" s="135" t="s">
        <v>1099</v>
      </c>
      <c r="C225" s="135" t="s">
        <v>19</v>
      </c>
      <c r="D225" s="142">
        <v>1</v>
      </c>
      <c r="E225" s="142">
        <v>1</v>
      </c>
      <c r="F225" s="142">
        <v>4</v>
      </c>
      <c r="G225" s="142">
        <v>3</v>
      </c>
      <c r="H225" s="135">
        <v>0</v>
      </c>
      <c r="I225" s="135">
        <v>33.33</v>
      </c>
      <c r="J225" s="135">
        <v>0.01</v>
      </c>
      <c r="K225" s="135">
        <v>0</v>
      </c>
      <c r="L225" s="135">
        <v>0.01</v>
      </c>
      <c r="M225" s="135">
        <v>0</v>
      </c>
      <c r="N225" s="55"/>
    </row>
    <row r="226" spans="1:14">
      <c r="A226" s="135">
        <v>185</v>
      </c>
      <c r="B226" s="135" t="s">
        <v>1164</v>
      </c>
      <c r="C226" s="135" t="s">
        <v>19</v>
      </c>
      <c r="D226" s="142">
        <v>1</v>
      </c>
      <c r="E226" s="142">
        <v>0</v>
      </c>
      <c r="F226" s="142">
        <v>4</v>
      </c>
      <c r="G226" s="142">
        <v>0</v>
      </c>
      <c r="H226" s="135">
        <v>0</v>
      </c>
      <c r="I226" s="135">
        <v>0</v>
      </c>
      <c r="J226" s="135">
        <v>0.01</v>
      </c>
      <c r="K226" s="135">
        <v>0</v>
      </c>
      <c r="L226" s="135">
        <v>0</v>
      </c>
      <c r="M226" s="135">
        <v>0</v>
      </c>
      <c r="N226" s="55"/>
    </row>
    <row r="227" spans="1:14">
      <c r="A227" s="135">
        <v>186</v>
      </c>
      <c r="B227" s="135" t="s">
        <v>1166</v>
      </c>
      <c r="C227" s="135" t="s">
        <v>19</v>
      </c>
      <c r="D227" s="142">
        <v>2</v>
      </c>
      <c r="E227" s="142">
        <v>0</v>
      </c>
      <c r="F227" s="142">
        <v>4</v>
      </c>
      <c r="G227" s="142">
        <v>0</v>
      </c>
      <c r="H227" s="135">
        <v>0</v>
      </c>
      <c r="I227" s="135">
        <v>0</v>
      </c>
      <c r="J227" s="135">
        <v>0.01</v>
      </c>
      <c r="K227" s="135">
        <v>0</v>
      </c>
      <c r="L227" s="135">
        <v>0</v>
      </c>
      <c r="M227" s="135">
        <v>0</v>
      </c>
      <c r="N227" s="55"/>
    </row>
    <row r="228" spans="1:14">
      <c r="A228" s="135">
        <v>187</v>
      </c>
      <c r="B228" s="135" t="s">
        <v>141</v>
      </c>
      <c r="C228" s="135" t="s">
        <v>19</v>
      </c>
      <c r="D228" s="142">
        <v>0</v>
      </c>
      <c r="E228" s="142">
        <v>9</v>
      </c>
      <c r="F228" s="142">
        <v>3</v>
      </c>
      <c r="G228" s="142">
        <v>95</v>
      </c>
      <c r="H228" s="135">
        <v>-100</v>
      </c>
      <c r="I228" s="135">
        <v>-96.84</v>
      </c>
      <c r="J228" s="135">
        <v>0</v>
      </c>
      <c r="K228" s="135">
        <v>0</v>
      </c>
      <c r="L228" s="135">
        <v>0.06</v>
      </c>
      <c r="M228" s="135">
        <v>0.13</v>
      </c>
      <c r="N228" s="55"/>
    </row>
    <row r="229" spans="1:14">
      <c r="A229" s="135">
        <v>188</v>
      </c>
      <c r="B229" s="135" t="s">
        <v>1162</v>
      </c>
      <c r="C229" s="135" t="s">
        <v>1163</v>
      </c>
      <c r="D229" s="142">
        <v>0</v>
      </c>
      <c r="E229" s="142">
        <v>0</v>
      </c>
      <c r="F229" s="142">
        <v>3</v>
      </c>
      <c r="G229" s="142">
        <v>0</v>
      </c>
      <c r="H229" s="135">
        <v>0</v>
      </c>
      <c r="I229" s="135">
        <v>0</v>
      </c>
      <c r="J229" s="135">
        <v>0</v>
      </c>
      <c r="K229" s="135">
        <v>0</v>
      </c>
      <c r="L229" s="135">
        <v>0</v>
      </c>
      <c r="M229" s="135">
        <v>0</v>
      </c>
      <c r="N229" s="55"/>
    </row>
    <row r="230" spans="1:14">
      <c r="A230" s="135">
        <v>189</v>
      </c>
      <c r="B230" s="135" t="s">
        <v>1065</v>
      </c>
      <c r="C230" s="135" t="s">
        <v>19</v>
      </c>
      <c r="D230" s="142">
        <v>0</v>
      </c>
      <c r="E230" s="142">
        <v>0</v>
      </c>
      <c r="F230" s="142">
        <v>3</v>
      </c>
      <c r="G230" s="142">
        <v>0</v>
      </c>
      <c r="H230" s="135">
        <v>0</v>
      </c>
      <c r="I230" s="135">
        <v>0</v>
      </c>
      <c r="J230" s="135">
        <v>0</v>
      </c>
      <c r="K230" s="135">
        <v>0</v>
      </c>
      <c r="L230" s="135">
        <v>0</v>
      </c>
      <c r="M230" s="135">
        <v>0</v>
      </c>
      <c r="N230" s="55"/>
    </row>
    <row r="231" spans="1:14">
      <c r="A231" s="135">
        <v>190</v>
      </c>
      <c r="B231" s="135" t="s">
        <v>231</v>
      </c>
      <c r="C231" s="135" t="s">
        <v>20</v>
      </c>
      <c r="D231" s="142">
        <v>0</v>
      </c>
      <c r="E231" s="142">
        <v>29</v>
      </c>
      <c r="F231" s="142">
        <v>2</v>
      </c>
      <c r="G231" s="142">
        <v>1308</v>
      </c>
      <c r="H231" s="135">
        <v>-100</v>
      </c>
      <c r="I231" s="135">
        <v>-99.85</v>
      </c>
      <c r="J231" s="135">
        <v>0</v>
      </c>
      <c r="K231" s="135">
        <v>0</v>
      </c>
      <c r="L231" s="135">
        <v>0.2</v>
      </c>
      <c r="M231" s="135">
        <v>1.75</v>
      </c>
      <c r="N231" s="55"/>
    </row>
    <row r="232" spans="1:14">
      <c r="A232" s="135">
        <v>191</v>
      </c>
      <c r="B232" s="135" t="s">
        <v>497</v>
      </c>
      <c r="C232" s="135" t="s">
        <v>19</v>
      </c>
      <c r="D232" s="142">
        <v>1</v>
      </c>
      <c r="E232" s="142">
        <v>5</v>
      </c>
      <c r="F232" s="142">
        <v>2</v>
      </c>
      <c r="G232" s="142">
        <v>33</v>
      </c>
      <c r="H232" s="135">
        <v>-80</v>
      </c>
      <c r="I232" s="135">
        <v>-93.94</v>
      </c>
      <c r="J232" s="135">
        <v>0.01</v>
      </c>
      <c r="K232" s="135">
        <v>0</v>
      </c>
      <c r="L232" s="135">
        <v>0.03</v>
      </c>
      <c r="M232" s="135">
        <v>0.04</v>
      </c>
      <c r="N232" s="55"/>
    </row>
    <row r="233" spans="1:14">
      <c r="A233" s="135">
        <v>192</v>
      </c>
      <c r="B233" s="135" t="s">
        <v>673</v>
      </c>
      <c r="C233" s="135" t="s">
        <v>19</v>
      </c>
      <c r="D233" s="142">
        <v>0</v>
      </c>
      <c r="E233" s="142">
        <v>6</v>
      </c>
      <c r="F233" s="142">
        <v>2</v>
      </c>
      <c r="G233" s="142">
        <v>8</v>
      </c>
      <c r="H233" s="135">
        <v>-100</v>
      </c>
      <c r="I233" s="135">
        <v>-75</v>
      </c>
      <c r="J233" s="135">
        <v>0</v>
      </c>
      <c r="K233" s="135">
        <v>0</v>
      </c>
      <c r="L233" s="135">
        <v>0.04</v>
      </c>
      <c r="M233" s="135">
        <v>0.01</v>
      </c>
      <c r="N233" s="55"/>
    </row>
    <row r="234" spans="1:14">
      <c r="A234" s="135">
        <v>193</v>
      </c>
      <c r="B234" s="135" t="s">
        <v>554</v>
      </c>
      <c r="C234" s="135" t="s">
        <v>19</v>
      </c>
      <c r="D234" s="142">
        <v>0</v>
      </c>
      <c r="E234" s="142">
        <v>2</v>
      </c>
      <c r="F234" s="142">
        <v>2</v>
      </c>
      <c r="G234" s="142">
        <v>4</v>
      </c>
      <c r="H234" s="135">
        <v>-100</v>
      </c>
      <c r="I234" s="135">
        <v>-50</v>
      </c>
      <c r="J234" s="135">
        <v>0</v>
      </c>
      <c r="K234" s="135">
        <v>0</v>
      </c>
      <c r="L234" s="135">
        <v>0.01</v>
      </c>
      <c r="M234" s="135">
        <v>0.01</v>
      </c>
      <c r="N234" s="55"/>
    </row>
    <row r="235" spans="1:14">
      <c r="A235" s="135">
        <v>194</v>
      </c>
      <c r="B235" s="135" t="s">
        <v>1102</v>
      </c>
      <c r="C235" s="135" t="s">
        <v>19</v>
      </c>
      <c r="D235" s="142">
        <v>0</v>
      </c>
      <c r="E235" s="142">
        <v>0</v>
      </c>
      <c r="F235" s="142">
        <v>2</v>
      </c>
      <c r="G235" s="142">
        <v>2</v>
      </c>
      <c r="H235" s="135">
        <v>0</v>
      </c>
      <c r="I235" s="135">
        <v>0</v>
      </c>
      <c r="J235" s="135">
        <v>0</v>
      </c>
      <c r="K235" s="135">
        <v>0</v>
      </c>
      <c r="L235" s="135">
        <v>0</v>
      </c>
      <c r="M235" s="135">
        <v>0</v>
      </c>
      <c r="N235" s="55"/>
    </row>
    <row r="236" spans="1:14">
      <c r="A236" s="135">
        <v>195</v>
      </c>
      <c r="B236" s="135" t="s">
        <v>489</v>
      </c>
      <c r="C236" s="135" t="s">
        <v>993</v>
      </c>
      <c r="D236" s="142">
        <v>0</v>
      </c>
      <c r="E236" s="142">
        <v>0</v>
      </c>
      <c r="F236" s="142">
        <v>2</v>
      </c>
      <c r="G236" s="142">
        <v>2</v>
      </c>
      <c r="H236" s="135">
        <v>0</v>
      </c>
      <c r="I236" s="135">
        <v>0</v>
      </c>
      <c r="J236" s="135">
        <v>0</v>
      </c>
      <c r="K236" s="135">
        <v>0</v>
      </c>
      <c r="L236" s="135">
        <v>0</v>
      </c>
      <c r="M236" s="135">
        <v>0</v>
      </c>
      <c r="N236" s="55"/>
    </row>
    <row r="237" spans="1:14">
      <c r="A237" s="135">
        <v>196</v>
      </c>
      <c r="B237" s="135" t="s">
        <v>1106</v>
      </c>
      <c r="C237" s="135" t="s">
        <v>19</v>
      </c>
      <c r="D237" s="142">
        <v>0</v>
      </c>
      <c r="E237" s="142">
        <v>0</v>
      </c>
      <c r="F237" s="142">
        <v>2</v>
      </c>
      <c r="G237" s="142">
        <v>2</v>
      </c>
      <c r="H237" s="135">
        <v>0</v>
      </c>
      <c r="I237" s="135">
        <v>0</v>
      </c>
      <c r="J237" s="135">
        <v>0</v>
      </c>
      <c r="K237" s="135">
        <v>0</v>
      </c>
      <c r="L237" s="135">
        <v>0</v>
      </c>
      <c r="M237" s="135">
        <v>0</v>
      </c>
      <c r="N237" s="55"/>
    </row>
    <row r="238" spans="1:14">
      <c r="A238" s="135">
        <v>197</v>
      </c>
      <c r="B238" s="135" t="s">
        <v>1165</v>
      </c>
      <c r="C238" s="135" t="s">
        <v>20</v>
      </c>
      <c r="D238" s="142">
        <v>0</v>
      </c>
      <c r="E238" s="142">
        <v>0</v>
      </c>
      <c r="F238" s="142">
        <v>2</v>
      </c>
      <c r="G238" s="142">
        <v>1</v>
      </c>
      <c r="H238" s="135">
        <v>0</v>
      </c>
      <c r="I238" s="135">
        <v>100</v>
      </c>
      <c r="J238" s="135">
        <v>0</v>
      </c>
      <c r="K238" s="135">
        <v>0</v>
      </c>
      <c r="L238" s="135">
        <v>0</v>
      </c>
      <c r="M238" s="135">
        <v>0</v>
      </c>
      <c r="N238" s="55"/>
    </row>
    <row r="239" spans="1:14">
      <c r="A239" s="135">
        <v>198</v>
      </c>
      <c r="B239" s="135" t="s">
        <v>1199</v>
      </c>
      <c r="C239" s="135" t="s">
        <v>19</v>
      </c>
      <c r="D239" s="142">
        <v>1</v>
      </c>
      <c r="E239" s="142">
        <v>0</v>
      </c>
      <c r="F239" s="142">
        <v>2</v>
      </c>
      <c r="G239" s="142">
        <v>0</v>
      </c>
      <c r="H239" s="135">
        <v>0</v>
      </c>
      <c r="I239" s="135">
        <v>0</v>
      </c>
      <c r="J239" s="135">
        <v>0.01</v>
      </c>
      <c r="K239" s="135">
        <v>0</v>
      </c>
      <c r="L239" s="135">
        <v>0</v>
      </c>
      <c r="M239" s="135">
        <v>0</v>
      </c>
      <c r="N239" s="55"/>
    </row>
    <row r="240" spans="1:14">
      <c r="A240" s="135">
        <v>199</v>
      </c>
      <c r="B240" s="135" t="s">
        <v>1155</v>
      </c>
      <c r="C240" s="135" t="s">
        <v>20</v>
      </c>
      <c r="D240" s="142">
        <v>0</v>
      </c>
      <c r="E240" s="142">
        <v>0</v>
      </c>
      <c r="F240" s="142">
        <v>2</v>
      </c>
      <c r="G240" s="142">
        <v>0</v>
      </c>
      <c r="H240" s="135">
        <v>0</v>
      </c>
      <c r="I240" s="135">
        <v>0</v>
      </c>
      <c r="J240" s="135">
        <v>0</v>
      </c>
      <c r="K240" s="135">
        <v>0</v>
      </c>
      <c r="L240" s="135">
        <v>0</v>
      </c>
      <c r="M240" s="135">
        <v>0</v>
      </c>
      <c r="N240" s="55"/>
    </row>
    <row r="241" spans="1:14">
      <c r="A241" s="135">
        <v>200</v>
      </c>
      <c r="B241" s="135" t="s">
        <v>423</v>
      </c>
      <c r="C241" s="135" t="s">
        <v>19</v>
      </c>
      <c r="D241" s="142">
        <v>0</v>
      </c>
      <c r="E241" s="142">
        <v>46</v>
      </c>
      <c r="F241" s="142">
        <v>1</v>
      </c>
      <c r="G241" s="142">
        <v>158</v>
      </c>
      <c r="H241" s="135">
        <v>-100</v>
      </c>
      <c r="I241" s="135">
        <v>-99.37</v>
      </c>
      <c r="J241" s="135">
        <v>0</v>
      </c>
      <c r="K241" s="135">
        <v>0</v>
      </c>
      <c r="L241" s="135">
        <v>0.32</v>
      </c>
      <c r="M241" s="135">
        <v>0.21</v>
      </c>
      <c r="N241" s="55"/>
    </row>
    <row r="242" spans="1:14">
      <c r="A242" s="135">
        <v>201</v>
      </c>
      <c r="B242" s="135" t="s">
        <v>1104</v>
      </c>
      <c r="C242" s="135" t="s">
        <v>19</v>
      </c>
      <c r="D242" s="142">
        <v>0</v>
      </c>
      <c r="E242" s="142">
        <v>2</v>
      </c>
      <c r="F242" s="142">
        <v>1</v>
      </c>
      <c r="G242" s="142">
        <v>34</v>
      </c>
      <c r="H242" s="135">
        <v>-100</v>
      </c>
      <c r="I242" s="135">
        <v>-97.06</v>
      </c>
      <c r="J242" s="135">
        <v>0</v>
      </c>
      <c r="K242" s="135">
        <v>0</v>
      </c>
      <c r="L242" s="135">
        <v>0.01</v>
      </c>
      <c r="M242" s="135">
        <v>0.05</v>
      </c>
      <c r="N242" s="55"/>
    </row>
    <row r="243" spans="1:14">
      <c r="A243" s="135">
        <v>202</v>
      </c>
      <c r="B243" s="135" t="s">
        <v>1101</v>
      </c>
      <c r="C243" s="135" t="s">
        <v>19</v>
      </c>
      <c r="D243" s="142">
        <v>0</v>
      </c>
      <c r="E243" s="142">
        <v>22</v>
      </c>
      <c r="F243" s="142">
        <v>1</v>
      </c>
      <c r="G243" s="142">
        <v>30</v>
      </c>
      <c r="H243" s="135">
        <v>-100</v>
      </c>
      <c r="I243" s="135">
        <v>-96.67</v>
      </c>
      <c r="J243" s="135">
        <v>0</v>
      </c>
      <c r="K243" s="135">
        <v>0</v>
      </c>
      <c r="L243" s="135">
        <v>0.15</v>
      </c>
      <c r="M243" s="135">
        <v>0.04</v>
      </c>
      <c r="N243" s="55"/>
    </row>
    <row r="244" spans="1:14">
      <c r="A244" s="135">
        <v>203</v>
      </c>
      <c r="B244" s="135" t="s">
        <v>171</v>
      </c>
      <c r="C244" s="135" t="s">
        <v>19</v>
      </c>
      <c r="D244" s="142">
        <v>0</v>
      </c>
      <c r="E244" s="142">
        <v>0</v>
      </c>
      <c r="F244" s="142">
        <v>1</v>
      </c>
      <c r="G244" s="142">
        <v>2</v>
      </c>
      <c r="H244" s="135">
        <v>0</v>
      </c>
      <c r="I244" s="135">
        <v>-50</v>
      </c>
      <c r="J244" s="135">
        <v>0</v>
      </c>
      <c r="K244" s="135">
        <v>0</v>
      </c>
      <c r="L244" s="135">
        <v>0</v>
      </c>
      <c r="M244" s="135">
        <v>0</v>
      </c>
      <c r="N244" s="55"/>
    </row>
    <row r="245" spans="1:14">
      <c r="A245" s="135">
        <v>204</v>
      </c>
      <c r="B245" s="135" t="s">
        <v>1140</v>
      </c>
      <c r="C245" s="135" t="s">
        <v>19</v>
      </c>
      <c r="D245" s="142">
        <v>0</v>
      </c>
      <c r="E245" s="142">
        <v>0</v>
      </c>
      <c r="F245" s="142">
        <v>1</v>
      </c>
      <c r="G245" s="142">
        <v>0</v>
      </c>
      <c r="H245" s="135">
        <v>0</v>
      </c>
      <c r="I245" s="135">
        <v>0</v>
      </c>
      <c r="J245" s="135">
        <v>0</v>
      </c>
      <c r="K245" s="135">
        <v>0</v>
      </c>
      <c r="L245" s="135">
        <v>0</v>
      </c>
      <c r="M245" s="135">
        <v>0</v>
      </c>
      <c r="N245" s="55"/>
    </row>
    <row r="246" spans="1:14">
      <c r="A246" s="135">
        <v>205</v>
      </c>
      <c r="B246" s="135" t="s">
        <v>1240</v>
      </c>
      <c r="C246" s="135" t="s">
        <v>19</v>
      </c>
      <c r="D246" s="142">
        <v>1</v>
      </c>
      <c r="E246" s="142">
        <v>0</v>
      </c>
      <c r="F246" s="142">
        <v>1</v>
      </c>
      <c r="G246" s="142">
        <v>0</v>
      </c>
      <c r="H246" s="135">
        <v>0</v>
      </c>
      <c r="I246" s="135">
        <v>0</v>
      </c>
      <c r="J246" s="135">
        <v>0.01</v>
      </c>
      <c r="K246" s="135">
        <v>0</v>
      </c>
      <c r="L246" s="135">
        <v>0</v>
      </c>
      <c r="M246" s="135">
        <v>0</v>
      </c>
      <c r="N246" s="55"/>
    </row>
    <row r="247" spans="1:14">
      <c r="A247" s="135">
        <v>206</v>
      </c>
      <c r="B247" s="135" t="s">
        <v>562</v>
      </c>
      <c r="C247" s="135" t="s">
        <v>20</v>
      </c>
      <c r="D247" s="142">
        <v>0</v>
      </c>
      <c r="E247" s="142">
        <v>8</v>
      </c>
      <c r="F247" s="142">
        <v>0</v>
      </c>
      <c r="G247" s="142">
        <v>41</v>
      </c>
      <c r="H247" s="135">
        <v>-100</v>
      </c>
      <c r="I247" s="135">
        <v>-100</v>
      </c>
      <c r="J247" s="135">
        <v>0</v>
      </c>
      <c r="K247" s="135">
        <v>0</v>
      </c>
      <c r="L247" s="135">
        <v>0.06</v>
      </c>
      <c r="M247" s="135">
        <v>0.05</v>
      </c>
      <c r="N247" s="55"/>
    </row>
    <row r="248" spans="1:14">
      <c r="A248" s="135">
        <v>207</v>
      </c>
      <c r="B248" s="135" t="s">
        <v>234</v>
      </c>
      <c r="C248" s="135" t="s">
        <v>19</v>
      </c>
      <c r="D248" s="142">
        <v>0</v>
      </c>
      <c r="E248" s="142">
        <v>7</v>
      </c>
      <c r="F248" s="142">
        <v>0</v>
      </c>
      <c r="G248" s="142">
        <v>31</v>
      </c>
      <c r="H248" s="135">
        <v>-100</v>
      </c>
      <c r="I248" s="135">
        <v>-100</v>
      </c>
      <c r="J248" s="135">
        <v>0</v>
      </c>
      <c r="K248" s="135">
        <v>0</v>
      </c>
      <c r="L248" s="135">
        <v>0.05</v>
      </c>
      <c r="M248" s="135">
        <v>0.04</v>
      </c>
      <c r="N248" s="55"/>
    </row>
    <row r="249" spans="1:14">
      <c r="A249" s="135">
        <v>208</v>
      </c>
      <c r="B249" s="135" t="s">
        <v>354</v>
      </c>
      <c r="C249" s="135" t="s">
        <v>19</v>
      </c>
      <c r="D249" s="142">
        <v>0</v>
      </c>
      <c r="E249" s="142">
        <v>0</v>
      </c>
      <c r="F249" s="142">
        <v>0</v>
      </c>
      <c r="G249" s="142">
        <v>18</v>
      </c>
      <c r="H249" s="135">
        <v>0</v>
      </c>
      <c r="I249" s="135">
        <v>-100</v>
      </c>
      <c r="J249" s="135">
        <v>0</v>
      </c>
      <c r="K249" s="135">
        <v>0</v>
      </c>
      <c r="L249" s="135">
        <v>0</v>
      </c>
      <c r="M249" s="135">
        <v>0.02</v>
      </c>
      <c r="N249" s="55"/>
    </row>
    <row r="250" spans="1:14">
      <c r="A250" s="135">
        <v>209</v>
      </c>
      <c r="B250" s="135" t="s">
        <v>350</v>
      </c>
      <c r="C250" s="135" t="s">
        <v>19</v>
      </c>
      <c r="D250" s="142">
        <v>0</v>
      </c>
      <c r="E250" s="142">
        <v>0</v>
      </c>
      <c r="F250" s="142">
        <v>0</v>
      </c>
      <c r="G250" s="142">
        <v>11</v>
      </c>
      <c r="H250" s="135">
        <v>0</v>
      </c>
      <c r="I250" s="135">
        <v>-100</v>
      </c>
      <c r="J250" s="135">
        <v>0</v>
      </c>
      <c r="K250" s="135">
        <v>0</v>
      </c>
      <c r="L250" s="135">
        <v>0</v>
      </c>
      <c r="M250" s="135">
        <v>0.01</v>
      </c>
      <c r="N250" s="55"/>
    </row>
    <row r="251" spans="1:14">
      <c r="A251" s="135">
        <v>210</v>
      </c>
      <c r="B251" s="135" t="s">
        <v>384</v>
      </c>
      <c r="C251" s="135" t="s">
        <v>19</v>
      </c>
      <c r="D251" s="142">
        <v>0</v>
      </c>
      <c r="E251" s="142">
        <v>1</v>
      </c>
      <c r="F251" s="142">
        <v>0</v>
      </c>
      <c r="G251" s="142">
        <v>10</v>
      </c>
      <c r="H251" s="135">
        <v>-100</v>
      </c>
      <c r="I251" s="135">
        <v>-100</v>
      </c>
      <c r="J251" s="135">
        <v>0</v>
      </c>
      <c r="K251" s="135">
        <v>0</v>
      </c>
      <c r="L251" s="135">
        <v>0.01</v>
      </c>
      <c r="M251" s="135">
        <v>0.01</v>
      </c>
      <c r="N251" s="55"/>
    </row>
    <row r="252" spans="1:14">
      <c r="A252" s="135">
        <v>211</v>
      </c>
      <c r="B252" s="135" t="s">
        <v>405</v>
      </c>
      <c r="C252" s="135" t="s">
        <v>1066</v>
      </c>
      <c r="D252" s="142">
        <v>0</v>
      </c>
      <c r="E252" s="142">
        <v>2</v>
      </c>
      <c r="F252" s="142">
        <v>0</v>
      </c>
      <c r="G252" s="142">
        <v>7</v>
      </c>
      <c r="H252" s="135">
        <v>-100</v>
      </c>
      <c r="I252" s="135">
        <v>-100</v>
      </c>
      <c r="J252" s="135">
        <v>0</v>
      </c>
      <c r="K252" s="135">
        <v>0</v>
      </c>
      <c r="L252" s="135">
        <v>0.01</v>
      </c>
      <c r="M252" s="135">
        <v>0.01</v>
      </c>
      <c r="N252" s="55"/>
    </row>
    <row r="253" spans="1:14">
      <c r="A253" s="135">
        <v>212</v>
      </c>
      <c r="B253" s="135" t="s">
        <v>1157</v>
      </c>
      <c r="C253" s="135" t="s">
        <v>20</v>
      </c>
      <c r="D253" s="142">
        <v>0</v>
      </c>
      <c r="E253" s="142">
        <v>2</v>
      </c>
      <c r="F253" s="142">
        <v>0</v>
      </c>
      <c r="G253" s="142">
        <v>7</v>
      </c>
      <c r="H253" s="135">
        <v>-100</v>
      </c>
      <c r="I253" s="135">
        <v>-100</v>
      </c>
      <c r="J253" s="135">
        <v>0</v>
      </c>
      <c r="K253" s="135">
        <v>0</v>
      </c>
      <c r="L253" s="135">
        <v>0.01</v>
      </c>
      <c r="M253" s="135">
        <v>0.01</v>
      </c>
      <c r="N253" s="55"/>
    </row>
    <row r="254" spans="1:14">
      <c r="A254" s="135">
        <v>213</v>
      </c>
      <c r="B254" s="135" t="s">
        <v>205</v>
      </c>
      <c r="C254" s="135" t="s">
        <v>19</v>
      </c>
      <c r="D254" s="142">
        <v>0</v>
      </c>
      <c r="E254" s="142">
        <v>4</v>
      </c>
      <c r="F254" s="142">
        <v>0</v>
      </c>
      <c r="G254" s="142">
        <v>6</v>
      </c>
      <c r="H254" s="135">
        <v>-100</v>
      </c>
      <c r="I254" s="135">
        <v>-100</v>
      </c>
      <c r="J254" s="135">
        <v>0</v>
      </c>
      <c r="K254" s="135">
        <v>0</v>
      </c>
      <c r="L254" s="135">
        <v>0.03</v>
      </c>
      <c r="M254" s="135">
        <v>0.01</v>
      </c>
      <c r="N254" s="55"/>
    </row>
    <row r="255" spans="1:14">
      <c r="A255" s="135">
        <v>214</v>
      </c>
      <c r="B255" s="135" t="s">
        <v>1167</v>
      </c>
      <c r="C255" s="135" t="s">
        <v>19</v>
      </c>
      <c r="D255" s="142">
        <v>0</v>
      </c>
      <c r="E255" s="142">
        <v>2</v>
      </c>
      <c r="F255" s="142">
        <v>0</v>
      </c>
      <c r="G255" s="142">
        <v>5</v>
      </c>
      <c r="H255" s="135">
        <v>-100</v>
      </c>
      <c r="I255" s="135">
        <v>-100</v>
      </c>
      <c r="J255" s="135">
        <v>0</v>
      </c>
      <c r="K255" s="135">
        <v>0</v>
      </c>
      <c r="L255" s="135">
        <v>0.01</v>
      </c>
      <c r="M255" s="135">
        <v>0.01</v>
      </c>
      <c r="N255" s="55"/>
    </row>
    <row r="256" spans="1:14">
      <c r="A256" s="135">
        <v>215</v>
      </c>
      <c r="B256" s="135" t="s">
        <v>1141</v>
      </c>
      <c r="C256" s="135" t="s">
        <v>19</v>
      </c>
      <c r="D256" s="142">
        <v>0</v>
      </c>
      <c r="E256" s="142">
        <v>0</v>
      </c>
      <c r="F256" s="142">
        <v>0</v>
      </c>
      <c r="G256" s="142">
        <v>3</v>
      </c>
      <c r="H256" s="135">
        <v>0</v>
      </c>
      <c r="I256" s="135">
        <v>-100</v>
      </c>
      <c r="J256" s="135">
        <v>0</v>
      </c>
      <c r="K256" s="135">
        <v>0</v>
      </c>
      <c r="L256" s="135">
        <v>0</v>
      </c>
      <c r="M256" s="135">
        <v>0</v>
      </c>
      <c r="N256" s="55"/>
    </row>
    <row r="257" spans="1:14">
      <c r="A257" s="135">
        <v>216</v>
      </c>
      <c r="B257" s="135" t="s">
        <v>1158</v>
      </c>
      <c r="C257" s="135" t="s">
        <v>20</v>
      </c>
      <c r="D257" s="142">
        <v>0</v>
      </c>
      <c r="E257" s="142">
        <v>1</v>
      </c>
      <c r="F257" s="142">
        <v>0</v>
      </c>
      <c r="G257" s="142">
        <v>3</v>
      </c>
      <c r="H257" s="135">
        <v>-100</v>
      </c>
      <c r="I257" s="135">
        <v>-100</v>
      </c>
      <c r="J257" s="135">
        <v>0</v>
      </c>
      <c r="K257" s="135">
        <v>0</v>
      </c>
      <c r="L257" s="135">
        <v>0.01</v>
      </c>
      <c r="M257" s="135">
        <v>0</v>
      </c>
      <c r="N257" s="55"/>
    </row>
    <row r="258" spans="1:14">
      <c r="A258" s="135">
        <v>217</v>
      </c>
      <c r="B258" s="135" t="s">
        <v>1105</v>
      </c>
      <c r="C258" s="135" t="s">
        <v>19</v>
      </c>
      <c r="D258" s="142">
        <v>0</v>
      </c>
      <c r="E258" s="142">
        <v>1</v>
      </c>
      <c r="F258" s="142">
        <v>0</v>
      </c>
      <c r="G258" s="142">
        <v>2</v>
      </c>
      <c r="H258" s="135">
        <v>-100</v>
      </c>
      <c r="I258" s="135">
        <v>-100</v>
      </c>
      <c r="J258" s="135">
        <v>0</v>
      </c>
      <c r="K258" s="135">
        <v>0</v>
      </c>
      <c r="L258" s="135">
        <v>0.01</v>
      </c>
      <c r="M258" s="135">
        <v>0</v>
      </c>
      <c r="N258" s="55"/>
    </row>
    <row r="259" spans="1:14">
      <c r="A259" s="135">
        <v>218</v>
      </c>
      <c r="B259" s="135" t="s">
        <v>1241</v>
      </c>
      <c r="C259" s="135" t="s">
        <v>240</v>
      </c>
      <c r="D259" s="142">
        <v>0</v>
      </c>
      <c r="E259" s="142">
        <v>2</v>
      </c>
      <c r="F259" s="142">
        <v>0</v>
      </c>
      <c r="G259" s="142">
        <v>2</v>
      </c>
      <c r="H259" s="135">
        <v>-100</v>
      </c>
      <c r="I259" s="135">
        <v>-100</v>
      </c>
      <c r="J259" s="135">
        <v>0</v>
      </c>
      <c r="K259" s="135">
        <v>0</v>
      </c>
      <c r="L259" s="135">
        <v>0.01</v>
      </c>
      <c r="M259" s="135">
        <v>0</v>
      </c>
      <c r="N259" s="55"/>
    </row>
    <row r="260" spans="1:14">
      <c r="A260" s="135">
        <v>219</v>
      </c>
      <c r="B260" s="135" t="s">
        <v>439</v>
      </c>
      <c r="C260" s="135" t="s">
        <v>20</v>
      </c>
      <c r="D260" s="142">
        <v>31</v>
      </c>
      <c r="E260" s="142">
        <v>23</v>
      </c>
      <c r="F260" s="142">
        <v>86</v>
      </c>
      <c r="G260" s="142">
        <v>72</v>
      </c>
      <c r="H260" s="135">
        <v>34.78</v>
      </c>
      <c r="I260" s="135">
        <v>19.440000000000001</v>
      </c>
      <c r="J260" s="135">
        <v>0.19</v>
      </c>
      <c r="K260" s="135">
        <v>0.11</v>
      </c>
      <c r="L260" s="135">
        <v>0.16</v>
      </c>
      <c r="M260" s="135">
        <v>0.1</v>
      </c>
      <c r="N260" s="55"/>
    </row>
    <row r="261" spans="1:14">
      <c r="A261" s="135"/>
      <c r="B261" s="135" t="s">
        <v>457</v>
      </c>
      <c r="C261" s="135"/>
      <c r="D261" s="142">
        <f>SUBTOTAL(109,getAggRechargeModels[antalPerioden])</f>
        <v>16754</v>
      </c>
      <c r="E261" s="142">
        <f>SUBTOTAL(109,getAggRechargeModels[antalFGPeriod])</f>
        <v>14374</v>
      </c>
      <c r="F261" s="142">
        <f>SUBTOTAL(109,getAggRechargeModels[antalÅret])</f>
        <v>81579</v>
      </c>
      <c r="G261" s="142">
        <f>SUBTOTAL(109,getAggRechargeModels[antalFGAr])</f>
        <v>74845</v>
      </c>
      <c r="H261" s="137">
        <f>IF(getAggRechargeModels[[#Totals],[antalFGPeriod]] &gt;0,(getAggRechargeModels[[#Totals],[antalPerioden]] - getAggRechargeModels[[#Totals],[antalFGPeriod]] ) / getAggRechargeModels[[#Totals],[antalFGPeriod]] *100,0)</f>
        <v>16.557673577292334</v>
      </c>
      <c r="I261" s="137">
        <f>IF(getAggRechargeModels[[#Totals],[antalFGAr]] &gt; 0,( getAggRechargeModels[[#Totals],[antalÅret]] - getAggRechargeModels[[#Totals],[antalFGAr]] ) / getAggRechargeModels[[#Totals],[antalFGAr]] * 100,0)</f>
        <v>8.9972610060792313</v>
      </c>
      <c r="J261" s="143">
        <f>IF(getAggModelsPB[[#Totals],[antalPerioden]] &gt; 0,getAggRechargeModels[[#Totals],[antalPerioden]]  / getAggModelsPB[[#Totals],[antalPerioden]] * 100,0)</f>
        <v>59.236997489658094</v>
      </c>
      <c r="K261" s="143">
        <f>IF(getAggModelsPB[[#Totals],[antalÅret]] &gt; 0,getAggRechargeModels[[#Totals],[antalÅret]]  / getAggModelsPB[[#Totals],[antalÅret]] * 100,0)</f>
        <v>57.996061508712316</v>
      </c>
      <c r="L261" s="143">
        <f>IF(getAggModelsPB[[#Totals],[antalFGPeriod]] &gt; 0,getAggRechargeModels[[#Totals],[antalFGPeriod]]  / getAggModelsPB[[#Totals],[antalFGPeriod]] * 100,0)</f>
        <v>55.098129408157007</v>
      </c>
      <c r="M261" s="143">
        <f>IF(getAggModelsPB[[#Totals],[antalFGAr]] &gt; 0,getAggRechargeModels[[#Totals],[antalFGAr]]  / getAggModelsPB[[#Totals],[antalFGAr]] * 100,0)</f>
        <v>51.910085863700047</v>
      </c>
      <c r="N261" s="55"/>
    </row>
    <row r="262" spans="1:14">
      <c r="A262" s="55"/>
      <c r="B262" s="55"/>
      <c r="C262" s="55"/>
      <c r="D262" s="55"/>
      <c r="E262" s="55"/>
      <c r="F262" s="55"/>
      <c r="G262" s="55"/>
      <c r="H262" s="55"/>
      <c r="I262" s="55"/>
      <c r="J262" s="55"/>
      <c r="K262" s="55"/>
      <c r="L262" s="55"/>
      <c r="M262" s="55"/>
      <c r="N262" s="55"/>
    </row>
    <row r="264" spans="1:14">
      <c r="A264" t="s">
        <v>681</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62"/>
  <sheetViews>
    <sheetView workbookViewId="0">
      <selection activeCell="D34" sqref="D34"/>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616</v>
      </c>
      <c r="P2" s="66"/>
      <c r="Q2" s="66"/>
      <c r="R2" s="66"/>
      <c r="S2" s="66"/>
      <c r="T2" s="9"/>
      <c r="U2" s="9"/>
    </row>
    <row r="3" spans="15:21">
      <c r="O3" s="25" t="s">
        <v>617</v>
      </c>
      <c r="P3" s="25"/>
      <c r="Q3" s="25"/>
      <c r="R3" s="25"/>
      <c r="S3" s="25"/>
      <c r="T3" s="25"/>
    </row>
    <row r="4" spans="15:21">
      <c r="O4" s="6"/>
      <c r="P4" s="6"/>
      <c r="Q4" s="16"/>
      <c r="R4" s="16"/>
      <c r="S4" s="16"/>
      <c r="T4" s="16"/>
    </row>
    <row r="5" spans="15:21" ht="16" thickBot="1">
      <c r="O5" s="19" t="s">
        <v>458</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c r="S12" s="25"/>
      <c r="T12" s="25"/>
    </row>
    <row r="13" spans="15:21">
      <c r="O13" s="16" t="s">
        <v>9</v>
      </c>
      <c r="P13" s="34">
        <v>4781</v>
      </c>
      <c r="Q13" s="34">
        <v>5813</v>
      </c>
      <c r="R13" s="34"/>
      <c r="S13" s="25"/>
      <c r="T13" s="25"/>
    </row>
    <row r="14" spans="15:21">
      <c r="O14" s="16" t="s">
        <v>10</v>
      </c>
      <c r="P14" s="34">
        <v>7454</v>
      </c>
      <c r="Q14" s="34">
        <v>7777</v>
      </c>
      <c r="R14" s="34"/>
      <c r="S14" s="25"/>
      <c r="T14" s="25"/>
    </row>
    <row r="15" spans="15:21">
      <c r="O15" s="16" t="s">
        <v>11</v>
      </c>
      <c r="P15" s="34">
        <v>4573</v>
      </c>
      <c r="Q15" s="34">
        <v>7940</v>
      </c>
      <c r="R15" s="34"/>
      <c r="S15" s="25"/>
      <c r="T15" s="25"/>
    </row>
    <row r="16" spans="15:21">
      <c r="O16" s="16" t="s">
        <v>12</v>
      </c>
      <c r="P16" s="34">
        <v>5468</v>
      </c>
      <c r="Q16" s="34">
        <v>10868</v>
      </c>
      <c r="R16" s="34"/>
      <c r="S16" s="25"/>
      <c r="T16" s="25"/>
    </row>
    <row r="17" spans="15:20">
      <c r="O17" s="26" t="s">
        <v>13</v>
      </c>
      <c r="P17" s="133">
        <v>10041</v>
      </c>
      <c r="Q17" s="133">
        <v>18205</v>
      </c>
      <c r="R17" s="133"/>
      <c r="S17" s="25"/>
      <c r="T17" s="25"/>
    </row>
    <row r="18" spans="15:20">
      <c r="O18" s="6" t="s">
        <v>537</v>
      </c>
      <c r="P18" s="32">
        <f>SUMIF(R6:R17,"&gt;0",P6:P17)</f>
        <v>22618</v>
      </c>
      <c r="Q18" s="32">
        <f>SUMIF(R6:R17,"&gt;0",Q6:Q17)</f>
        <v>39755</v>
      </c>
      <c r="R18" s="32">
        <f>SUM(R6:R17)</f>
        <v>52445</v>
      </c>
      <c r="S18" s="25"/>
      <c r="T18" s="25"/>
    </row>
    <row r="19" spans="15:20">
      <c r="O19" s="6" t="s">
        <v>536</v>
      </c>
      <c r="P19" s="29">
        <f>SUM(P6:P17)</f>
        <v>57470</v>
      </c>
      <c r="Q19" s="29">
        <f>SUM(Q6:Q17)</f>
        <v>95035</v>
      </c>
      <c r="R19" s="25"/>
      <c r="S19" s="25"/>
      <c r="T19" s="25"/>
    </row>
    <row r="34" spans="1:14" ht="21" thickBot="1">
      <c r="A34" s="66" t="s">
        <v>664</v>
      </c>
      <c r="B34" s="66"/>
      <c r="C34" s="9"/>
      <c r="D34" s="274" t="s">
        <v>1289</v>
      </c>
    </row>
    <row r="35" spans="1:14" ht="20">
      <c r="A35" s="9"/>
    </row>
    <row r="36" spans="1:14">
      <c r="A36" s="7" t="s">
        <v>454</v>
      </c>
      <c r="B36" s="55"/>
      <c r="C36" s="55"/>
      <c r="D36" s="55"/>
      <c r="E36" s="55"/>
      <c r="F36" s="55"/>
      <c r="G36" s="55"/>
      <c r="H36" s="258" t="s">
        <v>455</v>
      </c>
      <c r="I36" s="258"/>
      <c r="J36" s="258"/>
      <c r="K36" s="258"/>
      <c r="L36" s="258"/>
      <c r="M36" s="258"/>
      <c r="N36" s="55"/>
    </row>
    <row r="37" spans="1:14">
      <c r="A37" s="103"/>
      <c r="B37" s="114"/>
      <c r="C37" s="114"/>
      <c r="D37" s="259" t="s">
        <v>538</v>
      </c>
      <c r="E37" s="260"/>
      <c r="F37" s="261" t="s">
        <v>538</v>
      </c>
      <c r="G37" s="262"/>
      <c r="H37" s="261" t="s">
        <v>539</v>
      </c>
      <c r="I37" s="262"/>
      <c r="J37" s="261" t="s">
        <v>540</v>
      </c>
      <c r="K37" s="262"/>
      <c r="L37" s="261" t="s">
        <v>540</v>
      </c>
      <c r="M37" s="262"/>
      <c r="N37" s="55"/>
    </row>
    <row r="38" spans="1:14">
      <c r="A38" s="103"/>
      <c r="B38" s="115" t="s">
        <v>456</v>
      </c>
      <c r="C38" s="116" t="s">
        <v>542</v>
      </c>
      <c r="D38" s="117" t="str">
        <f>Innehåll!D79</f>
        <v xml:space="preserve"> 2023-06</v>
      </c>
      <c r="E38" s="117" t="str">
        <f>Innehåll!D80</f>
        <v xml:space="preserve"> 2022-06</v>
      </c>
      <c r="F38" s="117" t="str">
        <f>Innehåll!D81</f>
        <v>YTD  2023</v>
      </c>
      <c r="G38" s="117" t="str">
        <f>Innehåll!D82</f>
        <v>YTD  2022</v>
      </c>
      <c r="H38" s="117" t="str">
        <f>D38</f>
        <v xml:space="preserve"> 2023-06</v>
      </c>
      <c r="I38" s="118" t="str">
        <f>F38</f>
        <v>YTD  2023</v>
      </c>
      <c r="J38" s="117" t="str">
        <f>D38</f>
        <v xml:space="preserve"> 2023-06</v>
      </c>
      <c r="K38" s="119" t="str">
        <f>F38</f>
        <v>YTD  2023</v>
      </c>
      <c r="L38" s="120" t="str">
        <f>E38</f>
        <v xml:space="preserve"> 2022-06</v>
      </c>
      <c r="M38" s="120" t="str">
        <f>G38</f>
        <v>YTD  2022</v>
      </c>
      <c r="N38" s="55"/>
    </row>
    <row r="39" spans="1:14" ht="15" hidden="1" customHeight="1">
      <c r="A39" s="55" t="s">
        <v>24</v>
      </c>
      <c r="B39" s="55" t="s">
        <v>226</v>
      </c>
      <c r="C39" s="55" t="s">
        <v>227</v>
      </c>
      <c r="D39" s="55" t="s">
        <v>26</v>
      </c>
      <c r="E39" s="55" t="s">
        <v>27</v>
      </c>
      <c r="F39" s="55" t="s">
        <v>28</v>
      </c>
      <c r="G39" s="55" t="s">
        <v>29</v>
      </c>
      <c r="H39" s="55" t="s">
        <v>30</v>
      </c>
      <c r="I39" s="55" t="s">
        <v>31</v>
      </c>
      <c r="J39" s="55" t="s">
        <v>32</v>
      </c>
      <c r="K39" s="55" t="s">
        <v>33</v>
      </c>
      <c r="L39" s="55" t="s">
        <v>34</v>
      </c>
      <c r="M39" s="55" t="s">
        <v>35</v>
      </c>
      <c r="N39" s="55"/>
    </row>
    <row r="40" spans="1:14">
      <c r="A40" s="55">
        <v>1</v>
      </c>
      <c r="B40" s="55" t="s">
        <v>603</v>
      </c>
      <c r="C40" s="55" t="s">
        <v>20</v>
      </c>
      <c r="D40" s="22">
        <v>2377</v>
      </c>
      <c r="E40" s="22">
        <v>1876</v>
      </c>
      <c r="F40" s="22">
        <v>8542</v>
      </c>
      <c r="G40" s="22">
        <v>4147</v>
      </c>
      <c r="H40" s="55">
        <v>26.71</v>
      </c>
      <c r="I40" s="55">
        <v>105.98</v>
      </c>
      <c r="J40" s="55">
        <v>14.19</v>
      </c>
      <c r="K40" s="55">
        <v>10.47</v>
      </c>
      <c r="L40" s="55">
        <v>13.05</v>
      </c>
      <c r="M40" s="55">
        <v>5.54</v>
      </c>
      <c r="N40" s="55"/>
    </row>
    <row r="41" spans="1:14">
      <c r="A41" s="55">
        <v>2</v>
      </c>
      <c r="B41" s="55" t="s">
        <v>425</v>
      </c>
      <c r="C41" s="55" t="s">
        <v>20</v>
      </c>
      <c r="D41" s="22">
        <v>502</v>
      </c>
      <c r="E41" s="22">
        <v>89</v>
      </c>
      <c r="F41" s="22">
        <v>4985</v>
      </c>
      <c r="G41" s="22">
        <v>2220</v>
      </c>
      <c r="H41" s="55">
        <v>464.04</v>
      </c>
      <c r="I41" s="55">
        <v>124.55</v>
      </c>
      <c r="J41" s="55">
        <v>3</v>
      </c>
      <c r="K41" s="55">
        <v>6.11</v>
      </c>
      <c r="L41" s="55">
        <v>0.62</v>
      </c>
      <c r="M41" s="55">
        <v>2.97</v>
      </c>
      <c r="N41" s="55"/>
    </row>
    <row r="42" spans="1:14" hidden="1">
      <c r="A42" s="55">
        <v>3</v>
      </c>
      <c r="B42" s="55" t="s">
        <v>395</v>
      </c>
      <c r="C42" s="55" t="s">
        <v>19</v>
      </c>
      <c r="D42" s="22">
        <v>949</v>
      </c>
      <c r="E42" s="22">
        <v>151</v>
      </c>
      <c r="F42" s="22">
        <v>4470</v>
      </c>
      <c r="G42" s="22">
        <v>3093</v>
      </c>
      <c r="H42" s="55">
        <v>528.48</v>
      </c>
      <c r="I42" s="55">
        <v>44.52</v>
      </c>
      <c r="J42" s="55">
        <v>5.66</v>
      </c>
      <c r="K42" s="55">
        <v>5.48</v>
      </c>
      <c r="L42" s="55">
        <v>1.05</v>
      </c>
      <c r="M42" s="55">
        <v>4.13</v>
      </c>
      <c r="N42" s="55"/>
    </row>
    <row r="43" spans="1:14">
      <c r="A43" s="55">
        <v>4</v>
      </c>
      <c r="B43" s="55" t="s">
        <v>481</v>
      </c>
      <c r="C43" s="55" t="s">
        <v>20</v>
      </c>
      <c r="D43" s="22">
        <v>972</v>
      </c>
      <c r="E43" s="22">
        <v>759</v>
      </c>
      <c r="F43" s="22">
        <v>4362</v>
      </c>
      <c r="G43" s="22">
        <v>3859</v>
      </c>
      <c r="H43" s="55">
        <v>28.06</v>
      </c>
      <c r="I43" s="55">
        <v>13.03</v>
      </c>
      <c r="J43" s="55">
        <v>5.8</v>
      </c>
      <c r="K43" s="55">
        <v>5.35</v>
      </c>
      <c r="L43" s="55">
        <v>5.28</v>
      </c>
      <c r="M43" s="55">
        <v>5.16</v>
      </c>
      <c r="N43" s="55"/>
    </row>
    <row r="44" spans="1:14">
      <c r="A44" s="55">
        <v>5</v>
      </c>
      <c r="B44" s="55" t="s">
        <v>631</v>
      </c>
      <c r="C44" s="55" t="s">
        <v>20</v>
      </c>
      <c r="D44" s="22">
        <v>608</v>
      </c>
      <c r="E44" s="22">
        <v>214</v>
      </c>
      <c r="F44" s="22">
        <v>2605</v>
      </c>
      <c r="G44" s="22">
        <v>1703</v>
      </c>
      <c r="H44" s="55">
        <v>184.11</v>
      </c>
      <c r="I44" s="55">
        <v>52.97</v>
      </c>
      <c r="J44" s="55">
        <v>3.63</v>
      </c>
      <c r="K44" s="55">
        <v>3.19</v>
      </c>
      <c r="L44" s="55">
        <v>1.49</v>
      </c>
      <c r="M44" s="55">
        <v>2.2799999999999998</v>
      </c>
      <c r="N44" s="55"/>
    </row>
    <row r="45" spans="1:14">
      <c r="A45" s="55">
        <v>6</v>
      </c>
      <c r="B45" s="55" t="s">
        <v>570</v>
      </c>
      <c r="C45" s="55" t="s">
        <v>20</v>
      </c>
      <c r="D45" s="22">
        <v>425</v>
      </c>
      <c r="E45" s="22">
        <v>523</v>
      </c>
      <c r="F45" s="22">
        <v>1945</v>
      </c>
      <c r="G45" s="22">
        <v>1713</v>
      </c>
      <c r="H45" s="55">
        <v>-18.739999999999998</v>
      </c>
      <c r="I45" s="55">
        <v>13.54</v>
      </c>
      <c r="J45" s="55">
        <v>2.54</v>
      </c>
      <c r="K45" s="55">
        <v>2.38</v>
      </c>
      <c r="L45" s="55">
        <v>3.64</v>
      </c>
      <c r="M45" s="55">
        <v>2.29</v>
      </c>
      <c r="N45" s="55"/>
    </row>
    <row r="46" spans="1:14">
      <c r="A46" s="55">
        <v>7</v>
      </c>
      <c r="B46" s="55" t="s">
        <v>639</v>
      </c>
      <c r="C46" s="55" t="s">
        <v>20</v>
      </c>
      <c r="D46" s="22">
        <v>243</v>
      </c>
      <c r="E46" s="22">
        <v>17</v>
      </c>
      <c r="F46" s="22">
        <v>1901</v>
      </c>
      <c r="G46" s="22">
        <v>360</v>
      </c>
      <c r="H46" s="55">
        <v>1329.41</v>
      </c>
      <c r="I46" s="55">
        <v>428.06</v>
      </c>
      <c r="J46" s="55">
        <v>1.45</v>
      </c>
      <c r="K46" s="55">
        <v>2.33</v>
      </c>
      <c r="L46" s="55">
        <v>0.12</v>
      </c>
      <c r="M46" s="55">
        <v>0.48</v>
      </c>
      <c r="N46" s="55"/>
    </row>
    <row r="47" spans="1:14">
      <c r="A47" s="55">
        <v>8</v>
      </c>
      <c r="B47" s="55" t="s">
        <v>230</v>
      </c>
      <c r="C47" s="55" t="s">
        <v>20</v>
      </c>
      <c r="D47" s="22">
        <v>351</v>
      </c>
      <c r="E47" s="22">
        <v>703</v>
      </c>
      <c r="F47" s="22">
        <v>1868</v>
      </c>
      <c r="G47" s="22">
        <v>4417</v>
      </c>
      <c r="H47" s="55">
        <v>-50.07</v>
      </c>
      <c r="I47" s="55">
        <v>-57.71</v>
      </c>
      <c r="J47" s="55">
        <v>2.1</v>
      </c>
      <c r="K47" s="55">
        <v>2.29</v>
      </c>
      <c r="L47" s="55">
        <v>4.8899999999999997</v>
      </c>
      <c r="M47" s="55">
        <v>5.9</v>
      </c>
      <c r="N47" s="55"/>
    </row>
    <row r="48" spans="1:14" hidden="1">
      <c r="A48" s="55">
        <v>9</v>
      </c>
      <c r="B48" s="55" t="s">
        <v>690</v>
      </c>
      <c r="C48" s="55" t="s">
        <v>19</v>
      </c>
      <c r="D48" s="22">
        <v>281</v>
      </c>
      <c r="E48" s="22">
        <v>649</v>
      </c>
      <c r="F48" s="22">
        <v>1841</v>
      </c>
      <c r="G48" s="22">
        <v>1416</v>
      </c>
      <c r="H48" s="55">
        <v>-56.7</v>
      </c>
      <c r="I48" s="55">
        <v>30.01</v>
      </c>
      <c r="J48" s="55">
        <v>1.68</v>
      </c>
      <c r="K48" s="55">
        <v>2.2599999999999998</v>
      </c>
      <c r="L48" s="55">
        <v>4.5199999999999996</v>
      </c>
      <c r="M48" s="55">
        <v>1.89</v>
      </c>
      <c r="N48" s="55"/>
    </row>
    <row r="49" spans="1:14" hidden="1">
      <c r="A49" s="55">
        <v>10</v>
      </c>
      <c r="B49" s="55" t="s">
        <v>373</v>
      </c>
      <c r="C49" s="55" t="s">
        <v>19</v>
      </c>
      <c r="D49" s="22">
        <v>412</v>
      </c>
      <c r="E49" s="22">
        <v>877</v>
      </c>
      <c r="F49" s="22">
        <v>1833</v>
      </c>
      <c r="G49" s="22">
        <v>3349</v>
      </c>
      <c r="H49" s="55">
        <v>-53.02</v>
      </c>
      <c r="I49" s="55">
        <v>-45.27</v>
      </c>
      <c r="J49" s="55">
        <v>2.46</v>
      </c>
      <c r="K49" s="55">
        <v>2.25</v>
      </c>
      <c r="L49" s="55">
        <v>6.1</v>
      </c>
      <c r="M49" s="55">
        <v>4.47</v>
      </c>
      <c r="N49" s="55"/>
    </row>
    <row r="50" spans="1:14">
      <c r="A50" s="55">
        <v>11</v>
      </c>
      <c r="B50" s="55" t="s">
        <v>406</v>
      </c>
      <c r="C50" s="55" t="s">
        <v>20</v>
      </c>
      <c r="D50" s="22">
        <v>450</v>
      </c>
      <c r="E50" s="22">
        <v>289</v>
      </c>
      <c r="F50" s="22">
        <v>1789</v>
      </c>
      <c r="G50" s="22">
        <v>2288</v>
      </c>
      <c r="H50" s="55">
        <v>55.71</v>
      </c>
      <c r="I50" s="55">
        <v>-21.81</v>
      </c>
      <c r="J50" s="55">
        <v>2.69</v>
      </c>
      <c r="K50" s="55">
        <v>2.19</v>
      </c>
      <c r="L50" s="55">
        <v>2.0099999999999998</v>
      </c>
      <c r="M50" s="55">
        <v>3.06</v>
      </c>
      <c r="N50" s="55"/>
    </row>
    <row r="51" spans="1:14">
      <c r="A51" s="55">
        <v>12</v>
      </c>
      <c r="B51" s="55" t="s">
        <v>55</v>
      </c>
      <c r="C51" s="55" t="s">
        <v>20</v>
      </c>
      <c r="D51" s="22">
        <v>464</v>
      </c>
      <c r="E51" s="22">
        <v>175</v>
      </c>
      <c r="F51" s="22">
        <v>1718</v>
      </c>
      <c r="G51" s="22">
        <v>1358</v>
      </c>
      <c r="H51" s="55">
        <v>165.14</v>
      </c>
      <c r="I51" s="55">
        <v>26.51</v>
      </c>
      <c r="J51" s="55">
        <v>2.77</v>
      </c>
      <c r="K51" s="55">
        <v>2.11</v>
      </c>
      <c r="L51" s="55">
        <v>1.22</v>
      </c>
      <c r="M51" s="55">
        <v>1.81</v>
      </c>
      <c r="N51" s="55"/>
    </row>
    <row r="52" spans="1:14">
      <c r="A52" s="55">
        <v>13</v>
      </c>
      <c r="B52" s="55" t="s">
        <v>595</v>
      </c>
      <c r="C52" s="55" t="s">
        <v>20</v>
      </c>
      <c r="D52" s="22">
        <v>433</v>
      </c>
      <c r="E52" s="22">
        <v>106</v>
      </c>
      <c r="F52" s="22">
        <v>1574</v>
      </c>
      <c r="G52" s="22">
        <v>1096</v>
      </c>
      <c r="H52" s="55">
        <v>308.49</v>
      </c>
      <c r="I52" s="55">
        <v>43.61</v>
      </c>
      <c r="J52" s="55">
        <v>2.58</v>
      </c>
      <c r="K52" s="55">
        <v>1.93</v>
      </c>
      <c r="L52" s="55">
        <v>0.74</v>
      </c>
      <c r="M52" s="55">
        <v>1.46</v>
      </c>
      <c r="N52" s="55"/>
    </row>
    <row r="53" spans="1:14">
      <c r="A53" s="55">
        <v>14</v>
      </c>
      <c r="B53" s="55" t="s">
        <v>419</v>
      </c>
      <c r="C53" s="55" t="s">
        <v>20</v>
      </c>
      <c r="D53" s="22">
        <v>224</v>
      </c>
      <c r="E53" s="22">
        <v>108</v>
      </c>
      <c r="F53" s="22">
        <v>1453</v>
      </c>
      <c r="G53" s="22">
        <v>729</v>
      </c>
      <c r="H53" s="55">
        <v>107.41</v>
      </c>
      <c r="I53" s="55">
        <v>99.31</v>
      </c>
      <c r="J53" s="55">
        <v>1.34</v>
      </c>
      <c r="K53" s="55">
        <v>1.78</v>
      </c>
      <c r="L53" s="55">
        <v>0.75</v>
      </c>
      <c r="M53" s="55">
        <v>0.97</v>
      </c>
      <c r="N53" s="55"/>
    </row>
    <row r="54" spans="1:14" hidden="1">
      <c r="A54" s="55">
        <v>15</v>
      </c>
      <c r="B54" s="55" t="s">
        <v>396</v>
      </c>
      <c r="C54" s="55" t="s">
        <v>19</v>
      </c>
      <c r="D54" s="22">
        <v>320</v>
      </c>
      <c r="E54" s="22">
        <v>66</v>
      </c>
      <c r="F54" s="22">
        <v>1248</v>
      </c>
      <c r="G54" s="22">
        <v>1074</v>
      </c>
      <c r="H54" s="55">
        <v>384.85</v>
      </c>
      <c r="I54" s="55">
        <v>16.2</v>
      </c>
      <c r="J54" s="55">
        <v>1.91</v>
      </c>
      <c r="K54" s="55">
        <v>1.53</v>
      </c>
      <c r="L54" s="55">
        <v>0.46</v>
      </c>
      <c r="M54" s="55">
        <v>1.43</v>
      </c>
      <c r="N54" s="55"/>
    </row>
    <row r="55" spans="1:14">
      <c r="A55" s="55">
        <v>16</v>
      </c>
      <c r="B55" s="55" t="s">
        <v>695</v>
      </c>
      <c r="C55" s="55" t="s">
        <v>20</v>
      </c>
      <c r="D55" s="22">
        <v>33</v>
      </c>
      <c r="E55" s="22">
        <v>72</v>
      </c>
      <c r="F55" s="22">
        <v>1188</v>
      </c>
      <c r="G55" s="22">
        <v>235</v>
      </c>
      <c r="H55" s="55">
        <v>-54.17</v>
      </c>
      <c r="I55" s="55">
        <v>405.53</v>
      </c>
      <c r="J55" s="55">
        <v>0.2</v>
      </c>
      <c r="K55" s="55">
        <v>1.46</v>
      </c>
      <c r="L55" s="55">
        <v>0.5</v>
      </c>
      <c r="M55" s="55">
        <v>0.31</v>
      </c>
      <c r="N55" s="55"/>
    </row>
    <row r="56" spans="1:14" hidden="1">
      <c r="A56" s="55">
        <v>17</v>
      </c>
      <c r="B56" s="55" t="s">
        <v>377</v>
      </c>
      <c r="C56" s="55" t="s">
        <v>19</v>
      </c>
      <c r="D56" s="22">
        <v>35</v>
      </c>
      <c r="E56" s="22">
        <v>477</v>
      </c>
      <c r="F56" s="22">
        <v>1054</v>
      </c>
      <c r="G56" s="22">
        <v>2252</v>
      </c>
      <c r="H56" s="55">
        <v>-92.66</v>
      </c>
      <c r="I56" s="55">
        <v>-53.2</v>
      </c>
      <c r="J56" s="55">
        <v>0.21</v>
      </c>
      <c r="K56" s="55">
        <v>1.29</v>
      </c>
      <c r="L56" s="55">
        <v>3.32</v>
      </c>
      <c r="M56" s="55">
        <v>3.01</v>
      </c>
      <c r="N56" s="55"/>
    </row>
    <row r="57" spans="1:14" hidden="1">
      <c r="A57" s="55">
        <v>18</v>
      </c>
      <c r="B57" s="55" t="s">
        <v>411</v>
      </c>
      <c r="C57" s="55" t="s">
        <v>19</v>
      </c>
      <c r="D57" s="22">
        <v>215</v>
      </c>
      <c r="E57" s="22">
        <v>131</v>
      </c>
      <c r="F57" s="22">
        <v>1049</v>
      </c>
      <c r="G57" s="22">
        <v>2194</v>
      </c>
      <c r="H57" s="55">
        <v>64.12</v>
      </c>
      <c r="I57" s="55">
        <v>-52.19</v>
      </c>
      <c r="J57" s="55">
        <v>1.28</v>
      </c>
      <c r="K57" s="55">
        <v>1.29</v>
      </c>
      <c r="L57" s="55">
        <v>0.91</v>
      </c>
      <c r="M57" s="55">
        <v>2.93</v>
      </c>
      <c r="N57" s="55"/>
    </row>
    <row r="58" spans="1:14" hidden="1">
      <c r="A58" s="55">
        <v>19</v>
      </c>
      <c r="B58" s="55" t="s">
        <v>232</v>
      </c>
      <c r="C58" s="55" t="s">
        <v>19</v>
      </c>
      <c r="D58" s="22">
        <v>156</v>
      </c>
      <c r="E58" s="22">
        <v>93</v>
      </c>
      <c r="F58" s="22">
        <v>1013</v>
      </c>
      <c r="G58" s="22">
        <v>630</v>
      </c>
      <c r="H58" s="55">
        <v>67.739999999999995</v>
      </c>
      <c r="I58" s="55">
        <v>60.79</v>
      </c>
      <c r="J58" s="55">
        <v>0.93</v>
      </c>
      <c r="K58" s="55">
        <v>1.24</v>
      </c>
      <c r="L58" s="55">
        <v>0.65</v>
      </c>
      <c r="M58" s="55">
        <v>0.84</v>
      </c>
      <c r="N58" s="55"/>
    </row>
    <row r="59" spans="1:14" hidden="1">
      <c r="A59" s="55">
        <v>20</v>
      </c>
      <c r="B59" s="55" t="s">
        <v>575</v>
      </c>
      <c r="C59" s="55" t="s">
        <v>19</v>
      </c>
      <c r="D59" s="22">
        <v>200</v>
      </c>
      <c r="E59" s="22">
        <v>135</v>
      </c>
      <c r="F59" s="22">
        <v>986</v>
      </c>
      <c r="G59" s="22">
        <v>983</v>
      </c>
      <c r="H59" s="55">
        <v>48.15</v>
      </c>
      <c r="I59" s="55">
        <v>0.31</v>
      </c>
      <c r="J59" s="55">
        <v>1.19</v>
      </c>
      <c r="K59" s="55">
        <v>1.21</v>
      </c>
      <c r="L59" s="55">
        <v>0.94</v>
      </c>
      <c r="M59" s="55">
        <v>1.31</v>
      </c>
      <c r="N59" s="55"/>
    </row>
    <row r="60" spans="1:14">
      <c r="A60" s="55">
        <v>21</v>
      </c>
      <c r="B60" s="55" t="s">
        <v>1008</v>
      </c>
      <c r="C60" s="55" t="s">
        <v>20</v>
      </c>
      <c r="D60" s="22">
        <v>272</v>
      </c>
      <c r="E60" s="22">
        <v>0</v>
      </c>
      <c r="F60" s="22">
        <v>935</v>
      </c>
      <c r="G60" s="22">
        <v>0</v>
      </c>
      <c r="H60" s="55">
        <v>0</v>
      </c>
      <c r="I60" s="55">
        <v>0</v>
      </c>
      <c r="J60" s="55">
        <v>1.62</v>
      </c>
      <c r="K60" s="55">
        <v>1.1499999999999999</v>
      </c>
      <c r="L60" s="55">
        <v>0</v>
      </c>
      <c r="M60" s="55">
        <v>0</v>
      </c>
      <c r="N60" s="55"/>
    </row>
    <row r="61" spans="1:14">
      <c r="A61" s="55">
        <v>22</v>
      </c>
      <c r="B61" s="55" t="s">
        <v>691</v>
      </c>
      <c r="C61" s="55" t="s">
        <v>20</v>
      </c>
      <c r="D61" s="22">
        <v>288</v>
      </c>
      <c r="E61" s="22">
        <v>107</v>
      </c>
      <c r="F61" s="22">
        <v>902</v>
      </c>
      <c r="G61" s="22">
        <v>205</v>
      </c>
      <c r="H61" s="55">
        <v>169.16</v>
      </c>
      <c r="I61" s="55">
        <v>340</v>
      </c>
      <c r="J61" s="55">
        <v>1.72</v>
      </c>
      <c r="K61" s="55">
        <v>1.1100000000000001</v>
      </c>
      <c r="L61" s="55">
        <v>0.74</v>
      </c>
      <c r="M61" s="55">
        <v>0.27</v>
      </c>
      <c r="N61" s="55"/>
    </row>
    <row r="62" spans="1:14" hidden="1">
      <c r="A62" s="55">
        <v>23</v>
      </c>
      <c r="B62" s="55" t="s">
        <v>426</v>
      </c>
      <c r="C62" s="55" t="s">
        <v>19</v>
      </c>
      <c r="D62" s="22">
        <v>379</v>
      </c>
      <c r="E62" s="22">
        <v>112</v>
      </c>
      <c r="F62" s="22">
        <v>882</v>
      </c>
      <c r="G62" s="22">
        <v>1115</v>
      </c>
      <c r="H62" s="55">
        <v>238.39</v>
      </c>
      <c r="I62" s="55">
        <v>-20.9</v>
      </c>
      <c r="J62" s="55">
        <v>2.2599999999999998</v>
      </c>
      <c r="K62" s="55">
        <v>1.08</v>
      </c>
      <c r="L62" s="55">
        <v>0.78</v>
      </c>
      <c r="M62" s="55">
        <v>1.49</v>
      </c>
      <c r="N62" s="55"/>
    </row>
    <row r="63" spans="1:14">
      <c r="A63" s="55">
        <v>24</v>
      </c>
      <c r="B63" s="55" t="s">
        <v>94</v>
      </c>
      <c r="C63" s="55" t="s">
        <v>20</v>
      </c>
      <c r="D63" s="22">
        <v>162</v>
      </c>
      <c r="E63" s="22">
        <v>68</v>
      </c>
      <c r="F63" s="22">
        <v>862</v>
      </c>
      <c r="G63" s="22">
        <v>1518</v>
      </c>
      <c r="H63" s="55">
        <v>138.24</v>
      </c>
      <c r="I63" s="55">
        <v>-43.21</v>
      </c>
      <c r="J63" s="55">
        <v>0.97</v>
      </c>
      <c r="K63" s="55">
        <v>1.06</v>
      </c>
      <c r="L63" s="55">
        <v>0.47</v>
      </c>
      <c r="M63" s="55">
        <v>2.0299999999999998</v>
      </c>
      <c r="N63" s="55"/>
    </row>
    <row r="64" spans="1:14">
      <c r="A64" s="55">
        <v>25</v>
      </c>
      <c r="B64" s="55" t="s">
        <v>697</v>
      </c>
      <c r="C64" s="55" t="s">
        <v>20</v>
      </c>
      <c r="D64" s="22">
        <v>280</v>
      </c>
      <c r="E64" s="22">
        <v>92</v>
      </c>
      <c r="F64" s="22">
        <v>834</v>
      </c>
      <c r="G64" s="22">
        <v>165</v>
      </c>
      <c r="H64" s="55">
        <v>204.35</v>
      </c>
      <c r="I64" s="55">
        <v>405.45</v>
      </c>
      <c r="J64" s="55">
        <v>1.67</v>
      </c>
      <c r="K64" s="55">
        <v>1.02</v>
      </c>
      <c r="L64" s="55">
        <v>0.64</v>
      </c>
      <c r="M64" s="55">
        <v>0.22</v>
      </c>
      <c r="N64" s="55"/>
    </row>
    <row r="65" spans="1:14">
      <c r="A65" s="55">
        <v>26</v>
      </c>
      <c r="B65" s="55" t="s">
        <v>1027</v>
      </c>
      <c r="C65" s="55" t="s">
        <v>20</v>
      </c>
      <c r="D65" s="22">
        <v>99</v>
      </c>
      <c r="E65" s="22">
        <v>0</v>
      </c>
      <c r="F65" s="22">
        <v>768</v>
      </c>
      <c r="G65" s="22">
        <v>0</v>
      </c>
      <c r="H65" s="55">
        <v>0</v>
      </c>
      <c r="I65" s="55">
        <v>0</v>
      </c>
      <c r="J65" s="55">
        <v>0.59</v>
      </c>
      <c r="K65" s="55">
        <v>0.94</v>
      </c>
      <c r="L65" s="55">
        <v>0</v>
      </c>
      <c r="M65" s="55">
        <v>0</v>
      </c>
      <c r="N65" s="55"/>
    </row>
    <row r="66" spans="1:14" hidden="1">
      <c r="A66" s="55">
        <v>27</v>
      </c>
      <c r="B66" s="55" t="s">
        <v>984</v>
      </c>
      <c r="C66" s="55" t="s">
        <v>19</v>
      </c>
      <c r="D66" s="22">
        <v>55</v>
      </c>
      <c r="E66" s="22">
        <v>0</v>
      </c>
      <c r="F66" s="22">
        <v>761</v>
      </c>
      <c r="G66" s="22">
        <v>0</v>
      </c>
      <c r="H66" s="55">
        <v>0</v>
      </c>
      <c r="I66" s="55">
        <v>0</v>
      </c>
      <c r="J66" s="55">
        <v>0.33</v>
      </c>
      <c r="K66" s="55">
        <v>0.93</v>
      </c>
      <c r="L66" s="55">
        <v>0</v>
      </c>
      <c r="M66" s="55">
        <v>0</v>
      </c>
      <c r="N66" s="55"/>
    </row>
    <row r="67" spans="1:14">
      <c r="A67" s="55">
        <v>28</v>
      </c>
      <c r="B67" s="55" t="s">
        <v>640</v>
      </c>
      <c r="C67" s="55" t="s">
        <v>20</v>
      </c>
      <c r="D67" s="22">
        <v>13</v>
      </c>
      <c r="E67" s="22">
        <v>151</v>
      </c>
      <c r="F67" s="22">
        <v>760</v>
      </c>
      <c r="G67" s="22">
        <v>614</v>
      </c>
      <c r="H67" s="55">
        <v>-91.39</v>
      </c>
      <c r="I67" s="55">
        <v>23.78</v>
      </c>
      <c r="J67" s="55">
        <v>0.08</v>
      </c>
      <c r="K67" s="55">
        <v>0.93</v>
      </c>
      <c r="L67" s="55">
        <v>1.05</v>
      </c>
      <c r="M67" s="55">
        <v>0.82</v>
      </c>
      <c r="N67" s="55"/>
    </row>
    <row r="68" spans="1:14">
      <c r="A68" s="55">
        <v>29</v>
      </c>
      <c r="B68" s="55" t="s">
        <v>137</v>
      </c>
      <c r="C68" s="55" t="s">
        <v>20</v>
      </c>
      <c r="D68" s="22">
        <v>175</v>
      </c>
      <c r="E68" s="22">
        <v>387</v>
      </c>
      <c r="F68" s="22">
        <v>759</v>
      </c>
      <c r="G68" s="22">
        <v>1112</v>
      </c>
      <c r="H68" s="55">
        <v>-54.78</v>
      </c>
      <c r="I68" s="55">
        <v>-31.74</v>
      </c>
      <c r="J68" s="55">
        <v>1.04</v>
      </c>
      <c r="K68" s="55">
        <v>0.93</v>
      </c>
      <c r="L68" s="55">
        <v>2.69</v>
      </c>
      <c r="M68" s="55">
        <v>1.49</v>
      </c>
      <c r="N68" s="55"/>
    </row>
    <row r="69" spans="1:14">
      <c r="A69" s="55">
        <v>30</v>
      </c>
      <c r="B69" s="55" t="s">
        <v>648</v>
      </c>
      <c r="C69" s="55" t="s">
        <v>20</v>
      </c>
      <c r="D69" s="22">
        <v>170</v>
      </c>
      <c r="E69" s="22">
        <v>119</v>
      </c>
      <c r="F69" s="22">
        <v>754</v>
      </c>
      <c r="G69" s="22">
        <v>306</v>
      </c>
      <c r="H69" s="55">
        <v>42.86</v>
      </c>
      <c r="I69" s="55">
        <v>146.41</v>
      </c>
      <c r="J69" s="55">
        <v>1.01</v>
      </c>
      <c r="K69" s="55">
        <v>0.92</v>
      </c>
      <c r="L69" s="55">
        <v>0.83</v>
      </c>
      <c r="M69" s="55">
        <v>0.41</v>
      </c>
      <c r="N69" s="55"/>
    </row>
    <row r="70" spans="1:14" hidden="1">
      <c r="A70" s="55">
        <v>31</v>
      </c>
      <c r="B70" s="55" t="s">
        <v>646</v>
      </c>
      <c r="C70" s="55" t="s">
        <v>19</v>
      </c>
      <c r="D70" s="22">
        <v>179</v>
      </c>
      <c r="E70" s="22">
        <v>168</v>
      </c>
      <c r="F70" s="22">
        <v>748</v>
      </c>
      <c r="G70" s="22">
        <v>517</v>
      </c>
      <c r="H70" s="55">
        <v>6.55</v>
      </c>
      <c r="I70" s="55">
        <v>44.68</v>
      </c>
      <c r="J70" s="55">
        <v>1.07</v>
      </c>
      <c r="K70" s="55">
        <v>0.92</v>
      </c>
      <c r="L70" s="55">
        <v>1.17</v>
      </c>
      <c r="M70" s="55">
        <v>0.69</v>
      </c>
      <c r="N70" s="55"/>
    </row>
    <row r="71" spans="1:14" hidden="1">
      <c r="A71" s="55">
        <v>32</v>
      </c>
      <c r="B71" s="55" t="s">
        <v>397</v>
      </c>
      <c r="C71" s="55" t="s">
        <v>19</v>
      </c>
      <c r="D71" s="22">
        <v>100</v>
      </c>
      <c r="E71" s="22">
        <v>30</v>
      </c>
      <c r="F71" s="22">
        <v>718</v>
      </c>
      <c r="G71" s="22">
        <v>1085</v>
      </c>
      <c r="H71" s="55">
        <v>233.33</v>
      </c>
      <c r="I71" s="55">
        <v>-33.82</v>
      </c>
      <c r="J71" s="55">
        <v>0.6</v>
      </c>
      <c r="K71" s="55">
        <v>0.88</v>
      </c>
      <c r="L71" s="55">
        <v>0.21</v>
      </c>
      <c r="M71" s="55">
        <v>1.45</v>
      </c>
      <c r="N71" s="55"/>
    </row>
    <row r="72" spans="1:14" hidden="1">
      <c r="A72" s="55">
        <v>33</v>
      </c>
      <c r="B72" s="55" t="s">
        <v>402</v>
      </c>
      <c r="C72" s="55" t="s">
        <v>19</v>
      </c>
      <c r="D72" s="22">
        <v>95</v>
      </c>
      <c r="E72" s="22">
        <v>178</v>
      </c>
      <c r="F72" s="22">
        <v>718</v>
      </c>
      <c r="G72" s="22">
        <v>896</v>
      </c>
      <c r="H72" s="55">
        <v>-46.63</v>
      </c>
      <c r="I72" s="55">
        <v>-19.87</v>
      </c>
      <c r="J72" s="55">
        <v>0.56999999999999995</v>
      </c>
      <c r="K72" s="55">
        <v>0.88</v>
      </c>
      <c r="L72" s="55">
        <v>1.24</v>
      </c>
      <c r="M72" s="55">
        <v>1.2</v>
      </c>
      <c r="N72" s="55"/>
    </row>
    <row r="73" spans="1:14">
      <c r="A73" s="55">
        <v>34</v>
      </c>
      <c r="B73" s="55" t="s">
        <v>1132</v>
      </c>
      <c r="C73" s="55" t="s">
        <v>20</v>
      </c>
      <c r="D73" s="22">
        <v>148</v>
      </c>
      <c r="E73" s="22">
        <v>95</v>
      </c>
      <c r="F73" s="22">
        <v>688</v>
      </c>
      <c r="G73" s="22">
        <v>95</v>
      </c>
      <c r="H73" s="55">
        <v>55.79</v>
      </c>
      <c r="I73" s="55">
        <v>624.21</v>
      </c>
      <c r="J73" s="55">
        <v>0.88</v>
      </c>
      <c r="K73" s="55">
        <v>0.84</v>
      </c>
      <c r="L73" s="55">
        <v>0.66</v>
      </c>
      <c r="M73" s="55">
        <v>0.13</v>
      </c>
      <c r="N73" s="55"/>
    </row>
    <row r="74" spans="1:14">
      <c r="A74" s="55">
        <v>35</v>
      </c>
      <c r="B74" s="55" t="s">
        <v>1024</v>
      </c>
      <c r="C74" s="55" t="s">
        <v>20</v>
      </c>
      <c r="D74" s="22">
        <v>302</v>
      </c>
      <c r="E74" s="22">
        <v>0</v>
      </c>
      <c r="F74" s="22">
        <v>675</v>
      </c>
      <c r="G74" s="22">
        <v>0</v>
      </c>
      <c r="H74" s="55">
        <v>0</v>
      </c>
      <c r="I74" s="55">
        <v>0</v>
      </c>
      <c r="J74" s="55">
        <v>1.8</v>
      </c>
      <c r="K74" s="55">
        <v>0.83</v>
      </c>
      <c r="L74" s="55">
        <v>0</v>
      </c>
      <c r="M74" s="55">
        <v>0</v>
      </c>
      <c r="N74" s="55"/>
    </row>
    <row r="75" spans="1:14">
      <c r="A75" s="55">
        <v>36</v>
      </c>
      <c r="B75" s="55" t="s">
        <v>692</v>
      </c>
      <c r="C75" s="55" t="s">
        <v>20</v>
      </c>
      <c r="D75" s="22">
        <v>16</v>
      </c>
      <c r="E75" s="22">
        <v>0</v>
      </c>
      <c r="F75" s="22">
        <v>667</v>
      </c>
      <c r="G75" s="22">
        <v>8</v>
      </c>
      <c r="H75" s="55">
        <v>0</v>
      </c>
      <c r="I75" s="55">
        <v>8237.5</v>
      </c>
      <c r="J75" s="55">
        <v>0.1</v>
      </c>
      <c r="K75" s="55">
        <v>0.82</v>
      </c>
      <c r="L75" s="55">
        <v>0</v>
      </c>
      <c r="M75" s="55">
        <v>0.01</v>
      </c>
      <c r="N75" s="55"/>
    </row>
    <row r="76" spans="1:14" hidden="1">
      <c r="A76" s="55">
        <v>37</v>
      </c>
      <c r="B76" s="55" t="s">
        <v>228</v>
      </c>
      <c r="C76" s="55" t="s">
        <v>19</v>
      </c>
      <c r="D76" s="22">
        <v>93</v>
      </c>
      <c r="E76" s="22">
        <v>83</v>
      </c>
      <c r="F76" s="22">
        <v>654</v>
      </c>
      <c r="G76" s="22">
        <v>961</v>
      </c>
      <c r="H76" s="55">
        <v>12.05</v>
      </c>
      <c r="I76" s="55">
        <v>-31.95</v>
      </c>
      <c r="J76" s="55">
        <v>0.56000000000000005</v>
      </c>
      <c r="K76" s="55">
        <v>0.8</v>
      </c>
      <c r="L76" s="55">
        <v>0.57999999999999996</v>
      </c>
      <c r="M76" s="55">
        <v>1.28</v>
      </c>
      <c r="N76" s="55"/>
    </row>
    <row r="77" spans="1:14" hidden="1">
      <c r="A77" s="55">
        <v>38</v>
      </c>
      <c r="B77" s="55" t="s">
        <v>414</v>
      </c>
      <c r="C77" s="55" t="s">
        <v>19</v>
      </c>
      <c r="D77" s="22">
        <v>65</v>
      </c>
      <c r="E77" s="22">
        <v>89</v>
      </c>
      <c r="F77" s="22">
        <v>604</v>
      </c>
      <c r="G77" s="22">
        <v>855</v>
      </c>
      <c r="H77" s="55">
        <v>-26.97</v>
      </c>
      <c r="I77" s="55">
        <v>-29.36</v>
      </c>
      <c r="J77" s="55">
        <v>0.39</v>
      </c>
      <c r="K77" s="55">
        <v>0.74</v>
      </c>
      <c r="L77" s="55">
        <v>0.62</v>
      </c>
      <c r="M77" s="55">
        <v>1.1399999999999999</v>
      </c>
      <c r="N77" s="55"/>
    </row>
    <row r="78" spans="1:14">
      <c r="A78" s="55">
        <v>39</v>
      </c>
      <c r="B78" s="55" t="s">
        <v>641</v>
      </c>
      <c r="C78" s="55" t="s">
        <v>20</v>
      </c>
      <c r="D78" s="22">
        <v>121</v>
      </c>
      <c r="E78" s="22">
        <v>0</v>
      </c>
      <c r="F78" s="22">
        <v>571</v>
      </c>
      <c r="G78" s="22">
        <v>0</v>
      </c>
      <c r="H78" s="55">
        <v>0</v>
      </c>
      <c r="I78" s="55">
        <v>0</v>
      </c>
      <c r="J78" s="55">
        <v>0.72</v>
      </c>
      <c r="K78" s="55">
        <v>0.7</v>
      </c>
      <c r="L78" s="55">
        <v>0</v>
      </c>
      <c r="M78" s="55">
        <v>0</v>
      </c>
      <c r="N78" s="55"/>
    </row>
    <row r="79" spans="1:14" hidden="1">
      <c r="A79" s="55">
        <v>40</v>
      </c>
      <c r="B79" s="55" t="s">
        <v>491</v>
      </c>
      <c r="C79" s="55" t="s">
        <v>19</v>
      </c>
      <c r="D79" s="22">
        <v>131</v>
      </c>
      <c r="E79" s="22">
        <v>69</v>
      </c>
      <c r="F79" s="22">
        <v>570</v>
      </c>
      <c r="G79" s="22">
        <v>708</v>
      </c>
      <c r="H79" s="55">
        <v>89.86</v>
      </c>
      <c r="I79" s="55">
        <v>-19.489999999999998</v>
      </c>
      <c r="J79" s="55">
        <v>0.78</v>
      </c>
      <c r="K79" s="55">
        <v>0.7</v>
      </c>
      <c r="L79" s="55">
        <v>0.48</v>
      </c>
      <c r="M79" s="55">
        <v>0.95</v>
      </c>
      <c r="N79" s="55"/>
    </row>
    <row r="80" spans="1:14" hidden="1">
      <c r="A80" s="55">
        <v>41</v>
      </c>
      <c r="B80" s="55" t="s">
        <v>383</v>
      </c>
      <c r="C80" s="55" t="s">
        <v>19</v>
      </c>
      <c r="D80" s="22">
        <v>58</v>
      </c>
      <c r="E80" s="22">
        <v>336</v>
      </c>
      <c r="F80" s="22">
        <v>552</v>
      </c>
      <c r="G80" s="22">
        <v>1344</v>
      </c>
      <c r="H80" s="55">
        <v>-82.74</v>
      </c>
      <c r="I80" s="55">
        <v>-58.93</v>
      </c>
      <c r="J80" s="55">
        <v>0.35</v>
      </c>
      <c r="K80" s="55">
        <v>0.68</v>
      </c>
      <c r="L80" s="55">
        <v>2.34</v>
      </c>
      <c r="M80" s="55">
        <v>1.8</v>
      </c>
      <c r="N80" s="55"/>
    </row>
    <row r="81" spans="1:14" hidden="1">
      <c r="A81" s="55">
        <v>42</v>
      </c>
      <c r="B81" s="55" t="s">
        <v>1029</v>
      </c>
      <c r="C81" s="55" t="s">
        <v>19</v>
      </c>
      <c r="D81" s="22">
        <v>126</v>
      </c>
      <c r="E81" s="22">
        <v>0</v>
      </c>
      <c r="F81" s="22">
        <v>548</v>
      </c>
      <c r="G81" s="22">
        <v>0</v>
      </c>
      <c r="H81" s="55">
        <v>0</v>
      </c>
      <c r="I81" s="55">
        <v>0</v>
      </c>
      <c r="J81" s="55">
        <v>0.75</v>
      </c>
      <c r="K81" s="55">
        <v>0.67</v>
      </c>
      <c r="L81" s="55">
        <v>0</v>
      </c>
      <c r="M81" s="55">
        <v>0</v>
      </c>
      <c r="N81" s="55"/>
    </row>
    <row r="82" spans="1:14" hidden="1">
      <c r="A82" s="55">
        <v>43</v>
      </c>
      <c r="B82" s="55" t="s">
        <v>229</v>
      </c>
      <c r="C82" s="55" t="s">
        <v>19</v>
      </c>
      <c r="D82" s="22">
        <v>169</v>
      </c>
      <c r="E82" s="22">
        <v>123</v>
      </c>
      <c r="F82" s="22">
        <v>547</v>
      </c>
      <c r="G82" s="22">
        <v>530</v>
      </c>
      <c r="H82" s="55">
        <v>37.4</v>
      </c>
      <c r="I82" s="55">
        <v>3.21</v>
      </c>
      <c r="J82" s="55">
        <v>1.01</v>
      </c>
      <c r="K82" s="55">
        <v>0.67</v>
      </c>
      <c r="L82" s="55">
        <v>0.86</v>
      </c>
      <c r="M82" s="55">
        <v>0.71</v>
      </c>
      <c r="N82" s="55"/>
    </row>
    <row r="83" spans="1:14">
      <c r="A83" s="55">
        <v>44</v>
      </c>
      <c r="B83" s="55" t="s">
        <v>700</v>
      </c>
      <c r="C83" s="55" t="s">
        <v>20</v>
      </c>
      <c r="D83" s="22">
        <v>100</v>
      </c>
      <c r="E83" s="22">
        <v>165</v>
      </c>
      <c r="F83" s="22">
        <v>533</v>
      </c>
      <c r="G83" s="22">
        <v>349</v>
      </c>
      <c r="H83" s="55">
        <v>-39.39</v>
      </c>
      <c r="I83" s="55">
        <v>52.72</v>
      </c>
      <c r="J83" s="55">
        <v>0.6</v>
      </c>
      <c r="K83" s="55">
        <v>0.65</v>
      </c>
      <c r="L83" s="55">
        <v>1.1499999999999999</v>
      </c>
      <c r="M83" s="55">
        <v>0.47</v>
      </c>
      <c r="N83" s="55"/>
    </row>
    <row r="84" spans="1:14">
      <c r="A84" s="55">
        <v>45</v>
      </c>
      <c r="B84" s="55" t="s">
        <v>587</v>
      </c>
      <c r="C84" s="55" t="s">
        <v>20</v>
      </c>
      <c r="D84" s="22">
        <v>95</v>
      </c>
      <c r="E84" s="22">
        <v>382</v>
      </c>
      <c r="F84" s="22">
        <v>510</v>
      </c>
      <c r="G84" s="22">
        <v>1178</v>
      </c>
      <c r="H84" s="55">
        <v>-75.13</v>
      </c>
      <c r="I84" s="55">
        <v>-56.71</v>
      </c>
      <c r="J84" s="55">
        <v>0.56999999999999995</v>
      </c>
      <c r="K84" s="55">
        <v>0.63</v>
      </c>
      <c r="L84" s="55">
        <v>2.66</v>
      </c>
      <c r="M84" s="55">
        <v>1.57</v>
      </c>
      <c r="N84" s="55"/>
    </row>
    <row r="85" spans="1:14">
      <c r="A85" s="55">
        <v>46</v>
      </c>
      <c r="B85" s="55" t="s">
        <v>563</v>
      </c>
      <c r="C85" s="55" t="s">
        <v>20</v>
      </c>
      <c r="D85" s="22">
        <v>89</v>
      </c>
      <c r="E85" s="22">
        <v>218</v>
      </c>
      <c r="F85" s="22">
        <v>491</v>
      </c>
      <c r="G85" s="22">
        <v>418</v>
      </c>
      <c r="H85" s="55">
        <v>-59.17</v>
      </c>
      <c r="I85" s="55">
        <v>17.46</v>
      </c>
      <c r="J85" s="55">
        <v>0.53</v>
      </c>
      <c r="K85" s="55">
        <v>0.6</v>
      </c>
      <c r="L85" s="55">
        <v>1.52</v>
      </c>
      <c r="M85" s="55">
        <v>0.56000000000000005</v>
      </c>
      <c r="N85" s="55"/>
    </row>
    <row r="86" spans="1:14">
      <c r="A86" s="55">
        <v>47</v>
      </c>
      <c r="B86" s="55" t="s">
        <v>496</v>
      </c>
      <c r="C86" s="55" t="s">
        <v>20</v>
      </c>
      <c r="D86" s="22">
        <v>80</v>
      </c>
      <c r="E86" s="22">
        <v>43</v>
      </c>
      <c r="F86" s="22">
        <v>480</v>
      </c>
      <c r="G86" s="22">
        <v>242</v>
      </c>
      <c r="H86" s="55">
        <v>86.05</v>
      </c>
      <c r="I86" s="55">
        <v>98.35</v>
      </c>
      <c r="J86" s="55">
        <v>0.48</v>
      </c>
      <c r="K86" s="55">
        <v>0.59</v>
      </c>
      <c r="L86" s="55">
        <v>0.3</v>
      </c>
      <c r="M86" s="55">
        <v>0.32</v>
      </c>
      <c r="N86" s="55"/>
    </row>
    <row r="87" spans="1:14" hidden="1">
      <c r="A87" s="55">
        <v>48</v>
      </c>
      <c r="B87" s="55" t="s">
        <v>490</v>
      </c>
      <c r="C87" s="55" t="s">
        <v>19</v>
      </c>
      <c r="D87" s="22">
        <v>88</v>
      </c>
      <c r="E87" s="22">
        <v>23</v>
      </c>
      <c r="F87" s="22">
        <v>471</v>
      </c>
      <c r="G87" s="22">
        <v>182</v>
      </c>
      <c r="H87" s="55">
        <v>282.61</v>
      </c>
      <c r="I87" s="55">
        <v>158.79</v>
      </c>
      <c r="J87" s="55">
        <v>0.53</v>
      </c>
      <c r="K87" s="55">
        <v>0.57999999999999996</v>
      </c>
      <c r="L87" s="55">
        <v>0.16</v>
      </c>
      <c r="M87" s="55">
        <v>0.24</v>
      </c>
      <c r="N87" s="55"/>
    </row>
    <row r="88" spans="1:14" hidden="1">
      <c r="A88" s="55">
        <v>49</v>
      </c>
      <c r="B88" s="55" t="s">
        <v>359</v>
      </c>
      <c r="C88" s="55" t="s">
        <v>19</v>
      </c>
      <c r="D88" s="22">
        <v>65</v>
      </c>
      <c r="E88" s="22">
        <v>80</v>
      </c>
      <c r="F88" s="22">
        <v>453</v>
      </c>
      <c r="G88" s="22">
        <v>189</v>
      </c>
      <c r="H88" s="55">
        <v>-18.75</v>
      </c>
      <c r="I88" s="55">
        <v>139.68</v>
      </c>
      <c r="J88" s="55">
        <v>0.39</v>
      </c>
      <c r="K88" s="55">
        <v>0.56000000000000005</v>
      </c>
      <c r="L88" s="55">
        <v>0.56000000000000005</v>
      </c>
      <c r="M88" s="55">
        <v>0.25</v>
      </c>
      <c r="N88" s="55"/>
    </row>
    <row r="89" spans="1:14">
      <c r="A89" s="55">
        <v>50</v>
      </c>
      <c r="B89" s="55" t="s">
        <v>1014</v>
      </c>
      <c r="C89" s="55" t="s">
        <v>20</v>
      </c>
      <c r="D89" s="22">
        <v>86</v>
      </c>
      <c r="E89" s="22">
        <v>0</v>
      </c>
      <c r="F89" s="22">
        <v>445</v>
      </c>
      <c r="G89" s="22">
        <v>0</v>
      </c>
      <c r="H89" s="55">
        <v>0</v>
      </c>
      <c r="I89" s="55">
        <v>0</v>
      </c>
      <c r="J89" s="55">
        <v>0.51</v>
      </c>
      <c r="K89" s="55">
        <v>0.55000000000000004</v>
      </c>
      <c r="L89" s="55">
        <v>0</v>
      </c>
      <c r="M89" s="55">
        <v>0</v>
      </c>
      <c r="N89" s="55"/>
    </row>
    <row r="90" spans="1:14">
      <c r="A90" s="55">
        <v>51</v>
      </c>
      <c r="B90" s="55" t="s">
        <v>561</v>
      </c>
      <c r="C90" s="55" t="s">
        <v>20</v>
      </c>
      <c r="D90" s="22">
        <v>102</v>
      </c>
      <c r="E90" s="22">
        <v>31</v>
      </c>
      <c r="F90" s="22">
        <v>431</v>
      </c>
      <c r="G90" s="22">
        <v>238</v>
      </c>
      <c r="H90" s="55">
        <v>229.03</v>
      </c>
      <c r="I90" s="55">
        <v>81.09</v>
      </c>
      <c r="J90" s="55">
        <v>0.61</v>
      </c>
      <c r="K90" s="55">
        <v>0.53</v>
      </c>
      <c r="L90" s="55">
        <v>0.22</v>
      </c>
      <c r="M90" s="55">
        <v>0.32</v>
      </c>
      <c r="N90" s="55"/>
    </row>
    <row r="91" spans="1:14">
      <c r="A91" s="55">
        <v>52</v>
      </c>
      <c r="B91" s="55" t="s">
        <v>99</v>
      </c>
      <c r="C91" s="55" t="s">
        <v>20</v>
      </c>
      <c r="D91" s="22">
        <v>18</v>
      </c>
      <c r="E91" s="22">
        <v>128</v>
      </c>
      <c r="F91" s="22">
        <v>430</v>
      </c>
      <c r="G91" s="22">
        <v>677</v>
      </c>
      <c r="H91" s="55">
        <v>-85.94</v>
      </c>
      <c r="I91" s="55">
        <v>-36.479999999999997</v>
      </c>
      <c r="J91" s="55">
        <v>0.11</v>
      </c>
      <c r="K91" s="55">
        <v>0.53</v>
      </c>
      <c r="L91" s="55">
        <v>0.89</v>
      </c>
      <c r="M91" s="55">
        <v>0.9</v>
      </c>
      <c r="N91" s="55"/>
    </row>
    <row r="92" spans="1:14">
      <c r="A92" s="55">
        <v>53</v>
      </c>
      <c r="B92" s="55" t="s">
        <v>662</v>
      </c>
      <c r="C92" s="55" t="s">
        <v>20</v>
      </c>
      <c r="D92" s="22">
        <v>145</v>
      </c>
      <c r="E92" s="22">
        <v>113</v>
      </c>
      <c r="F92" s="22">
        <v>423</v>
      </c>
      <c r="G92" s="22">
        <v>317</v>
      </c>
      <c r="H92" s="62">
        <v>28.32</v>
      </c>
      <c r="I92" s="62">
        <v>33.44</v>
      </c>
      <c r="J92" s="55">
        <v>0.87</v>
      </c>
      <c r="K92" s="55">
        <v>0.52</v>
      </c>
      <c r="L92" s="55">
        <v>0.79</v>
      </c>
      <c r="M92" s="55">
        <v>0.42</v>
      </c>
      <c r="N92" s="55"/>
    </row>
    <row r="93" spans="1:14">
      <c r="A93" s="55">
        <v>54</v>
      </c>
      <c r="B93" s="55" t="s">
        <v>1035</v>
      </c>
      <c r="C93" s="55" t="s">
        <v>20</v>
      </c>
      <c r="D93" s="22">
        <v>110</v>
      </c>
      <c r="E93" s="22">
        <v>0</v>
      </c>
      <c r="F93" s="22">
        <v>413</v>
      </c>
      <c r="G93" s="22">
        <v>0</v>
      </c>
      <c r="H93" s="78">
        <v>0</v>
      </c>
      <c r="I93" s="78">
        <v>0</v>
      </c>
      <c r="J93" s="55">
        <v>0.66</v>
      </c>
      <c r="K93" s="55">
        <v>0.51</v>
      </c>
      <c r="L93" s="55">
        <v>0</v>
      </c>
      <c r="M93" s="55">
        <v>0</v>
      </c>
      <c r="N93" s="55"/>
    </row>
    <row r="94" spans="1:14" hidden="1">
      <c r="A94" s="55">
        <v>55</v>
      </c>
      <c r="B94" s="55" t="s">
        <v>117</v>
      </c>
      <c r="C94" s="55" t="s">
        <v>19</v>
      </c>
      <c r="D94" s="22">
        <v>87</v>
      </c>
      <c r="E94" s="22">
        <v>72</v>
      </c>
      <c r="F94" s="22">
        <v>389</v>
      </c>
      <c r="G94" s="22">
        <v>451</v>
      </c>
      <c r="H94" s="55">
        <v>20.83</v>
      </c>
      <c r="I94" s="55">
        <v>-13.75</v>
      </c>
      <c r="J94" s="55">
        <v>0.52</v>
      </c>
      <c r="K94" s="55">
        <v>0.48</v>
      </c>
      <c r="L94" s="55">
        <v>0.5</v>
      </c>
      <c r="M94" s="55">
        <v>0.6</v>
      </c>
      <c r="N94" s="55"/>
    </row>
    <row r="95" spans="1:14">
      <c r="A95" s="55">
        <v>56</v>
      </c>
      <c r="B95" s="55" t="s">
        <v>364</v>
      </c>
      <c r="C95" s="55" t="s">
        <v>20</v>
      </c>
      <c r="D95" s="22">
        <v>70</v>
      </c>
      <c r="E95" s="22">
        <v>96</v>
      </c>
      <c r="F95" s="22">
        <v>379</v>
      </c>
      <c r="G95" s="22">
        <v>487</v>
      </c>
      <c r="H95" s="55">
        <v>-27.08</v>
      </c>
      <c r="I95" s="55">
        <v>-22.18</v>
      </c>
      <c r="J95" s="55">
        <v>0.42</v>
      </c>
      <c r="K95" s="55">
        <v>0.46</v>
      </c>
      <c r="L95" s="55">
        <v>0.67</v>
      </c>
      <c r="M95" s="55">
        <v>0.65</v>
      </c>
      <c r="N95" s="55"/>
    </row>
    <row r="96" spans="1:14">
      <c r="A96" s="55">
        <v>57</v>
      </c>
      <c r="B96" s="55" t="s">
        <v>403</v>
      </c>
      <c r="C96" s="55" t="s">
        <v>20</v>
      </c>
      <c r="D96" s="22">
        <v>62</v>
      </c>
      <c r="E96" s="22">
        <v>67</v>
      </c>
      <c r="F96" s="22">
        <v>372</v>
      </c>
      <c r="G96" s="22">
        <v>520</v>
      </c>
      <c r="H96" s="55">
        <v>-7.46</v>
      </c>
      <c r="I96" s="55">
        <v>-28.46</v>
      </c>
      <c r="J96" s="55">
        <v>0.37</v>
      </c>
      <c r="K96" s="55">
        <v>0.46</v>
      </c>
      <c r="L96" s="55">
        <v>0.47</v>
      </c>
      <c r="M96" s="55">
        <v>0.69</v>
      </c>
      <c r="N96" s="55"/>
    </row>
    <row r="97" spans="1:14" hidden="1">
      <c r="A97" s="55">
        <v>58</v>
      </c>
      <c r="B97" s="55" t="s">
        <v>75</v>
      </c>
      <c r="C97" s="55" t="s">
        <v>19</v>
      </c>
      <c r="D97" s="22">
        <v>114</v>
      </c>
      <c r="E97" s="22">
        <v>25</v>
      </c>
      <c r="F97" s="22">
        <v>364</v>
      </c>
      <c r="G97" s="22">
        <v>322</v>
      </c>
      <c r="H97" s="55">
        <v>356</v>
      </c>
      <c r="I97" s="55">
        <v>13.04</v>
      </c>
      <c r="J97" s="55">
        <v>0.68</v>
      </c>
      <c r="K97" s="55">
        <v>0.45</v>
      </c>
      <c r="L97" s="55">
        <v>0.17</v>
      </c>
      <c r="M97" s="55">
        <v>0.43</v>
      </c>
      <c r="N97" s="55"/>
    </row>
    <row r="98" spans="1:14" hidden="1">
      <c r="A98" s="55">
        <v>59</v>
      </c>
      <c r="B98" s="55" t="s">
        <v>407</v>
      </c>
      <c r="C98" s="55" t="s">
        <v>19</v>
      </c>
      <c r="D98" s="22">
        <v>63</v>
      </c>
      <c r="E98" s="22">
        <v>22</v>
      </c>
      <c r="F98" s="22">
        <v>334</v>
      </c>
      <c r="G98" s="22">
        <v>141</v>
      </c>
      <c r="H98" s="55">
        <v>186.36</v>
      </c>
      <c r="I98" s="55">
        <v>136.88</v>
      </c>
      <c r="J98" s="55">
        <v>0.38</v>
      </c>
      <c r="K98" s="55">
        <v>0.41</v>
      </c>
      <c r="L98" s="55">
        <v>0.15</v>
      </c>
      <c r="M98" s="55">
        <v>0.19</v>
      </c>
      <c r="N98" s="55"/>
    </row>
    <row r="99" spans="1:14" hidden="1">
      <c r="A99" s="55">
        <v>60</v>
      </c>
      <c r="B99" s="55" t="s">
        <v>235</v>
      </c>
      <c r="C99" s="55" t="s">
        <v>19</v>
      </c>
      <c r="D99" s="22">
        <v>25</v>
      </c>
      <c r="E99" s="22">
        <v>0</v>
      </c>
      <c r="F99" s="22">
        <v>330</v>
      </c>
      <c r="G99" s="22">
        <v>1</v>
      </c>
      <c r="H99" s="55">
        <v>0</v>
      </c>
      <c r="I99" s="55">
        <v>32900</v>
      </c>
      <c r="J99" s="55">
        <v>0.15</v>
      </c>
      <c r="K99" s="55">
        <v>0.4</v>
      </c>
      <c r="L99" s="55">
        <v>0</v>
      </c>
      <c r="M99" s="55">
        <v>0</v>
      </c>
      <c r="N99" s="55"/>
    </row>
    <row r="100" spans="1:14">
      <c r="A100" s="55">
        <v>61</v>
      </c>
      <c r="B100" s="55" t="s">
        <v>484</v>
      </c>
      <c r="C100" s="55" t="s">
        <v>20</v>
      </c>
      <c r="D100" s="22">
        <v>9</v>
      </c>
      <c r="E100" s="22">
        <v>51</v>
      </c>
      <c r="F100" s="22">
        <v>319</v>
      </c>
      <c r="G100" s="22">
        <v>197</v>
      </c>
      <c r="H100" s="55">
        <v>-82.35</v>
      </c>
      <c r="I100" s="55">
        <v>61.93</v>
      </c>
      <c r="J100" s="55">
        <v>0.05</v>
      </c>
      <c r="K100" s="55">
        <v>0.39</v>
      </c>
      <c r="L100" s="55">
        <v>0.35</v>
      </c>
      <c r="M100" s="55">
        <v>0.26</v>
      </c>
      <c r="N100" s="55"/>
    </row>
    <row r="101" spans="1:14">
      <c r="A101" s="55">
        <v>62</v>
      </c>
      <c r="B101" s="55" t="s">
        <v>601</v>
      </c>
      <c r="C101" s="55" t="s">
        <v>20</v>
      </c>
      <c r="D101" s="22">
        <v>6</v>
      </c>
      <c r="E101" s="22">
        <v>1</v>
      </c>
      <c r="F101" s="22">
        <v>316</v>
      </c>
      <c r="G101" s="22">
        <v>290</v>
      </c>
      <c r="H101" s="55">
        <v>500</v>
      </c>
      <c r="I101" s="55">
        <v>8.9700000000000006</v>
      </c>
      <c r="J101" s="55">
        <v>0.04</v>
      </c>
      <c r="K101" s="55">
        <v>0.39</v>
      </c>
      <c r="L101" s="55">
        <v>0.01</v>
      </c>
      <c r="M101" s="55">
        <v>0.39</v>
      </c>
      <c r="N101" s="55"/>
    </row>
    <row r="102" spans="1:14" hidden="1">
      <c r="A102" s="55">
        <v>63</v>
      </c>
      <c r="B102" s="55" t="s">
        <v>374</v>
      </c>
      <c r="C102" s="55" t="s">
        <v>19</v>
      </c>
      <c r="D102" s="22">
        <v>21</v>
      </c>
      <c r="E102" s="22">
        <v>165</v>
      </c>
      <c r="F102" s="22">
        <v>310</v>
      </c>
      <c r="G102" s="22">
        <v>707</v>
      </c>
      <c r="H102" s="55">
        <v>-87.27</v>
      </c>
      <c r="I102" s="55">
        <v>-56.15</v>
      </c>
      <c r="J102" s="55">
        <v>0.13</v>
      </c>
      <c r="K102" s="55">
        <v>0.38</v>
      </c>
      <c r="L102" s="55">
        <v>1.1499999999999999</v>
      </c>
      <c r="M102" s="55">
        <v>0.94</v>
      </c>
      <c r="N102" s="55"/>
    </row>
    <row r="103" spans="1:14">
      <c r="A103" s="55">
        <v>64</v>
      </c>
      <c r="B103" s="55" t="s">
        <v>408</v>
      </c>
      <c r="C103" s="55" t="s">
        <v>20</v>
      </c>
      <c r="D103" s="22">
        <v>74</v>
      </c>
      <c r="E103" s="22">
        <v>50</v>
      </c>
      <c r="F103" s="22">
        <v>292</v>
      </c>
      <c r="G103" s="22">
        <v>290</v>
      </c>
      <c r="H103" s="55">
        <v>48</v>
      </c>
      <c r="I103" s="55">
        <v>0.69</v>
      </c>
      <c r="J103" s="55">
        <v>0.44</v>
      </c>
      <c r="K103" s="55">
        <v>0.36</v>
      </c>
      <c r="L103" s="55">
        <v>0.35</v>
      </c>
      <c r="M103" s="55">
        <v>0.39</v>
      </c>
      <c r="N103" s="55"/>
    </row>
    <row r="104" spans="1:14" hidden="1">
      <c r="A104" s="55">
        <v>65</v>
      </c>
      <c r="B104" s="55" t="s">
        <v>392</v>
      </c>
      <c r="C104" s="55" t="s">
        <v>19</v>
      </c>
      <c r="D104" s="22">
        <v>59</v>
      </c>
      <c r="E104" s="22">
        <v>179</v>
      </c>
      <c r="F104" s="22">
        <v>269</v>
      </c>
      <c r="G104" s="22">
        <v>673</v>
      </c>
      <c r="H104" s="55">
        <v>-67.040000000000006</v>
      </c>
      <c r="I104" s="55">
        <v>-60.03</v>
      </c>
      <c r="J104" s="55">
        <v>0.35</v>
      </c>
      <c r="K104" s="55">
        <v>0.33</v>
      </c>
      <c r="L104" s="55">
        <v>1.25</v>
      </c>
      <c r="M104" s="55">
        <v>0.9</v>
      </c>
      <c r="N104" s="55"/>
    </row>
    <row r="105" spans="1:14">
      <c r="A105" s="55">
        <v>66</v>
      </c>
      <c r="B105" s="55" t="s">
        <v>138</v>
      </c>
      <c r="C105" s="55" t="s">
        <v>20</v>
      </c>
      <c r="D105" s="22">
        <v>83</v>
      </c>
      <c r="E105" s="22">
        <v>0</v>
      </c>
      <c r="F105" s="22">
        <v>263</v>
      </c>
      <c r="G105" s="22">
        <v>0</v>
      </c>
      <c r="H105" s="55">
        <v>0</v>
      </c>
      <c r="I105" s="55">
        <v>0</v>
      </c>
      <c r="J105" s="55">
        <v>0.5</v>
      </c>
      <c r="K105" s="55">
        <v>0.32</v>
      </c>
      <c r="L105" s="55">
        <v>0</v>
      </c>
      <c r="M105" s="55">
        <v>0</v>
      </c>
      <c r="N105" s="55"/>
    </row>
    <row r="106" spans="1:14" hidden="1">
      <c r="A106" s="55">
        <v>67</v>
      </c>
      <c r="B106" s="55" t="s">
        <v>353</v>
      </c>
      <c r="C106" s="55" t="s">
        <v>19</v>
      </c>
      <c r="D106" s="22">
        <v>56</v>
      </c>
      <c r="E106" s="22">
        <v>37</v>
      </c>
      <c r="F106" s="22">
        <v>255</v>
      </c>
      <c r="G106" s="22">
        <v>318</v>
      </c>
      <c r="H106" s="55">
        <v>51.35</v>
      </c>
      <c r="I106" s="55">
        <v>-19.809999999999999</v>
      </c>
      <c r="J106" s="55">
        <v>0.33</v>
      </c>
      <c r="K106" s="55">
        <v>0.31</v>
      </c>
      <c r="L106" s="55">
        <v>0.26</v>
      </c>
      <c r="M106" s="55">
        <v>0.42</v>
      </c>
      <c r="N106" s="55"/>
    </row>
    <row r="107" spans="1:14">
      <c r="A107" s="55">
        <v>68</v>
      </c>
      <c r="B107" s="55" t="s">
        <v>413</v>
      </c>
      <c r="C107" s="55" t="s">
        <v>20</v>
      </c>
      <c r="D107" s="22">
        <v>9</v>
      </c>
      <c r="E107" s="22">
        <v>92</v>
      </c>
      <c r="F107" s="22">
        <v>240</v>
      </c>
      <c r="G107" s="22">
        <v>654</v>
      </c>
      <c r="H107" s="55">
        <v>-90.22</v>
      </c>
      <c r="I107" s="55">
        <v>-63.3</v>
      </c>
      <c r="J107" s="55">
        <v>0.05</v>
      </c>
      <c r="K107" s="55">
        <v>0.28999999999999998</v>
      </c>
      <c r="L107" s="55">
        <v>0.64</v>
      </c>
      <c r="M107" s="55">
        <v>0.87</v>
      </c>
      <c r="N107" s="55"/>
    </row>
    <row r="108" spans="1:14" hidden="1">
      <c r="A108" s="55">
        <v>69</v>
      </c>
      <c r="B108" s="55" t="s">
        <v>655</v>
      </c>
      <c r="C108" s="55" t="s">
        <v>19</v>
      </c>
      <c r="D108" s="22">
        <v>74</v>
      </c>
      <c r="E108" s="22">
        <v>25</v>
      </c>
      <c r="F108" s="22">
        <v>234</v>
      </c>
      <c r="G108" s="22">
        <v>157</v>
      </c>
      <c r="H108" s="55">
        <v>196</v>
      </c>
      <c r="I108" s="55">
        <v>49.04</v>
      </c>
      <c r="J108" s="55">
        <v>0.44</v>
      </c>
      <c r="K108" s="55">
        <v>0.28999999999999998</v>
      </c>
      <c r="L108" s="55">
        <v>0.17</v>
      </c>
      <c r="M108" s="55">
        <v>0.21</v>
      </c>
      <c r="N108" s="55"/>
    </row>
    <row r="109" spans="1:14" hidden="1">
      <c r="A109" s="55">
        <v>70</v>
      </c>
      <c r="B109" s="55" t="s">
        <v>632</v>
      </c>
      <c r="C109" s="55" t="s">
        <v>19</v>
      </c>
      <c r="D109" s="22">
        <v>132</v>
      </c>
      <c r="E109" s="22">
        <v>59</v>
      </c>
      <c r="F109" s="22">
        <v>232</v>
      </c>
      <c r="G109" s="22">
        <v>194</v>
      </c>
      <c r="H109" s="55">
        <v>123.73</v>
      </c>
      <c r="I109" s="55">
        <v>19.59</v>
      </c>
      <c r="J109" s="55">
        <v>0.79</v>
      </c>
      <c r="K109" s="55">
        <v>0.28000000000000003</v>
      </c>
      <c r="L109" s="55">
        <v>0.41</v>
      </c>
      <c r="M109" s="55">
        <v>0.26</v>
      </c>
      <c r="N109" s="55"/>
    </row>
    <row r="110" spans="1:14" hidden="1">
      <c r="A110" s="55">
        <v>71</v>
      </c>
      <c r="B110" s="55" t="s">
        <v>399</v>
      </c>
      <c r="C110" s="55" t="s">
        <v>19</v>
      </c>
      <c r="D110" s="22">
        <v>19</v>
      </c>
      <c r="E110" s="22">
        <v>75</v>
      </c>
      <c r="F110" s="22">
        <v>229</v>
      </c>
      <c r="G110" s="22">
        <v>351</v>
      </c>
      <c r="H110" s="55">
        <v>-74.67</v>
      </c>
      <c r="I110" s="55">
        <v>-34.76</v>
      </c>
      <c r="J110" s="55">
        <v>0.11</v>
      </c>
      <c r="K110" s="55">
        <v>0.28000000000000003</v>
      </c>
      <c r="L110" s="55">
        <v>0.52</v>
      </c>
      <c r="M110" s="55">
        <v>0.47</v>
      </c>
      <c r="N110" s="55"/>
    </row>
    <row r="111" spans="1:14">
      <c r="A111" s="55">
        <v>72</v>
      </c>
      <c r="B111" s="55" t="s">
        <v>574</v>
      </c>
      <c r="C111" s="55" t="s">
        <v>20</v>
      </c>
      <c r="D111" s="22">
        <v>29</v>
      </c>
      <c r="E111" s="22">
        <v>36</v>
      </c>
      <c r="F111" s="22">
        <v>225</v>
      </c>
      <c r="G111" s="22">
        <v>352</v>
      </c>
      <c r="H111" s="55">
        <v>-19.440000000000001</v>
      </c>
      <c r="I111" s="55">
        <v>-36.08</v>
      </c>
      <c r="J111" s="55">
        <v>0.17</v>
      </c>
      <c r="K111" s="55">
        <v>0.28000000000000003</v>
      </c>
      <c r="L111" s="55">
        <v>0.25</v>
      </c>
      <c r="M111" s="55">
        <v>0.47</v>
      </c>
      <c r="N111" s="55"/>
    </row>
    <row r="112" spans="1:14">
      <c r="A112" s="55">
        <v>73</v>
      </c>
      <c r="B112" s="55" t="s">
        <v>642</v>
      </c>
      <c r="C112" s="55" t="s">
        <v>20</v>
      </c>
      <c r="D112" s="22">
        <v>39</v>
      </c>
      <c r="E112" s="22">
        <v>32</v>
      </c>
      <c r="F112" s="22">
        <v>222</v>
      </c>
      <c r="G112" s="22">
        <v>156</v>
      </c>
      <c r="H112" s="55">
        <v>21.88</v>
      </c>
      <c r="I112" s="55">
        <v>42.31</v>
      </c>
      <c r="J112" s="55">
        <v>0.23</v>
      </c>
      <c r="K112" s="55">
        <v>0.27</v>
      </c>
      <c r="L112" s="55">
        <v>0.22</v>
      </c>
      <c r="M112" s="55">
        <v>0.21</v>
      </c>
      <c r="N112" s="55"/>
    </row>
    <row r="113" spans="1:14" hidden="1">
      <c r="A113" s="55">
        <v>74</v>
      </c>
      <c r="B113" s="55" t="s">
        <v>375</v>
      </c>
      <c r="C113" s="55" t="s">
        <v>19</v>
      </c>
      <c r="D113" s="22">
        <v>68</v>
      </c>
      <c r="E113" s="22">
        <v>7</v>
      </c>
      <c r="F113" s="22">
        <v>217</v>
      </c>
      <c r="G113" s="22">
        <v>60</v>
      </c>
      <c r="H113" s="55">
        <v>871.43</v>
      </c>
      <c r="I113" s="55">
        <v>261.67</v>
      </c>
      <c r="J113" s="55">
        <v>0.41</v>
      </c>
      <c r="K113" s="55">
        <v>0.27</v>
      </c>
      <c r="L113" s="55">
        <v>0.05</v>
      </c>
      <c r="M113" s="55">
        <v>0.08</v>
      </c>
      <c r="N113" s="55"/>
    </row>
    <row r="114" spans="1:14">
      <c r="A114" s="55">
        <v>75</v>
      </c>
      <c r="B114" s="55" t="s">
        <v>1097</v>
      </c>
      <c r="C114" s="55" t="s">
        <v>20</v>
      </c>
      <c r="D114" s="22">
        <v>54</v>
      </c>
      <c r="E114" s="22">
        <v>3</v>
      </c>
      <c r="F114" s="22">
        <v>209</v>
      </c>
      <c r="G114" s="22">
        <v>3</v>
      </c>
      <c r="H114" s="55">
        <v>1700</v>
      </c>
      <c r="I114" s="55">
        <v>6866.67</v>
      </c>
      <c r="J114" s="55">
        <v>0.32</v>
      </c>
      <c r="K114" s="55">
        <v>0.26</v>
      </c>
      <c r="L114" s="55">
        <v>0.02</v>
      </c>
      <c r="M114" s="55">
        <v>0</v>
      </c>
      <c r="N114" s="55"/>
    </row>
    <row r="115" spans="1:14" hidden="1">
      <c r="A115" s="55">
        <v>76</v>
      </c>
      <c r="B115" s="55" t="s">
        <v>376</v>
      </c>
      <c r="C115" s="55" t="s">
        <v>19</v>
      </c>
      <c r="D115" s="22">
        <v>20</v>
      </c>
      <c r="E115" s="22">
        <v>10</v>
      </c>
      <c r="F115" s="22">
        <v>203</v>
      </c>
      <c r="G115" s="22">
        <v>296</v>
      </c>
      <c r="H115" s="55">
        <v>100</v>
      </c>
      <c r="I115" s="55">
        <v>-31.42</v>
      </c>
      <c r="J115" s="55">
        <v>0.12</v>
      </c>
      <c r="K115" s="55">
        <v>0.25</v>
      </c>
      <c r="L115" s="55">
        <v>7.0000000000000007E-2</v>
      </c>
      <c r="M115" s="55">
        <v>0.4</v>
      </c>
      <c r="N115" s="55"/>
    </row>
    <row r="116" spans="1:14" hidden="1">
      <c r="A116" s="55">
        <v>77</v>
      </c>
      <c r="B116" s="55" t="s">
        <v>404</v>
      </c>
      <c r="C116" s="55" t="s">
        <v>19</v>
      </c>
      <c r="D116" s="22">
        <v>43</v>
      </c>
      <c r="E116" s="22">
        <v>95</v>
      </c>
      <c r="F116" s="22">
        <v>197</v>
      </c>
      <c r="G116" s="22">
        <v>773</v>
      </c>
      <c r="H116" s="55">
        <v>-54.74</v>
      </c>
      <c r="I116" s="55">
        <v>-74.510000000000005</v>
      </c>
      <c r="J116" s="55">
        <v>0.26</v>
      </c>
      <c r="K116" s="55">
        <v>0.24</v>
      </c>
      <c r="L116" s="55">
        <v>0.66</v>
      </c>
      <c r="M116" s="55">
        <v>1.03</v>
      </c>
      <c r="N116" s="55"/>
    </row>
    <row r="117" spans="1:14" hidden="1">
      <c r="A117" s="55">
        <v>78</v>
      </c>
      <c r="B117" s="55" t="s">
        <v>40</v>
      </c>
      <c r="C117" s="55" t="s">
        <v>19</v>
      </c>
      <c r="D117" s="22">
        <v>72</v>
      </c>
      <c r="E117" s="22">
        <v>18</v>
      </c>
      <c r="F117" s="22">
        <v>197</v>
      </c>
      <c r="G117" s="22">
        <v>130</v>
      </c>
      <c r="H117" s="55">
        <v>300</v>
      </c>
      <c r="I117" s="55">
        <v>51.54</v>
      </c>
      <c r="J117" s="55">
        <v>0.43</v>
      </c>
      <c r="K117" s="55">
        <v>0.24</v>
      </c>
      <c r="L117" s="55">
        <v>0.13</v>
      </c>
      <c r="M117" s="55">
        <v>0.17</v>
      </c>
      <c r="N117" s="55"/>
    </row>
    <row r="118" spans="1:14" hidden="1">
      <c r="A118" s="55">
        <v>79</v>
      </c>
      <c r="B118" s="55" t="s">
        <v>433</v>
      </c>
      <c r="C118" s="55" t="s">
        <v>19</v>
      </c>
      <c r="D118" s="22">
        <v>25</v>
      </c>
      <c r="E118" s="22">
        <v>64</v>
      </c>
      <c r="F118" s="22">
        <v>192</v>
      </c>
      <c r="G118" s="22">
        <v>418</v>
      </c>
      <c r="H118" s="55">
        <v>-60.94</v>
      </c>
      <c r="I118" s="55">
        <v>-54.07</v>
      </c>
      <c r="J118" s="55">
        <v>0.15</v>
      </c>
      <c r="K118" s="55">
        <v>0.24</v>
      </c>
      <c r="L118" s="55">
        <v>0.45</v>
      </c>
      <c r="M118" s="55">
        <v>0.56000000000000005</v>
      </c>
      <c r="N118" s="55"/>
    </row>
    <row r="119" spans="1:14">
      <c r="A119" s="55">
        <v>80</v>
      </c>
      <c r="B119" s="55" t="s">
        <v>594</v>
      </c>
      <c r="C119" s="55" t="s">
        <v>20</v>
      </c>
      <c r="D119" s="22">
        <v>77</v>
      </c>
      <c r="E119" s="22">
        <v>68</v>
      </c>
      <c r="F119" s="22">
        <v>183</v>
      </c>
      <c r="G119" s="22">
        <v>729</v>
      </c>
      <c r="H119" s="55">
        <v>13.24</v>
      </c>
      <c r="I119" s="55">
        <v>-74.900000000000006</v>
      </c>
      <c r="J119" s="55">
        <v>0.46</v>
      </c>
      <c r="K119" s="55">
        <v>0.22</v>
      </c>
      <c r="L119" s="55">
        <v>0.47</v>
      </c>
      <c r="M119" s="55">
        <v>0.97</v>
      </c>
      <c r="N119" s="55"/>
    </row>
    <row r="120" spans="1:14" hidden="1">
      <c r="A120" s="55">
        <v>81</v>
      </c>
      <c r="B120" s="55" t="s">
        <v>173</v>
      </c>
      <c r="C120" s="55" t="s">
        <v>19</v>
      </c>
      <c r="D120" s="22">
        <v>31</v>
      </c>
      <c r="E120" s="22">
        <v>35</v>
      </c>
      <c r="F120" s="22">
        <v>178</v>
      </c>
      <c r="G120" s="22">
        <v>233</v>
      </c>
      <c r="H120" s="55">
        <v>-11.43</v>
      </c>
      <c r="I120" s="55">
        <v>-23.61</v>
      </c>
      <c r="J120" s="55">
        <v>0.19</v>
      </c>
      <c r="K120" s="55">
        <v>0.22</v>
      </c>
      <c r="L120" s="55">
        <v>0.24</v>
      </c>
      <c r="M120" s="55">
        <v>0.31</v>
      </c>
      <c r="N120" s="55"/>
    </row>
    <row r="121" spans="1:14" hidden="1">
      <c r="A121" s="55">
        <v>82</v>
      </c>
      <c r="B121" s="55" t="s">
        <v>361</v>
      </c>
      <c r="C121" s="55" t="s">
        <v>19</v>
      </c>
      <c r="D121" s="22">
        <v>27</v>
      </c>
      <c r="E121" s="22">
        <v>175</v>
      </c>
      <c r="F121" s="22">
        <v>165</v>
      </c>
      <c r="G121" s="22">
        <v>832</v>
      </c>
      <c r="H121" s="55">
        <v>-84.57</v>
      </c>
      <c r="I121" s="55">
        <v>-80.17</v>
      </c>
      <c r="J121" s="55">
        <v>0.16</v>
      </c>
      <c r="K121" s="55">
        <v>0.2</v>
      </c>
      <c r="L121" s="55">
        <v>1.22</v>
      </c>
      <c r="M121" s="55">
        <v>1.1100000000000001</v>
      </c>
      <c r="N121" s="55"/>
    </row>
    <row r="122" spans="1:14">
      <c r="A122" s="55">
        <v>83</v>
      </c>
      <c r="B122" s="55" t="s">
        <v>398</v>
      </c>
      <c r="C122" s="55" t="s">
        <v>20</v>
      </c>
      <c r="D122" s="22">
        <v>41</v>
      </c>
      <c r="E122" s="22">
        <v>30</v>
      </c>
      <c r="F122" s="22">
        <v>165</v>
      </c>
      <c r="G122" s="22">
        <v>335</v>
      </c>
      <c r="H122" s="55">
        <v>36.67</v>
      </c>
      <c r="I122" s="55">
        <v>-50.75</v>
      </c>
      <c r="J122" s="55">
        <v>0.24</v>
      </c>
      <c r="K122" s="55">
        <v>0.2</v>
      </c>
      <c r="L122" s="55">
        <v>0.21</v>
      </c>
      <c r="M122" s="55">
        <v>0.45</v>
      </c>
      <c r="N122" s="55"/>
    </row>
    <row r="123" spans="1:14" hidden="1">
      <c r="A123" s="55">
        <v>84</v>
      </c>
      <c r="B123" s="55" t="s">
        <v>434</v>
      </c>
      <c r="C123" s="55" t="s">
        <v>19</v>
      </c>
      <c r="D123" s="22">
        <v>52</v>
      </c>
      <c r="E123" s="22">
        <v>15</v>
      </c>
      <c r="F123" s="22">
        <v>147</v>
      </c>
      <c r="G123" s="22">
        <v>213</v>
      </c>
      <c r="H123" s="55">
        <v>246.67</v>
      </c>
      <c r="I123" s="55">
        <v>-30.99</v>
      </c>
      <c r="J123" s="55">
        <v>0.31</v>
      </c>
      <c r="K123" s="55">
        <v>0.18</v>
      </c>
      <c r="L123" s="55">
        <v>0.1</v>
      </c>
      <c r="M123" s="55">
        <v>0.28000000000000003</v>
      </c>
      <c r="N123" s="55"/>
    </row>
    <row r="124" spans="1:14" hidden="1">
      <c r="A124" s="55">
        <v>85</v>
      </c>
      <c r="B124" s="55" t="s">
        <v>1041</v>
      </c>
      <c r="C124" s="55" t="s">
        <v>19</v>
      </c>
      <c r="D124" s="22">
        <v>12</v>
      </c>
      <c r="E124" s="22">
        <v>0</v>
      </c>
      <c r="F124" s="22">
        <v>147</v>
      </c>
      <c r="G124" s="22">
        <v>0</v>
      </c>
      <c r="H124" s="55">
        <v>0</v>
      </c>
      <c r="I124" s="55">
        <v>0</v>
      </c>
      <c r="J124" s="55">
        <v>7.0000000000000007E-2</v>
      </c>
      <c r="K124" s="55">
        <v>0.18</v>
      </c>
      <c r="L124" s="55">
        <v>0</v>
      </c>
      <c r="M124" s="55">
        <v>0</v>
      </c>
      <c r="N124" s="55"/>
    </row>
    <row r="125" spans="1:14">
      <c r="A125" s="55">
        <v>86</v>
      </c>
      <c r="B125" s="55" t="s">
        <v>1007</v>
      </c>
      <c r="C125" s="55" t="s">
        <v>20</v>
      </c>
      <c r="D125" s="22">
        <v>37</v>
      </c>
      <c r="E125" s="22">
        <v>0</v>
      </c>
      <c r="F125" s="22">
        <v>146</v>
      </c>
      <c r="G125" s="22">
        <v>0</v>
      </c>
      <c r="H125" s="55">
        <v>0</v>
      </c>
      <c r="I125" s="55">
        <v>0</v>
      </c>
      <c r="J125" s="55">
        <v>0.22</v>
      </c>
      <c r="K125" s="55">
        <v>0.18</v>
      </c>
      <c r="L125" s="55">
        <v>0</v>
      </c>
      <c r="M125" s="55">
        <v>0</v>
      </c>
      <c r="N125" s="55"/>
    </row>
    <row r="126" spans="1:14" hidden="1">
      <c r="A126" s="55">
        <v>87</v>
      </c>
      <c r="B126" s="55" t="s">
        <v>385</v>
      </c>
      <c r="C126" s="55" t="s">
        <v>19</v>
      </c>
      <c r="D126" s="22">
        <v>30</v>
      </c>
      <c r="E126" s="22">
        <v>8</v>
      </c>
      <c r="F126" s="22">
        <v>145</v>
      </c>
      <c r="G126" s="22">
        <v>113</v>
      </c>
      <c r="H126" s="55">
        <v>275</v>
      </c>
      <c r="I126" s="55">
        <v>28.32</v>
      </c>
      <c r="J126" s="55">
        <v>0.18</v>
      </c>
      <c r="K126" s="55">
        <v>0.18</v>
      </c>
      <c r="L126" s="55">
        <v>0.06</v>
      </c>
      <c r="M126" s="55">
        <v>0.15</v>
      </c>
      <c r="N126" s="55"/>
    </row>
    <row r="127" spans="1:14" hidden="1">
      <c r="A127" s="55">
        <v>88</v>
      </c>
      <c r="B127" s="55" t="s">
        <v>588</v>
      </c>
      <c r="C127" s="55" t="s">
        <v>19</v>
      </c>
      <c r="D127" s="22">
        <v>1</v>
      </c>
      <c r="E127" s="22">
        <v>337</v>
      </c>
      <c r="F127" s="22">
        <v>143</v>
      </c>
      <c r="G127" s="22">
        <v>1284</v>
      </c>
      <c r="H127" s="55">
        <v>-99.7</v>
      </c>
      <c r="I127" s="55">
        <v>-88.86</v>
      </c>
      <c r="J127" s="55">
        <v>0.01</v>
      </c>
      <c r="K127" s="55">
        <v>0.18</v>
      </c>
      <c r="L127" s="55">
        <v>2.34</v>
      </c>
      <c r="M127" s="55">
        <v>1.72</v>
      </c>
      <c r="N127" s="55"/>
    </row>
    <row r="128" spans="1:14" hidden="1">
      <c r="A128" s="55">
        <v>89</v>
      </c>
      <c r="B128" s="55" t="s">
        <v>416</v>
      </c>
      <c r="C128" s="55" t="s">
        <v>19</v>
      </c>
      <c r="D128" s="22">
        <v>15</v>
      </c>
      <c r="E128" s="22">
        <v>20</v>
      </c>
      <c r="F128" s="22">
        <v>137</v>
      </c>
      <c r="G128" s="22">
        <v>223</v>
      </c>
      <c r="H128" s="55">
        <v>-25</v>
      </c>
      <c r="I128" s="55">
        <v>-38.57</v>
      </c>
      <c r="J128" s="55">
        <v>0.09</v>
      </c>
      <c r="K128" s="55">
        <v>0.17</v>
      </c>
      <c r="L128" s="55">
        <v>0.14000000000000001</v>
      </c>
      <c r="M128" s="55">
        <v>0.3</v>
      </c>
      <c r="N128" s="55"/>
    </row>
    <row r="129" spans="1:14">
      <c r="A129" s="55">
        <v>90</v>
      </c>
      <c r="B129" s="55" t="s">
        <v>444</v>
      </c>
      <c r="C129" s="55" t="s">
        <v>20</v>
      </c>
      <c r="D129" s="22">
        <v>19</v>
      </c>
      <c r="E129" s="22">
        <v>2</v>
      </c>
      <c r="F129" s="22">
        <v>132</v>
      </c>
      <c r="G129" s="22">
        <v>68</v>
      </c>
      <c r="H129" s="55">
        <v>850</v>
      </c>
      <c r="I129" s="55">
        <v>94.12</v>
      </c>
      <c r="J129" s="55">
        <v>0.11</v>
      </c>
      <c r="K129" s="55">
        <v>0.16</v>
      </c>
      <c r="L129" s="55">
        <v>0.01</v>
      </c>
      <c r="M129" s="55">
        <v>0.09</v>
      </c>
      <c r="N129" s="55"/>
    </row>
    <row r="130" spans="1:14" hidden="1">
      <c r="A130" s="55">
        <v>91</v>
      </c>
      <c r="B130" s="55" t="s">
        <v>992</v>
      </c>
      <c r="C130" s="55" t="s">
        <v>19</v>
      </c>
      <c r="D130" s="22">
        <v>7</v>
      </c>
      <c r="E130" s="22">
        <v>0</v>
      </c>
      <c r="F130" s="22">
        <v>116</v>
      </c>
      <c r="G130" s="22">
        <v>0</v>
      </c>
      <c r="H130" s="55">
        <v>0</v>
      </c>
      <c r="I130" s="55">
        <v>0</v>
      </c>
      <c r="J130" s="55">
        <v>0.04</v>
      </c>
      <c r="K130" s="55">
        <v>0.14000000000000001</v>
      </c>
      <c r="L130" s="55">
        <v>0</v>
      </c>
      <c r="M130" s="55">
        <v>0</v>
      </c>
      <c r="N130" s="55"/>
    </row>
    <row r="131" spans="1:14" hidden="1">
      <c r="A131" s="55">
        <v>92</v>
      </c>
      <c r="B131" s="55" t="s">
        <v>499</v>
      </c>
      <c r="C131" s="55" t="s">
        <v>19</v>
      </c>
      <c r="D131" s="22">
        <v>38</v>
      </c>
      <c r="E131" s="22">
        <v>27</v>
      </c>
      <c r="F131" s="22">
        <v>111</v>
      </c>
      <c r="G131" s="22">
        <v>126</v>
      </c>
      <c r="H131" s="55">
        <v>40.74</v>
      </c>
      <c r="I131" s="55">
        <v>-11.9</v>
      </c>
      <c r="J131" s="55">
        <v>0.23</v>
      </c>
      <c r="K131" s="55">
        <v>0.14000000000000001</v>
      </c>
      <c r="L131" s="55">
        <v>0.19</v>
      </c>
      <c r="M131" s="55">
        <v>0.17</v>
      </c>
      <c r="N131" s="55"/>
    </row>
    <row r="132" spans="1:14" hidden="1">
      <c r="A132" s="55">
        <v>93</v>
      </c>
      <c r="B132" s="55" t="s">
        <v>148</v>
      </c>
      <c r="C132" s="55" t="s">
        <v>19</v>
      </c>
      <c r="D132" s="22">
        <v>51</v>
      </c>
      <c r="E132" s="22">
        <v>98</v>
      </c>
      <c r="F132" s="22">
        <v>108</v>
      </c>
      <c r="G132" s="22">
        <v>176</v>
      </c>
      <c r="H132" s="55">
        <v>-47.96</v>
      </c>
      <c r="I132" s="55">
        <v>-38.64</v>
      </c>
      <c r="J132" s="55">
        <v>0.3</v>
      </c>
      <c r="K132" s="55">
        <v>0.13</v>
      </c>
      <c r="L132" s="55">
        <v>0.68</v>
      </c>
      <c r="M132" s="55">
        <v>0.24</v>
      </c>
      <c r="N132" s="55"/>
    </row>
    <row r="133" spans="1:14" hidden="1">
      <c r="A133" s="55">
        <v>94</v>
      </c>
      <c r="B133" s="55" t="s">
        <v>415</v>
      </c>
      <c r="C133" s="55" t="s">
        <v>19</v>
      </c>
      <c r="D133" s="22">
        <v>7</v>
      </c>
      <c r="E133" s="22">
        <v>46</v>
      </c>
      <c r="F133" s="22">
        <v>108</v>
      </c>
      <c r="G133" s="22">
        <v>114</v>
      </c>
      <c r="H133" s="55">
        <v>-84.78</v>
      </c>
      <c r="I133" s="55">
        <v>-5.26</v>
      </c>
      <c r="J133" s="55">
        <v>0.04</v>
      </c>
      <c r="K133" s="55">
        <v>0.13</v>
      </c>
      <c r="L133" s="55">
        <v>0.32</v>
      </c>
      <c r="M133" s="55">
        <v>0.15</v>
      </c>
      <c r="N133" s="55"/>
    </row>
    <row r="134" spans="1:14">
      <c r="A134" s="55">
        <v>95</v>
      </c>
      <c r="B134" s="55" t="s">
        <v>614</v>
      </c>
      <c r="C134" s="55" t="s">
        <v>20</v>
      </c>
      <c r="D134" s="22">
        <v>29</v>
      </c>
      <c r="E134" s="22">
        <v>109</v>
      </c>
      <c r="F134" s="22">
        <v>107</v>
      </c>
      <c r="G134" s="22">
        <v>340</v>
      </c>
      <c r="H134" s="55">
        <v>-73.39</v>
      </c>
      <c r="I134" s="55">
        <v>-68.53</v>
      </c>
      <c r="J134" s="55">
        <v>0.17</v>
      </c>
      <c r="K134" s="55">
        <v>0.13</v>
      </c>
      <c r="L134" s="55">
        <v>0.76</v>
      </c>
      <c r="M134" s="55">
        <v>0.45</v>
      </c>
      <c r="N134" s="55"/>
    </row>
    <row r="135" spans="1:14">
      <c r="A135" s="55">
        <v>96</v>
      </c>
      <c r="B135" s="55" t="s">
        <v>79</v>
      </c>
      <c r="C135" s="55" t="s">
        <v>20</v>
      </c>
      <c r="D135" s="22">
        <v>3</v>
      </c>
      <c r="E135" s="22">
        <v>94</v>
      </c>
      <c r="F135" s="22">
        <v>106</v>
      </c>
      <c r="G135" s="22">
        <v>429</v>
      </c>
      <c r="H135" s="55">
        <v>-96.81</v>
      </c>
      <c r="I135" s="55">
        <v>-75.290000000000006</v>
      </c>
      <c r="J135" s="55">
        <v>0.02</v>
      </c>
      <c r="K135" s="55">
        <v>0.13</v>
      </c>
      <c r="L135" s="55">
        <v>0.65</v>
      </c>
      <c r="M135" s="55">
        <v>0.56999999999999995</v>
      </c>
      <c r="N135" s="55"/>
    </row>
    <row r="136" spans="1:14" hidden="1">
      <c r="A136" s="55">
        <v>97</v>
      </c>
      <c r="B136" s="55" t="s">
        <v>154</v>
      </c>
      <c r="C136" s="55" t="s">
        <v>19</v>
      </c>
      <c r="D136" s="22">
        <v>24</v>
      </c>
      <c r="E136" s="22">
        <v>100</v>
      </c>
      <c r="F136" s="22">
        <v>105</v>
      </c>
      <c r="G136" s="22">
        <v>267</v>
      </c>
      <c r="H136" s="55">
        <v>-76</v>
      </c>
      <c r="I136" s="55">
        <v>-60.67</v>
      </c>
      <c r="J136" s="55">
        <v>0.14000000000000001</v>
      </c>
      <c r="K136" s="55">
        <v>0.13</v>
      </c>
      <c r="L136" s="55">
        <v>0.7</v>
      </c>
      <c r="M136" s="55">
        <v>0.36</v>
      </c>
      <c r="N136" s="55"/>
    </row>
    <row r="137" spans="1:14">
      <c r="A137" s="55">
        <v>98</v>
      </c>
      <c r="B137" s="55" t="s">
        <v>710</v>
      </c>
      <c r="C137" s="55" t="s">
        <v>20</v>
      </c>
      <c r="D137" s="22">
        <v>16</v>
      </c>
      <c r="E137" s="22">
        <v>2</v>
      </c>
      <c r="F137" s="22">
        <v>94</v>
      </c>
      <c r="G137" s="22">
        <v>2</v>
      </c>
      <c r="H137" s="55">
        <v>700</v>
      </c>
      <c r="I137" s="55">
        <v>4600</v>
      </c>
      <c r="J137" s="55">
        <v>0.1</v>
      </c>
      <c r="K137" s="55">
        <v>0.12</v>
      </c>
      <c r="L137" s="55">
        <v>0.01</v>
      </c>
      <c r="M137" s="55">
        <v>0</v>
      </c>
      <c r="N137" s="55"/>
    </row>
    <row r="138" spans="1:14">
      <c r="A138" s="55">
        <v>99</v>
      </c>
      <c r="B138" s="55" t="s">
        <v>400</v>
      </c>
      <c r="C138" s="55" t="s">
        <v>20</v>
      </c>
      <c r="D138" s="22">
        <v>12</v>
      </c>
      <c r="E138" s="22">
        <v>28</v>
      </c>
      <c r="F138" s="22">
        <v>90</v>
      </c>
      <c r="G138" s="22">
        <v>232</v>
      </c>
      <c r="H138" s="55">
        <v>-57.14</v>
      </c>
      <c r="I138" s="55">
        <v>-61.21</v>
      </c>
      <c r="J138" s="55">
        <v>7.0000000000000007E-2</v>
      </c>
      <c r="K138" s="55">
        <v>0.11</v>
      </c>
      <c r="L138" s="55">
        <v>0.19</v>
      </c>
      <c r="M138" s="55">
        <v>0.31</v>
      </c>
      <c r="N138" s="55"/>
    </row>
    <row r="139" spans="1:14" hidden="1">
      <c r="A139" s="55">
        <v>100</v>
      </c>
      <c r="B139" s="55" t="s">
        <v>236</v>
      </c>
      <c r="C139" s="55" t="s">
        <v>19</v>
      </c>
      <c r="D139" s="22">
        <v>14</v>
      </c>
      <c r="E139" s="22">
        <v>19</v>
      </c>
      <c r="F139" s="22">
        <v>88</v>
      </c>
      <c r="G139" s="22">
        <v>68</v>
      </c>
      <c r="H139" s="55">
        <v>-26.32</v>
      </c>
      <c r="I139" s="55">
        <v>29.41</v>
      </c>
      <c r="J139" s="55">
        <v>0.08</v>
      </c>
      <c r="K139" s="55">
        <v>0.11</v>
      </c>
      <c r="L139" s="55">
        <v>0.13</v>
      </c>
      <c r="M139" s="55">
        <v>0.09</v>
      </c>
      <c r="N139" s="55"/>
    </row>
    <row r="140" spans="1:14">
      <c r="A140" s="55">
        <v>219</v>
      </c>
      <c r="B140" s="55" t="s">
        <v>439</v>
      </c>
      <c r="C140" s="55" t="s">
        <v>20</v>
      </c>
      <c r="D140" s="22">
        <v>31</v>
      </c>
      <c r="E140" s="22">
        <v>23</v>
      </c>
      <c r="F140" s="22">
        <v>86</v>
      </c>
      <c r="G140" s="22">
        <v>72</v>
      </c>
      <c r="H140" s="55">
        <v>34.78</v>
      </c>
      <c r="I140" s="55">
        <v>19.440000000000001</v>
      </c>
      <c r="J140" s="55">
        <v>0.19</v>
      </c>
      <c r="K140" s="55">
        <v>0.11</v>
      </c>
      <c r="L140" s="55">
        <v>0.16</v>
      </c>
      <c r="M140" s="55">
        <v>0.1</v>
      </c>
      <c r="N140" s="55"/>
    </row>
    <row r="141" spans="1:14" hidden="1">
      <c r="A141" s="55">
        <v>101</v>
      </c>
      <c r="B141" s="55" t="s">
        <v>126</v>
      </c>
      <c r="C141" s="55" t="s">
        <v>19</v>
      </c>
      <c r="D141" s="22">
        <v>42</v>
      </c>
      <c r="E141" s="22">
        <v>10</v>
      </c>
      <c r="F141" s="22">
        <v>85</v>
      </c>
      <c r="G141" s="22">
        <v>25</v>
      </c>
      <c r="H141" s="55">
        <v>320</v>
      </c>
      <c r="I141" s="55">
        <v>240</v>
      </c>
      <c r="J141" s="55">
        <v>0.25</v>
      </c>
      <c r="K141" s="55">
        <v>0.1</v>
      </c>
      <c r="L141" s="55">
        <v>7.0000000000000007E-2</v>
      </c>
      <c r="M141" s="55">
        <v>0.03</v>
      </c>
      <c r="N141" s="55"/>
    </row>
    <row r="142" spans="1:14" hidden="1">
      <c r="A142" s="55">
        <v>102</v>
      </c>
      <c r="B142" s="55" t="s">
        <v>1095</v>
      </c>
      <c r="C142" s="55" t="s">
        <v>19</v>
      </c>
      <c r="D142" s="22">
        <v>31</v>
      </c>
      <c r="E142" s="22">
        <v>0</v>
      </c>
      <c r="F142" s="22">
        <v>85</v>
      </c>
      <c r="G142" s="22">
        <v>0</v>
      </c>
      <c r="H142" s="55">
        <v>0</v>
      </c>
      <c r="I142" s="55">
        <v>0</v>
      </c>
      <c r="J142" s="55">
        <v>0.19</v>
      </c>
      <c r="K142" s="55">
        <v>0.1</v>
      </c>
      <c r="L142" s="55">
        <v>0</v>
      </c>
      <c r="M142" s="55">
        <v>0</v>
      </c>
      <c r="N142" s="55"/>
    </row>
    <row r="143" spans="1:14">
      <c r="A143" s="55">
        <v>103</v>
      </c>
      <c r="B143" s="55" t="s">
        <v>1198</v>
      </c>
      <c r="C143" s="55" t="s">
        <v>20</v>
      </c>
      <c r="D143" s="22">
        <v>57</v>
      </c>
      <c r="E143" s="22">
        <v>0</v>
      </c>
      <c r="F143" s="22">
        <v>85</v>
      </c>
      <c r="G143" s="22">
        <v>0</v>
      </c>
      <c r="H143" s="55">
        <v>0</v>
      </c>
      <c r="I143" s="55">
        <v>0</v>
      </c>
      <c r="J143" s="55">
        <v>0.34</v>
      </c>
      <c r="K143" s="55">
        <v>0.1</v>
      </c>
      <c r="L143" s="55">
        <v>0</v>
      </c>
      <c r="M143" s="55">
        <v>0</v>
      </c>
      <c r="N143" s="55"/>
    </row>
    <row r="144" spans="1:14">
      <c r="A144" s="55">
        <v>104</v>
      </c>
      <c r="B144" s="55" t="s">
        <v>435</v>
      </c>
      <c r="C144" s="55" t="s">
        <v>20</v>
      </c>
      <c r="D144" s="22">
        <v>22</v>
      </c>
      <c r="E144" s="22">
        <v>50</v>
      </c>
      <c r="F144" s="22">
        <v>84</v>
      </c>
      <c r="G144" s="22">
        <v>269</v>
      </c>
      <c r="H144" s="55">
        <v>-56</v>
      </c>
      <c r="I144" s="55">
        <v>-68.77</v>
      </c>
      <c r="J144" s="55">
        <v>0.13</v>
      </c>
      <c r="K144" s="55">
        <v>0.1</v>
      </c>
      <c r="L144" s="55">
        <v>0.35</v>
      </c>
      <c r="M144" s="55">
        <v>0.36</v>
      </c>
      <c r="N144" s="55"/>
    </row>
    <row r="145" spans="1:14" hidden="1">
      <c r="A145" s="55">
        <v>105</v>
      </c>
      <c r="B145" s="55" t="s">
        <v>412</v>
      </c>
      <c r="C145" s="55" t="s">
        <v>19</v>
      </c>
      <c r="D145" s="22">
        <v>13</v>
      </c>
      <c r="E145" s="22">
        <v>48</v>
      </c>
      <c r="F145" s="22">
        <v>83</v>
      </c>
      <c r="G145" s="22">
        <v>337</v>
      </c>
      <c r="H145" s="55">
        <v>-72.92</v>
      </c>
      <c r="I145" s="55">
        <v>-75.37</v>
      </c>
      <c r="J145" s="55">
        <v>0.08</v>
      </c>
      <c r="K145" s="55">
        <v>0.1</v>
      </c>
      <c r="L145" s="55">
        <v>0.33</v>
      </c>
      <c r="M145" s="55">
        <v>0.45</v>
      </c>
      <c r="N145" s="55"/>
    </row>
    <row r="146" spans="1:14" hidden="1">
      <c r="A146" s="55">
        <v>106</v>
      </c>
      <c r="B146" s="55" t="s">
        <v>421</v>
      </c>
      <c r="C146" s="55" t="s">
        <v>19</v>
      </c>
      <c r="D146" s="22">
        <v>11</v>
      </c>
      <c r="E146" s="22">
        <v>47</v>
      </c>
      <c r="F146" s="22">
        <v>83</v>
      </c>
      <c r="G146" s="22">
        <v>154</v>
      </c>
      <c r="H146" s="55">
        <v>-76.599999999999994</v>
      </c>
      <c r="I146" s="55">
        <v>-46.1</v>
      </c>
      <c r="J146" s="55">
        <v>7.0000000000000007E-2</v>
      </c>
      <c r="K146" s="55">
        <v>0.1</v>
      </c>
      <c r="L146" s="55">
        <v>0.33</v>
      </c>
      <c r="M146" s="55">
        <v>0.21</v>
      </c>
      <c r="N146" s="55"/>
    </row>
    <row r="147" spans="1:14">
      <c r="A147" s="55">
        <v>107</v>
      </c>
      <c r="B147" s="55" t="s">
        <v>986</v>
      </c>
      <c r="C147" s="55" t="s">
        <v>20</v>
      </c>
      <c r="D147" s="22">
        <v>12</v>
      </c>
      <c r="E147" s="22">
        <v>0</v>
      </c>
      <c r="F147" s="22">
        <v>82</v>
      </c>
      <c r="G147" s="22">
        <v>0</v>
      </c>
      <c r="H147" s="55">
        <v>0</v>
      </c>
      <c r="I147" s="55">
        <v>0</v>
      </c>
      <c r="J147" s="55">
        <v>7.0000000000000007E-2</v>
      </c>
      <c r="K147" s="55">
        <v>0.1</v>
      </c>
      <c r="L147" s="55">
        <v>0</v>
      </c>
      <c r="M147" s="55">
        <v>0</v>
      </c>
      <c r="N147" s="55"/>
    </row>
    <row r="148" spans="1:14" hidden="1">
      <c r="A148" s="55">
        <v>108</v>
      </c>
      <c r="B148" s="55" t="s">
        <v>1038</v>
      </c>
      <c r="C148" s="55" t="s">
        <v>19</v>
      </c>
      <c r="D148" s="22">
        <v>12</v>
      </c>
      <c r="E148" s="22">
        <v>0</v>
      </c>
      <c r="F148" s="22">
        <v>78</v>
      </c>
      <c r="G148" s="22">
        <v>0</v>
      </c>
      <c r="H148" s="55">
        <v>0</v>
      </c>
      <c r="I148" s="55">
        <v>0</v>
      </c>
      <c r="J148" s="55">
        <v>7.0000000000000007E-2</v>
      </c>
      <c r="K148" s="55">
        <v>0.1</v>
      </c>
      <c r="L148" s="55">
        <v>0</v>
      </c>
      <c r="M148" s="55">
        <v>0</v>
      </c>
      <c r="N148" s="55"/>
    </row>
    <row r="149" spans="1:14" hidden="1">
      <c r="A149" s="55">
        <v>109</v>
      </c>
      <c r="B149" s="55" t="s">
        <v>1098</v>
      </c>
      <c r="C149" s="55" t="s">
        <v>19</v>
      </c>
      <c r="D149" s="22">
        <v>13</v>
      </c>
      <c r="E149" s="22">
        <v>0</v>
      </c>
      <c r="F149" s="22">
        <v>77</v>
      </c>
      <c r="G149" s="22">
        <v>0</v>
      </c>
      <c r="H149" s="55">
        <v>0</v>
      </c>
      <c r="I149" s="55">
        <v>0</v>
      </c>
      <c r="J149" s="55">
        <v>0.08</v>
      </c>
      <c r="K149" s="55">
        <v>0.09</v>
      </c>
      <c r="L149" s="55">
        <v>0</v>
      </c>
      <c r="M149" s="55">
        <v>0</v>
      </c>
      <c r="N149" s="55"/>
    </row>
    <row r="150" spans="1:14" hidden="1">
      <c r="A150" s="55">
        <v>110</v>
      </c>
      <c r="B150" s="55" t="s">
        <v>494</v>
      </c>
      <c r="C150" s="55" t="s">
        <v>19</v>
      </c>
      <c r="D150" s="22">
        <v>23</v>
      </c>
      <c r="E150" s="22">
        <v>11</v>
      </c>
      <c r="F150" s="22">
        <v>76</v>
      </c>
      <c r="G150" s="22">
        <v>89</v>
      </c>
      <c r="H150" s="55">
        <v>109.09</v>
      </c>
      <c r="I150" s="55">
        <v>-14.61</v>
      </c>
      <c r="J150" s="55">
        <v>0.14000000000000001</v>
      </c>
      <c r="K150" s="55">
        <v>0.09</v>
      </c>
      <c r="L150" s="55">
        <v>0.08</v>
      </c>
      <c r="M150" s="55">
        <v>0.12</v>
      </c>
      <c r="N150" s="55"/>
    </row>
    <row r="151" spans="1:14">
      <c r="A151" s="55">
        <v>111</v>
      </c>
      <c r="B151" s="55" t="s">
        <v>663</v>
      </c>
      <c r="C151" s="55" t="s">
        <v>20</v>
      </c>
      <c r="D151" s="22">
        <v>9</v>
      </c>
      <c r="E151" s="22">
        <v>18</v>
      </c>
      <c r="F151" s="22">
        <v>66</v>
      </c>
      <c r="G151" s="22">
        <v>128</v>
      </c>
      <c r="H151" s="55">
        <v>-50</v>
      </c>
      <c r="I151" s="55">
        <v>-48.44</v>
      </c>
      <c r="J151" s="55">
        <v>0.05</v>
      </c>
      <c r="K151" s="55">
        <v>0.08</v>
      </c>
      <c r="L151" s="55">
        <v>0.13</v>
      </c>
      <c r="M151" s="55">
        <v>0.17</v>
      </c>
      <c r="N151" s="55"/>
    </row>
    <row r="152" spans="1:14" hidden="1">
      <c r="A152" s="55">
        <v>112</v>
      </c>
      <c r="B152" s="55" t="s">
        <v>70</v>
      </c>
      <c r="C152" s="55" t="s">
        <v>19</v>
      </c>
      <c r="D152" s="22">
        <v>15</v>
      </c>
      <c r="E152" s="22">
        <v>103</v>
      </c>
      <c r="F152" s="22">
        <v>61</v>
      </c>
      <c r="G152" s="22">
        <v>729</v>
      </c>
      <c r="H152" s="62">
        <v>-85.44</v>
      </c>
      <c r="I152" s="62">
        <v>-91.63</v>
      </c>
      <c r="J152" s="55">
        <v>0.09</v>
      </c>
      <c r="K152" s="55">
        <v>7.0000000000000007E-2</v>
      </c>
      <c r="L152" s="55">
        <v>0.72</v>
      </c>
      <c r="M152" s="55">
        <v>0.97</v>
      </c>
      <c r="N152" s="55"/>
    </row>
    <row r="153" spans="1:14">
      <c r="A153" s="55">
        <v>113</v>
      </c>
      <c r="B153" s="55" t="s">
        <v>641</v>
      </c>
      <c r="C153" s="55" t="s">
        <v>20</v>
      </c>
      <c r="D153" s="22">
        <v>7</v>
      </c>
      <c r="E153" s="22">
        <v>171</v>
      </c>
      <c r="F153" s="22">
        <v>61</v>
      </c>
      <c r="G153" s="22">
        <v>613</v>
      </c>
      <c r="H153" s="55">
        <v>-95.91</v>
      </c>
      <c r="I153" s="55">
        <v>-90.05</v>
      </c>
      <c r="J153" s="55">
        <v>0.04</v>
      </c>
      <c r="K153" s="55">
        <v>7.0000000000000007E-2</v>
      </c>
      <c r="L153" s="55">
        <v>1.19</v>
      </c>
      <c r="M153" s="55">
        <v>0.82</v>
      </c>
      <c r="N153" s="55"/>
    </row>
    <row r="154" spans="1:14" hidden="1">
      <c r="A154" s="55">
        <v>114</v>
      </c>
      <c r="B154" s="55" t="s">
        <v>1064</v>
      </c>
      <c r="C154" s="55" t="s">
        <v>19</v>
      </c>
      <c r="D154" s="22">
        <v>43</v>
      </c>
      <c r="E154" s="22">
        <v>0</v>
      </c>
      <c r="F154" s="22">
        <v>61</v>
      </c>
      <c r="G154" s="22">
        <v>0</v>
      </c>
      <c r="H154" s="55">
        <v>0</v>
      </c>
      <c r="I154" s="55">
        <v>0</v>
      </c>
      <c r="J154" s="55">
        <v>0.26</v>
      </c>
      <c r="K154" s="55">
        <v>7.0000000000000007E-2</v>
      </c>
      <c r="L154" s="55">
        <v>0</v>
      </c>
      <c r="M154" s="55">
        <v>0</v>
      </c>
      <c r="N154" s="55"/>
    </row>
    <row r="155" spans="1:14">
      <c r="A155" s="55">
        <v>115</v>
      </c>
      <c r="B155" s="55" t="s">
        <v>1039</v>
      </c>
      <c r="C155" s="55" t="s">
        <v>20</v>
      </c>
      <c r="D155" s="22">
        <v>29</v>
      </c>
      <c r="E155" s="22">
        <v>0</v>
      </c>
      <c r="F155" s="22">
        <v>60</v>
      </c>
      <c r="G155" s="22">
        <v>0</v>
      </c>
      <c r="H155" s="55">
        <v>0</v>
      </c>
      <c r="I155" s="55">
        <v>0</v>
      </c>
      <c r="J155" s="55">
        <v>0.17</v>
      </c>
      <c r="K155" s="55">
        <v>7.0000000000000007E-2</v>
      </c>
      <c r="L155" s="55">
        <v>0</v>
      </c>
      <c r="M155" s="55">
        <v>0</v>
      </c>
      <c r="N155" s="55"/>
    </row>
    <row r="156" spans="1:14">
      <c r="A156" s="55">
        <v>116</v>
      </c>
      <c r="B156" s="55" t="s">
        <v>1042</v>
      </c>
      <c r="C156" s="55" t="s">
        <v>20</v>
      </c>
      <c r="D156" s="22">
        <v>6</v>
      </c>
      <c r="E156" s="22">
        <v>0</v>
      </c>
      <c r="F156" s="22">
        <v>60</v>
      </c>
      <c r="G156" s="22">
        <v>0</v>
      </c>
      <c r="H156" s="55">
        <v>0</v>
      </c>
      <c r="I156" s="55">
        <v>0</v>
      </c>
      <c r="J156" s="55">
        <v>0.04</v>
      </c>
      <c r="K156" s="55">
        <v>7.0000000000000007E-2</v>
      </c>
      <c r="L156" s="55">
        <v>0</v>
      </c>
      <c r="M156" s="55">
        <v>0</v>
      </c>
      <c r="N156" s="55"/>
    </row>
    <row r="157" spans="1:14" hidden="1">
      <c r="A157" s="55">
        <v>117</v>
      </c>
      <c r="B157" s="55" t="s">
        <v>599</v>
      </c>
      <c r="C157" s="55" t="s">
        <v>19</v>
      </c>
      <c r="D157" s="22">
        <v>4</v>
      </c>
      <c r="E157" s="22">
        <v>18</v>
      </c>
      <c r="F157" s="22">
        <v>56</v>
      </c>
      <c r="G157" s="22">
        <v>60</v>
      </c>
      <c r="H157" s="55">
        <v>-77.78</v>
      </c>
      <c r="I157" s="55">
        <v>-6.67</v>
      </c>
      <c r="J157" s="55">
        <v>0.02</v>
      </c>
      <c r="K157" s="55">
        <v>7.0000000000000007E-2</v>
      </c>
      <c r="L157" s="55">
        <v>0.13</v>
      </c>
      <c r="M157" s="55">
        <v>0.08</v>
      </c>
      <c r="N157" s="55"/>
    </row>
    <row r="158" spans="1:14">
      <c r="A158" s="55">
        <v>118</v>
      </c>
      <c r="B158" s="55" t="s">
        <v>656</v>
      </c>
      <c r="C158" s="55" t="s">
        <v>20</v>
      </c>
      <c r="D158" s="22">
        <v>2</v>
      </c>
      <c r="E158" s="22">
        <v>24</v>
      </c>
      <c r="F158" s="22">
        <v>52</v>
      </c>
      <c r="G158" s="22">
        <v>47</v>
      </c>
      <c r="H158" s="55">
        <v>-91.67</v>
      </c>
      <c r="I158" s="55">
        <v>10.64</v>
      </c>
      <c r="J158" s="55">
        <v>0.01</v>
      </c>
      <c r="K158" s="55">
        <v>0.06</v>
      </c>
      <c r="L158" s="55">
        <v>0.17</v>
      </c>
      <c r="M158" s="55">
        <v>0.06</v>
      </c>
      <c r="N158" s="55"/>
    </row>
    <row r="159" spans="1:14" hidden="1">
      <c r="A159" s="55">
        <v>119</v>
      </c>
      <c r="B159" s="55" t="s">
        <v>597</v>
      </c>
      <c r="C159" s="55" t="s">
        <v>19</v>
      </c>
      <c r="D159" s="22">
        <v>11</v>
      </c>
      <c r="E159" s="22">
        <v>2</v>
      </c>
      <c r="F159" s="22">
        <v>51</v>
      </c>
      <c r="G159" s="22">
        <v>142</v>
      </c>
      <c r="H159" s="55">
        <v>450</v>
      </c>
      <c r="I159" s="55">
        <v>-64.08</v>
      </c>
      <c r="J159" s="55">
        <v>7.0000000000000007E-2</v>
      </c>
      <c r="K159" s="55">
        <v>0.06</v>
      </c>
      <c r="L159" s="55">
        <v>0.01</v>
      </c>
      <c r="M159" s="55">
        <v>0.19</v>
      </c>
      <c r="N159" s="55"/>
    </row>
    <row r="160" spans="1:14">
      <c r="A160" s="55">
        <v>120</v>
      </c>
      <c r="B160" s="55" t="s">
        <v>1063</v>
      </c>
      <c r="C160" s="55" t="s">
        <v>20</v>
      </c>
      <c r="D160" s="22">
        <v>15</v>
      </c>
      <c r="E160" s="22">
        <v>0</v>
      </c>
      <c r="F160" s="22">
        <v>51</v>
      </c>
      <c r="G160" s="22">
        <v>0</v>
      </c>
      <c r="H160" s="55">
        <v>0</v>
      </c>
      <c r="I160" s="55">
        <v>0</v>
      </c>
      <c r="J160" s="55">
        <v>0.09</v>
      </c>
      <c r="K160" s="55">
        <v>0.06</v>
      </c>
      <c r="L160" s="55">
        <v>0</v>
      </c>
      <c r="M160" s="55">
        <v>0</v>
      </c>
      <c r="N160" s="55"/>
    </row>
    <row r="161" spans="1:14" hidden="1">
      <c r="A161" s="55">
        <v>121</v>
      </c>
      <c r="B161" s="55" t="s">
        <v>1059</v>
      </c>
      <c r="C161" s="55" t="s">
        <v>19</v>
      </c>
      <c r="D161" s="22">
        <v>11</v>
      </c>
      <c r="E161" s="22">
        <v>0</v>
      </c>
      <c r="F161" s="22">
        <v>50</v>
      </c>
      <c r="G161" s="22">
        <v>0</v>
      </c>
      <c r="H161" s="55">
        <v>0</v>
      </c>
      <c r="I161" s="55">
        <v>0</v>
      </c>
      <c r="J161" s="55">
        <v>7.0000000000000007E-2</v>
      </c>
      <c r="K161" s="55">
        <v>0.06</v>
      </c>
      <c r="L161" s="55">
        <v>0</v>
      </c>
      <c r="M161" s="55">
        <v>0</v>
      </c>
      <c r="N161" s="55"/>
    </row>
    <row r="162" spans="1:14">
      <c r="A162" s="55">
        <v>122</v>
      </c>
      <c r="B162" s="55" t="s">
        <v>1028</v>
      </c>
      <c r="C162" s="55" t="s">
        <v>20</v>
      </c>
      <c r="D162" s="22">
        <v>5</v>
      </c>
      <c r="E162" s="22">
        <v>0</v>
      </c>
      <c r="F162" s="22">
        <v>50</v>
      </c>
      <c r="G162" s="22">
        <v>0</v>
      </c>
      <c r="H162" s="55">
        <v>0</v>
      </c>
      <c r="I162" s="55">
        <v>0</v>
      </c>
      <c r="J162" s="55">
        <v>0.03</v>
      </c>
      <c r="K162" s="55">
        <v>0.06</v>
      </c>
      <c r="L162" s="55">
        <v>0</v>
      </c>
      <c r="M162" s="55">
        <v>0</v>
      </c>
      <c r="N162" s="55"/>
    </row>
    <row r="163" spans="1:14" hidden="1">
      <c r="A163" s="55">
        <v>123</v>
      </c>
      <c r="B163" s="55" t="s">
        <v>553</v>
      </c>
      <c r="C163" s="55" t="s">
        <v>19</v>
      </c>
      <c r="D163" s="22">
        <v>1</v>
      </c>
      <c r="E163" s="22">
        <v>20</v>
      </c>
      <c r="F163" s="22">
        <v>49</v>
      </c>
      <c r="G163" s="22">
        <v>98</v>
      </c>
      <c r="H163" s="55">
        <v>-95</v>
      </c>
      <c r="I163" s="55">
        <v>-50</v>
      </c>
      <c r="J163" s="55">
        <v>0.01</v>
      </c>
      <c r="K163" s="55">
        <v>0.06</v>
      </c>
      <c r="L163" s="55">
        <v>0.14000000000000001</v>
      </c>
      <c r="M163" s="55">
        <v>0.13</v>
      </c>
      <c r="N163" s="55"/>
    </row>
    <row r="164" spans="1:14" hidden="1">
      <c r="A164" s="55">
        <v>124</v>
      </c>
      <c r="B164" s="55" t="s">
        <v>1135</v>
      </c>
      <c r="C164" s="55" t="s">
        <v>19</v>
      </c>
      <c r="D164" s="22">
        <v>1</v>
      </c>
      <c r="E164" s="22">
        <v>0</v>
      </c>
      <c r="F164" s="22">
        <v>48</v>
      </c>
      <c r="G164" s="22">
        <v>0</v>
      </c>
      <c r="H164" s="55">
        <v>0</v>
      </c>
      <c r="I164" s="55">
        <v>0</v>
      </c>
      <c r="J164" s="55">
        <v>0.01</v>
      </c>
      <c r="K164" s="55">
        <v>0.06</v>
      </c>
      <c r="L164" s="55">
        <v>0</v>
      </c>
      <c r="M164" s="55">
        <v>0</v>
      </c>
      <c r="N164" s="55"/>
    </row>
    <row r="165" spans="1:14" hidden="1">
      <c r="A165" s="55">
        <v>125</v>
      </c>
      <c r="B165" s="55" t="s">
        <v>239</v>
      </c>
      <c r="C165" s="55" t="s">
        <v>19</v>
      </c>
      <c r="D165" s="22">
        <v>21</v>
      </c>
      <c r="E165" s="22">
        <v>1</v>
      </c>
      <c r="F165" s="22">
        <v>47</v>
      </c>
      <c r="G165" s="22">
        <v>29</v>
      </c>
      <c r="H165" s="55">
        <v>2000</v>
      </c>
      <c r="I165" s="55">
        <v>62.07</v>
      </c>
      <c r="J165" s="55">
        <v>0.13</v>
      </c>
      <c r="K165" s="55">
        <v>0.06</v>
      </c>
      <c r="L165" s="55">
        <v>0.01</v>
      </c>
      <c r="M165" s="55">
        <v>0.04</v>
      </c>
      <c r="N165" s="55"/>
    </row>
    <row r="166" spans="1:14" hidden="1">
      <c r="A166" s="55">
        <v>126</v>
      </c>
      <c r="B166" s="55" t="s">
        <v>649</v>
      </c>
      <c r="C166" s="55" t="s">
        <v>19</v>
      </c>
      <c r="D166" s="22">
        <v>12</v>
      </c>
      <c r="E166" s="22">
        <v>3</v>
      </c>
      <c r="F166" s="22">
        <v>46</v>
      </c>
      <c r="G166" s="22">
        <v>71</v>
      </c>
      <c r="H166" s="55">
        <v>300</v>
      </c>
      <c r="I166" s="55">
        <v>-35.21</v>
      </c>
      <c r="J166" s="55">
        <v>7.0000000000000007E-2</v>
      </c>
      <c r="K166" s="55">
        <v>0.06</v>
      </c>
      <c r="L166" s="55">
        <v>0.02</v>
      </c>
      <c r="M166" s="55">
        <v>0.09</v>
      </c>
      <c r="N166" s="55"/>
    </row>
    <row r="167" spans="1:14">
      <c r="A167" s="55">
        <v>127</v>
      </c>
      <c r="B167" s="55" t="s">
        <v>1161</v>
      </c>
      <c r="C167" s="55" t="s">
        <v>20</v>
      </c>
      <c r="D167" s="22">
        <v>18</v>
      </c>
      <c r="E167" s="22">
        <v>0</v>
      </c>
      <c r="F167" s="22">
        <v>46</v>
      </c>
      <c r="G167" s="22">
        <v>0</v>
      </c>
      <c r="H167" s="55">
        <v>0</v>
      </c>
      <c r="I167" s="55">
        <v>0</v>
      </c>
      <c r="J167" s="55">
        <v>0.11</v>
      </c>
      <c r="K167" s="55">
        <v>0.06</v>
      </c>
      <c r="L167" s="55">
        <v>0</v>
      </c>
      <c r="M167" s="55">
        <v>0</v>
      </c>
      <c r="N167" s="55"/>
    </row>
    <row r="168" spans="1:14" hidden="1">
      <c r="A168" s="55">
        <v>128</v>
      </c>
      <c r="B168" s="55" t="s">
        <v>431</v>
      </c>
      <c r="C168" s="55" t="s">
        <v>19</v>
      </c>
      <c r="D168" s="22">
        <v>14</v>
      </c>
      <c r="E168" s="22">
        <v>17</v>
      </c>
      <c r="F168" s="22">
        <v>44</v>
      </c>
      <c r="G168" s="22">
        <v>56</v>
      </c>
      <c r="H168" s="55">
        <v>-17.649999999999999</v>
      </c>
      <c r="I168" s="55">
        <v>-21.43</v>
      </c>
      <c r="J168" s="55">
        <v>0.08</v>
      </c>
      <c r="K168" s="55">
        <v>0.05</v>
      </c>
      <c r="L168" s="55">
        <v>0.12</v>
      </c>
      <c r="M168" s="55">
        <v>7.0000000000000007E-2</v>
      </c>
      <c r="N168" s="55"/>
    </row>
    <row r="169" spans="1:14" hidden="1">
      <c r="A169" s="55">
        <v>129</v>
      </c>
      <c r="B169" s="55" t="s">
        <v>430</v>
      </c>
      <c r="C169" s="55" t="s">
        <v>19</v>
      </c>
      <c r="D169" s="22">
        <v>4</v>
      </c>
      <c r="E169" s="22">
        <v>12</v>
      </c>
      <c r="F169" s="22">
        <v>42</v>
      </c>
      <c r="G169" s="22">
        <v>56</v>
      </c>
      <c r="H169" s="55">
        <v>-66.67</v>
      </c>
      <c r="I169" s="55">
        <v>-25</v>
      </c>
      <c r="J169" s="55">
        <v>0.02</v>
      </c>
      <c r="K169" s="55">
        <v>0.05</v>
      </c>
      <c r="L169" s="55">
        <v>0.08</v>
      </c>
      <c r="M169" s="55">
        <v>7.0000000000000007E-2</v>
      </c>
      <c r="N169" s="55"/>
    </row>
    <row r="170" spans="1:14" hidden="1">
      <c r="A170" s="55">
        <v>130</v>
      </c>
      <c r="B170" s="55" t="s">
        <v>612</v>
      </c>
      <c r="C170" s="55" t="s">
        <v>19</v>
      </c>
      <c r="D170" s="22">
        <v>5</v>
      </c>
      <c r="E170" s="22">
        <v>9</v>
      </c>
      <c r="F170" s="22">
        <v>42</v>
      </c>
      <c r="G170" s="22">
        <v>35</v>
      </c>
      <c r="H170" s="55">
        <v>-44.44</v>
      </c>
      <c r="I170" s="55">
        <v>20</v>
      </c>
      <c r="J170" s="55">
        <v>0.03</v>
      </c>
      <c r="K170" s="55">
        <v>0.05</v>
      </c>
      <c r="L170" s="55">
        <v>0.06</v>
      </c>
      <c r="M170" s="55">
        <v>0.05</v>
      </c>
      <c r="N170" s="55"/>
    </row>
    <row r="171" spans="1:14" hidden="1">
      <c r="A171" s="55">
        <v>131</v>
      </c>
      <c r="B171" s="55" t="s">
        <v>1238</v>
      </c>
      <c r="C171" s="55" t="s">
        <v>19</v>
      </c>
      <c r="D171" s="22">
        <v>41</v>
      </c>
      <c r="E171" s="22">
        <v>0</v>
      </c>
      <c r="F171" s="22">
        <v>41</v>
      </c>
      <c r="G171" s="22">
        <v>0</v>
      </c>
      <c r="H171" s="55">
        <v>0</v>
      </c>
      <c r="I171" s="55">
        <v>0</v>
      </c>
      <c r="J171" s="55">
        <v>0.24</v>
      </c>
      <c r="K171" s="55">
        <v>0.05</v>
      </c>
      <c r="L171" s="55">
        <v>0</v>
      </c>
      <c r="M171" s="55">
        <v>0</v>
      </c>
      <c r="N171" s="55"/>
    </row>
    <row r="172" spans="1:14">
      <c r="A172" s="55">
        <v>132</v>
      </c>
      <c r="B172" s="55" t="s">
        <v>1083</v>
      </c>
      <c r="C172" s="55" t="s">
        <v>20</v>
      </c>
      <c r="D172" s="22">
        <v>11</v>
      </c>
      <c r="E172" s="22">
        <v>0</v>
      </c>
      <c r="F172" s="22">
        <v>40</v>
      </c>
      <c r="G172" s="22">
        <v>0</v>
      </c>
      <c r="H172" s="55">
        <v>0</v>
      </c>
      <c r="I172" s="55">
        <v>0</v>
      </c>
      <c r="J172" s="55">
        <v>7.0000000000000007E-2</v>
      </c>
      <c r="K172" s="55">
        <v>0.05</v>
      </c>
      <c r="L172" s="55">
        <v>0</v>
      </c>
      <c r="M172" s="55">
        <v>0</v>
      </c>
      <c r="N172" s="55"/>
    </row>
    <row r="173" spans="1:14" hidden="1">
      <c r="A173" s="55">
        <v>133</v>
      </c>
      <c r="B173" s="55" t="s">
        <v>438</v>
      </c>
      <c r="C173" s="55" t="s">
        <v>19</v>
      </c>
      <c r="D173" s="22">
        <v>2</v>
      </c>
      <c r="E173" s="22">
        <v>0</v>
      </c>
      <c r="F173" s="22">
        <v>38</v>
      </c>
      <c r="G173" s="22">
        <v>23</v>
      </c>
      <c r="H173" s="55">
        <v>0</v>
      </c>
      <c r="I173" s="55">
        <v>65.22</v>
      </c>
      <c r="J173" s="55">
        <v>0.01</v>
      </c>
      <c r="K173" s="55">
        <v>0.05</v>
      </c>
      <c r="L173" s="55">
        <v>0</v>
      </c>
      <c r="M173" s="55">
        <v>0.03</v>
      </c>
      <c r="N173" s="55"/>
    </row>
    <row r="174" spans="1:14">
      <c r="A174" s="55">
        <v>134</v>
      </c>
      <c r="B174" s="55" t="s">
        <v>1060</v>
      </c>
      <c r="C174" s="55" t="s">
        <v>20</v>
      </c>
      <c r="D174" s="22">
        <v>3</v>
      </c>
      <c r="E174" s="22">
        <v>0</v>
      </c>
      <c r="F174" s="22">
        <v>38</v>
      </c>
      <c r="G174" s="22">
        <v>0</v>
      </c>
      <c r="H174" s="55">
        <v>0</v>
      </c>
      <c r="I174" s="55">
        <v>0</v>
      </c>
      <c r="J174" s="55">
        <v>0.02</v>
      </c>
      <c r="K174" s="55">
        <v>0.05</v>
      </c>
      <c r="L174" s="55">
        <v>0</v>
      </c>
      <c r="M174" s="55">
        <v>0</v>
      </c>
      <c r="N174" s="55"/>
    </row>
    <row r="175" spans="1:14">
      <c r="A175" s="55">
        <v>135</v>
      </c>
      <c r="B175" s="55" t="s">
        <v>498</v>
      </c>
      <c r="C175" s="55" t="s">
        <v>20</v>
      </c>
      <c r="D175" s="22">
        <v>20</v>
      </c>
      <c r="E175" s="22">
        <v>21</v>
      </c>
      <c r="F175" s="22">
        <v>35</v>
      </c>
      <c r="G175" s="22">
        <v>70</v>
      </c>
      <c r="H175" s="55">
        <v>-4.76</v>
      </c>
      <c r="I175" s="55">
        <v>-50</v>
      </c>
      <c r="J175" s="55">
        <v>0.12</v>
      </c>
      <c r="K175" s="55">
        <v>0.04</v>
      </c>
      <c r="L175" s="55">
        <v>0.15</v>
      </c>
      <c r="M175" s="55">
        <v>0.09</v>
      </c>
      <c r="N175" s="55"/>
    </row>
    <row r="176" spans="1:14" hidden="1">
      <c r="A176" s="55">
        <v>136</v>
      </c>
      <c r="B176" s="55" t="s">
        <v>429</v>
      </c>
      <c r="C176" s="55" t="s">
        <v>19</v>
      </c>
      <c r="D176" s="22">
        <v>1</v>
      </c>
      <c r="E176" s="22">
        <v>6</v>
      </c>
      <c r="F176" s="22">
        <v>35</v>
      </c>
      <c r="G176" s="22">
        <v>30</v>
      </c>
      <c r="H176" s="55">
        <v>-83.33</v>
      </c>
      <c r="I176" s="55">
        <v>16.670000000000002</v>
      </c>
      <c r="J176" s="55">
        <v>0.01</v>
      </c>
      <c r="K176" s="55">
        <v>0.04</v>
      </c>
      <c r="L176" s="55">
        <v>0.04</v>
      </c>
      <c r="M176" s="55">
        <v>0.04</v>
      </c>
      <c r="N176" s="55"/>
    </row>
    <row r="177" spans="1:14">
      <c r="A177" s="55">
        <v>137</v>
      </c>
      <c r="B177" s="55" t="s">
        <v>559</v>
      </c>
      <c r="C177" s="55" t="s">
        <v>20</v>
      </c>
      <c r="D177" s="22">
        <v>14</v>
      </c>
      <c r="E177" s="22">
        <v>31</v>
      </c>
      <c r="F177" s="22">
        <v>34</v>
      </c>
      <c r="G177" s="22">
        <v>113</v>
      </c>
      <c r="H177" s="55">
        <v>-54.84</v>
      </c>
      <c r="I177" s="55">
        <v>-69.91</v>
      </c>
      <c r="J177" s="55">
        <v>0.08</v>
      </c>
      <c r="K177" s="55">
        <v>0.04</v>
      </c>
      <c r="L177" s="55">
        <v>0.22</v>
      </c>
      <c r="M177" s="55">
        <v>0.15</v>
      </c>
      <c r="N177" s="55"/>
    </row>
    <row r="178" spans="1:14">
      <c r="A178" s="55">
        <v>138</v>
      </c>
      <c r="B178" s="55" t="s">
        <v>1096</v>
      </c>
      <c r="C178" s="55" t="s">
        <v>20</v>
      </c>
      <c r="D178" s="22">
        <v>6</v>
      </c>
      <c r="E178" s="22">
        <v>4</v>
      </c>
      <c r="F178" s="22">
        <v>34</v>
      </c>
      <c r="G178" s="22">
        <v>38</v>
      </c>
      <c r="H178" s="62">
        <v>50</v>
      </c>
      <c r="I178" s="62">
        <v>-10.53</v>
      </c>
      <c r="J178" s="55">
        <v>0.04</v>
      </c>
      <c r="K178" s="55">
        <v>0.04</v>
      </c>
      <c r="L178" s="55">
        <v>0.03</v>
      </c>
      <c r="M178" s="55">
        <v>0.05</v>
      </c>
      <c r="N178" s="55"/>
    </row>
    <row r="179" spans="1:14" hidden="1">
      <c r="A179" s="55">
        <v>139</v>
      </c>
      <c r="B179" s="55" t="s">
        <v>493</v>
      </c>
      <c r="C179" s="55" t="s">
        <v>19</v>
      </c>
      <c r="D179" s="22">
        <v>13</v>
      </c>
      <c r="E179" s="22">
        <v>0</v>
      </c>
      <c r="F179" s="22">
        <v>33</v>
      </c>
      <c r="G179" s="22">
        <v>40</v>
      </c>
      <c r="H179" s="55">
        <v>0</v>
      </c>
      <c r="I179" s="55">
        <v>-17.5</v>
      </c>
      <c r="J179" s="55">
        <v>0.08</v>
      </c>
      <c r="K179" s="55">
        <v>0.04</v>
      </c>
      <c r="L179" s="55">
        <v>0</v>
      </c>
      <c r="M179" s="55">
        <v>0.05</v>
      </c>
      <c r="N179" s="55"/>
    </row>
    <row r="180" spans="1:14">
      <c r="A180" s="55">
        <v>140</v>
      </c>
      <c r="B180" s="55" t="s">
        <v>707</v>
      </c>
      <c r="C180" s="55" t="s">
        <v>20</v>
      </c>
      <c r="D180" s="22">
        <v>7</v>
      </c>
      <c r="E180" s="22">
        <v>0</v>
      </c>
      <c r="F180" s="22">
        <v>33</v>
      </c>
      <c r="G180" s="22">
        <v>2</v>
      </c>
      <c r="H180" s="62">
        <v>0</v>
      </c>
      <c r="I180" s="62">
        <v>1550</v>
      </c>
      <c r="J180" s="55">
        <v>0.04</v>
      </c>
      <c r="K180" s="55">
        <v>0.04</v>
      </c>
      <c r="L180" s="55">
        <v>0</v>
      </c>
      <c r="M180" s="55">
        <v>0</v>
      </c>
      <c r="N180" s="55"/>
    </row>
    <row r="181" spans="1:14">
      <c r="A181" s="55">
        <v>141</v>
      </c>
      <c r="B181" s="55" t="s">
        <v>501</v>
      </c>
      <c r="C181" s="55" t="s">
        <v>20</v>
      </c>
      <c r="D181" s="22">
        <v>2</v>
      </c>
      <c r="E181" s="22">
        <v>16</v>
      </c>
      <c r="F181" s="22">
        <v>32</v>
      </c>
      <c r="G181" s="22">
        <v>57</v>
      </c>
      <c r="H181" s="55">
        <v>-87.5</v>
      </c>
      <c r="I181" s="55">
        <v>-43.86</v>
      </c>
      <c r="J181" s="55">
        <v>0.01</v>
      </c>
      <c r="K181" s="55">
        <v>0.04</v>
      </c>
      <c r="L181" s="55">
        <v>0.11</v>
      </c>
      <c r="M181" s="55">
        <v>0.08</v>
      </c>
      <c r="N181" s="55"/>
    </row>
    <row r="182" spans="1:14">
      <c r="A182" s="55">
        <v>142</v>
      </c>
      <c r="B182" s="55" t="s">
        <v>650</v>
      </c>
      <c r="C182" s="55" t="s">
        <v>20</v>
      </c>
      <c r="D182" s="22">
        <v>6</v>
      </c>
      <c r="E182" s="22">
        <v>2</v>
      </c>
      <c r="F182" s="22">
        <v>32</v>
      </c>
      <c r="G182" s="22">
        <v>20</v>
      </c>
      <c r="H182" s="55">
        <v>200</v>
      </c>
      <c r="I182" s="55">
        <v>60</v>
      </c>
      <c r="J182" s="55">
        <v>0.04</v>
      </c>
      <c r="K182" s="55">
        <v>0.04</v>
      </c>
      <c r="L182" s="55">
        <v>0.01</v>
      </c>
      <c r="M182" s="55">
        <v>0.03</v>
      </c>
      <c r="N182" s="55"/>
    </row>
    <row r="183" spans="1:14" hidden="1">
      <c r="A183" s="55">
        <v>143</v>
      </c>
      <c r="B183" s="55" t="s">
        <v>1154</v>
      </c>
      <c r="C183" s="55" t="s">
        <v>19</v>
      </c>
      <c r="D183" s="22">
        <v>13</v>
      </c>
      <c r="E183" s="22">
        <v>0</v>
      </c>
      <c r="F183" s="22">
        <v>32</v>
      </c>
      <c r="G183" s="22">
        <v>0</v>
      </c>
      <c r="H183" s="55">
        <v>0</v>
      </c>
      <c r="I183" s="55">
        <v>0</v>
      </c>
      <c r="J183" s="55">
        <v>0.08</v>
      </c>
      <c r="K183" s="55">
        <v>0.04</v>
      </c>
      <c r="L183" s="55">
        <v>0</v>
      </c>
      <c r="M183" s="55">
        <v>0</v>
      </c>
      <c r="N183" s="55"/>
    </row>
    <row r="184" spans="1:14" hidden="1">
      <c r="A184" s="55">
        <v>144</v>
      </c>
      <c r="B184" s="55" t="s">
        <v>1082</v>
      </c>
      <c r="C184" s="55" t="s">
        <v>19</v>
      </c>
      <c r="D184" s="22">
        <v>3</v>
      </c>
      <c r="E184" s="22">
        <v>0</v>
      </c>
      <c r="F184" s="22">
        <v>31</v>
      </c>
      <c r="G184" s="22">
        <v>0</v>
      </c>
      <c r="H184" s="55">
        <v>0</v>
      </c>
      <c r="I184" s="55">
        <v>0</v>
      </c>
      <c r="J184" s="55">
        <v>0.02</v>
      </c>
      <c r="K184" s="55">
        <v>0.04</v>
      </c>
      <c r="L184" s="55">
        <v>0</v>
      </c>
      <c r="M184" s="55">
        <v>0</v>
      </c>
      <c r="N184" s="55"/>
    </row>
    <row r="185" spans="1:14">
      <c r="A185" s="55">
        <v>145</v>
      </c>
      <c r="B185" s="55" t="s">
        <v>1080</v>
      </c>
      <c r="C185" s="55" t="s">
        <v>20</v>
      </c>
      <c r="D185" s="22">
        <v>6</v>
      </c>
      <c r="E185" s="22">
        <v>0</v>
      </c>
      <c r="F185" s="22">
        <v>31</v>
      </c>
      <c r="G185" s="22">
        <v>0</v>
      </c>
      <c r="H185" s="55">
        <v>0</v>
      </c>
      <c r="I185" s="55">
        <v>0</v>
      </c>
      <c r="J185" s="55">
        <v>0.04</v>
      </c>
      <c r="K185" s="55">
        <v>0.04</v>
      </c>
      <c r="L185" s="55">
        <v>0</v>
      </c>
      <c r="M185" s="55">
        <v>0</v>
      </c>
      <c r="N185" s="55"/>
    </row>
    <row r="186" spans="1:14" hidden="1">
      <c r="A186" s="55">
        <v>146</v>
      </c>
      <c r="B186" s="55" t="s">
        <v>140</v>
      </c>
      <c r="C186" s="55" t="s">
        <v>19</v>
      </c>
      <c r="D186" s="22">
        <v>1</v>
      </c>
      <c r="E186" s="22">
        <v>43</v>
      </c>
      <c r="F186" s="22">
        <v>30</v>
      </c>
      <c r="G186" s="22">
        <v>102</v>
      </c>
      <c r="H186" s="55">
        <v>-97.67</v>
      </c>
      <c r="I186" s="55">
        <v>-70.59</v>
      </c>
      <c r="J186" s="55">
        <v>0.01</v>
      </c>
      <c r="K186" s="55">
        <v>0.04</v>
      </c>
      <c r="L186" s="55">
        <v>0.3</v>
      </c>
      <c r="M186" s="55">
        <v>0.14000000000000001</v>
      </c>
      <c r="N186" s="55"/>
    </row>
    <row r="187" spans="1:14" hidden="1">
      <c r="A187" s="55">
        <v>147</v>
      </c>
      <c r="B187" s="55" t="s">
        <v>991</v>
      </c>
      <c r="C187" s="55" t="s">
        <v>19</v>
      </c>
      <c r="D187" s="22">
        <v>1</v>
      </c>
      <c r="E187" s="22">
        <v>0</v>
      </c>
      <c r="F187" s="22">
        <v>30</v>
      </c>
      <c r="G187" s="22">
        <v>0</v>
      </c>
      <c r="H187" s="55">
        <v>0</v>
      </c>
      <c r="I187" s="55">
        <v>0</v>
      </c>
      <c r="J187" s="55">
        <v>0.01</v>
      </c>
      <c r="K187" s="55">
        <v>0.04</v>
      </c>
      <c r="L187" s="55">
        <v>0</v>
      </c>
      <c r="M187" s="55">
        <v>0</v>
      </c>
      <c r="N187" s="55"/>
    </row>
    <row r="188" spans="1:14" hidden="1">
      <c r="A188" s="55">
        <v>148</v>
      </c>
      <c r="B188" s="55" t="s">
        <v>191</v>
      </c>
      <c r="C188" s="55" t="s">
        <v>19</v>
      </c>
      <c r="D188" s="22">
        <v>8</v>
      </c>
      <c r="E188" s="22">
        <v>0</v>
      </c>
      <c r="F188" s="22">
        <v>30</v>
      </c>
      <c r="G188" s="22">
        <v>0</v>
      </c>
      <c r="H188" s="55">
        <v>0</v>
      </c>
      <c r="I188" s="55">
        <v>0</v>
      </c>
      <c r="J188" s="55">
        <v>0.05</v>
      </c>
      <c r="K188" s="55">
        <v>0.04</v>
      </c>
      <c r="L188" s="55">
        <v>0</v>
      </c>
      <c r="M188" s="55">
        <v>0</v>
      </c>
      <c r="N188" s="55"/>
    </row>
    <row r="189" spans="1:14" hidden="1">
      <c r="A189" s="55">
        <v>149</v>
      </c>
      <c r="B189" s="55" t="s">
        <v>420</v>
      </c>
      <c r="C189" s="55" t="s">
        <v>19</v>
      </c>
      <c r="D189" s="22">
        <v>2</v>
      </c>
      <c r="E189" s="22">
        <v>2</v>
      </c>
      <c r="F189" s="22">
        <v>26</v>
      </c>
      <c r="G189" s="22">
        <v>47</v>
      </c>
      <c r="H189" s="55">
        <v>0</v>
      </c>
      <c r="I189" s="55">
        <v>-44.68</v>
      </c>
      <c r="J189" s="55">
        <v>0.01</v>
      </c>
      <c r="K189" s="55">
        <v>0.03</v>
      </c>
      <c r="L189" s="55">
        <v>0.01</v>
      </c>
      <c r="M189" s="55">
        <v>0.06</v>
      </c>
      <c r="N189" s="55"/>
    </row>
    <row r="190" spans="1:14">
      <c r="A190" s="55">
        <v>150</v>
      </c>
      <c r="B190" s="55" t="s">
        <v>576</v>
      </c>
      <c r="C190" s="55" t="s">
        <v>20</v>
      </c>
      <c r="D190" s="22">
        <v>4</v>
      </c>
      <c r="E190" s="22">
        <v>1</v>
      </c>
      <c r="F190" s="22">
        <v>24</v>
      </c>
      <c r="G190" s="22">
        <v>26</v>
      </c>
      <c r="H190" s="55">
        <v>300</v>
      </c>
      <c r="I190" s="55">
        <v>-7.69</v>
      </c>
      <c r="J190" s="55">
        <v>0.02</v>
      </c>
      <c r="K190" s="55">
        <v>0.03</v>
      </c>
      <c r="L190" s="55">
        <v>0.01</v>
      </c>
      <c r="M190" s="55">
        <v>0.03</v>
      </c>
      <c r="N190" s="55"/>
    </row>
    <row r="191" spans="1:14">
      <c r="A191" s="55">
        <v>151</v>
      </c>
      <c r="B191" s="55" t="s">
        <v>613</v>
      </c>
      <c r="C191" s="55" t="s">
        <v>20</v>
      </c>
      <c r="D191" s="22">
        <v>7</v>
      </c>
      <c r="E191" s="22">
        <v>1</v>
      </c>
      <c r="F191" s="22">
        <v>24</v>
      </c>
      <c r="G191" s="22">
        <v>15</v>
      </c>
      <c r="H191" s="55">
        <v>600</v>
      </c>
      <c r="I191" s="55">
        <v>60</v>
      </c>
      <c r="J191" s="55">
        <v>0.04</v>
      </c>
      <c r="K191" s="55">
        <v>0.03</v>
      </c>
      <c r="L191" s="55">
        <v>0.01</v>
      </c>
      <c r="M191" s="55">
        <v>0.02</v>
      </c>
      <c r="N191" s="55"/>
    </row>
    <row r="192" spans="1:14">
      <c r="A192" s="55">
        <v>152</v>
      </c>
      <c r="B192" s="55" t="s">
        <v>401</v>
      </c>
      <c r="C192" s="55" t="s">
        <v>20</v>
      </c>
      <c r="D192" s="22">
        <v>2</v>
      </c>
      <c r="E192" s="22">
        <v>17</v>
      </c>
      <c r="F192" s="22">
        <v>23</v>
      </c>
      <c r="G192" s="22">
        <v>94</v>
      </c>
      <c r="H192" s="55">
        <v>-88.24</v>
      </c>
      <c r="I192" s="55">
        <v>-75.53</v>
      </c>
      <c r="J192" s="55">
        <v>0.01</v>
      </c>
      <c r="K192" s="55">
        <v>0.03</v>
      </c>
      <c r="L192" s="55">
        <v>0.12</v>
      </c>
      <c r="M192" s="55">
        <v>0.13</v>
      </c>
      <c r="N192" s="55"/>
    </row>
    <row r="193" spans="1:14">
      <c r="A193" s="55">
        <v>153</v>
      </c>
      <c r="B193" s="55" t="s">
        <v>440</v>
      </c>
      <c r="C193" s="55" t="s">
        <v>20</v>
      </c>
      <c r="D193" s="22">
        <v>7</v>
      </c>
      <c r="E193" s="22">
        <v>6</v>
      </c>
      <c r="F193" s="22">
        <v>23</v>
      </c>
      <c r="G193" s="22">
        <v>15</v>
      </c>
      <c r="H193" s="55">
        <v>16.670000000000002</v>
      </c>
      <c r="I193" s="55">
        <v>53.33</v>
      </c>
      <c r="J193" s="55">
        <v>0.04</v>
      </c>
      <c r="K193" s="55">
        <v>0.03</v>
      </c>
      <c r="L193" s="55">
        <v>0.04</v>
      </c>
      <c r="M193" s="55">
        <v>0.02</v>
      </c>
      <c r="N193" s="55"/>
    </row>
    <row r="194" spans="1:14">
      <c r="A194" s="55">
        <v>154</v>
      </c>
      <c r="B194" s="55" t="s">
        <v>647</v>
      </c>
      <c r="C194" s="55" t="s">
        <v>20</v>
      </c>
      <c r="D194" s="22">
        <v>5</v>
      </c>
      <c r="E194" s="22">
        <v>3</v>
      </c>
      <c r="F194" s="22">
        <v>21</v>
      </c>
      <c r="G194" s="22">
        <v>40</v>
      </c>
      <c r="H194" s="62">
        <v>66.67</v>
      </c>
      <c r="I194" s="62">
        <v>-47.5</v>
      </c>
      <c r="J194" s="62">
        <v>0.03</v>
      </c>
      <c r="K194" s="62">
        <v>0.03</v>
      </c>
      <c r="L194" s="62">
        <v>0.02</v>
      </c>
      <c r="M194" s="62">
        <v>0.05</v>
      </c>
      <c r="N194" s="55"/>
    </row>
    <row r="195" spans="1:14">
      <c r="A195" s="55">
        <v>155</v>
      </c>
      <c r="B195" s="55" t="s">
        <v>432</v>
      </c>
      <c r="C195" s="55" t="s">
        <v>20</v>
      </c>
      <c r="D195" s="22">
        <v>2</v>
      </c>
      <c r="E195" s="22">
        <v>5</v>
      </c>
      <c r="F195" s="22">
        <v>21</v>
      </c>
      <c r="G195" s="22">
        <v>22</v>
      </c>
      <c r="H195" s="55">
        <v>-60</v>
      </c>
      <c r="I195" s="55">
        <v>-4.55</v>
      </c>
      <c r="J195" s="55">
        <v>0.01</v>
      </c>
      <c r="K195" s="55">
        <v>0.03</v>
      </c>
      <c r="L195" s="55">
        <v>0.03</v>
      </c>
      <c r="M195" s="55">
        <v>0.03</v>
      </c>
      <c r="N195" s="55"/>
    </row>
    <row r="196" spans="1:14" hidden="1">
      <c r="A196" s="55">
        <v>156</v>
      </c>
      <c r="B196" s="55" t="s">
        <v>437</v>
      </c>
      <c r="C196" s="55" t="s">
        <v>19</v>
      </c>
      <c r="D196" s="22">
        <v>3</v>
      </c>
      <c r="E196" s="22">
        <v>18</v>
      </c>
      <c r="F196" s="22">
        <v>20</v>
      </c>
      <c r="G196" s="22">
        <v>67</v>
      </c>
      <c r="H196" s="55">
        <v>-83.33</v>
      </c>
      <c r="I196" s="55">
        <v>-70.150000000000006</v>
      </c>
      <c r="J196" s="55">
        <v>0.02</v>
      </c>
      <c r="K196" s="55">
        <v>0.02</v>
      </c>
      <c r="L196" s="55">
        <v>0.13</v>
      </c>
      <c r="M196" s="55">
        <v>0.09</v>
      </c>
      <c r="N196" s="55"/>
    </row>
    <row r="197" spans="1:14" hidden="1">
      <c r="A197" s="55">
        <v>157</v>
      </c>
      <c r="B197" s="55" t="s">
        <v>705</v>
      </c>
      <c r="C197" s="55" t="s">
        <v>19</v>
      </c>
      <c r="D197" s="22">
        <v>2</v>
      </c>
      <c r="E197" s="22">
        <v>3</v>
      </c>
      <c r="F197" s="22">
        <v>19</v>
      </c>
      <c r="G197" s="22">
        <v>48</v>
      </c>
      <c r="H197" s="55">
        <v>-33.33</v>
      </c>
      <c r="I197" s="55">
        <v>-60.42</v>
      </c>
      <c r="J197" s="55">
        <v>0.01</v>
      </c>
      <c r="K197" s="55">
        <v>0.02</v>
      </c>
      <c r="L197" s="55">
        <v>0.02</v>
      </c>
      <c r="M197" s="55">
        <v>0.06</v>
      </c>
      <c r="N197" s="55"/>
    </row>
    <row r="198" spans="1:14" hidden="1">
      <c r="A198" s="55">
        <v>158</v>
      </c>
      <c r="B198" s="55" t="s">
        <v>130</v>
      </c>
      <c r="C198" s="55" t="s">
        <v>19</v>
      </c>
      <c r="D198" s="22">
        <v>6</v>
      </c>
      <c r="E198" s="22">
        <v>9</v>
      </c>
      <c r="F198" s="22">
        <v>18</v>
      </c>
      <c r="G198" s="22">
        <v>72</v>
      </c>
      <c r="H198" s="55">
        <v>-33.33</v>
      </c>
      <c r="I198" s="55">
        <v>-75</v>
      </c>
      <c r="J198" s="55">
        <v>0.04</v>
      </c>
      <c r="K198" s="55">
        <v>0.02</v>
      </c>
      <c r="L198" s="55">
        <v>0.06</v>
      </c>
      <c r="M198" s="55">
        <v>0.1</v>
      </c>
      <c r="N198" s="55"/>
    </row>
    <row r="199" spans="1:14" hidden="1">
      <c r="A199" s="55">
        <v>159</v>
      </c>
      <c r="B199" s="55" t="s">
        <v>598</v>
      </c>
      <c r="C199" s="55" t="s">
        <v>19</v>
      </c>
      <c r="D199" s="22">
        <v>7</v>
      </c>
      <c r="E199" s="22">
        <v>1</v>
      </c>
      <c r="F199" s="22">
        <v>17</v>
      </c>
      <c r="G199" s="22">
        <v>45</v>
      </c>
      <c r="H199" s="55">
        <v>600</v>
      </c>
      <c r="I199" s="55">
        <v>-62.22</v>
      </c>
      <c r="J199" s="55">
        <v>0.04</v>
      </c>
      <c r="K199" s="55">
        <v>0.02</v>
      </c>
      <c r="L199" s="55">
        <v>0.01</v>
      </c>
      <c r="M199" s="55">
        <v>0.06</v>
      </c>
      <c r="N199" s="55"/>
    </row>
    <row r="200" spans="1:14" hidden="1">
      <c r="A200" s="55">
        <v>160</v>
      </c>
      <c r="B200" s="55" t="s">
        <v>693</v>
      </c>
      <c r="C200" s="55" t="s">
        <v>19</v>
      </c>
      <c r="D200" s="22">
        <v>1</v>
      </c>
      <c r="E200" s="22">
        <v>3</v>
      </c>
      <c r="F200" s="22">
        <v>17</v>
      </c>
      <c r="G200" s="22">
        <v>7</v>
      </c>
      <c r="H200" s="55">
        <v>-66.67</v>
      </c>
      <c r="I200" s="55">
        <v>142.86000000000001</v>
      </c>
      <c r="J200" s="55">
        <v>0.01</v>
      </c>
      <c r="K200" s="55">
        <v>0.02</v>
      </c>
      <c r="L200" s="55">
        <v>0.02</v>
      </c>
      <c r="M200" s="55">
        <v>0.01</v>
      </c>
      <c r="N200" s="55"/>
    </row>
    <row r="201" spans="1:14" hidden="1">
      <c r="A201" s="55">
        <v>161</v>
      </c>
      <c r="B201" s="55" t="s">
        <v>701</v>
      </c>
      <c r="C201" s="55" t="s">
        <v>19</v>
      </c>
      <c r="D201" s="22">
        <v>0</v>
      </c>
      <c r="E201" s="22">
        <v>3</v>
      </c>
      <c r="F201" s="22">
        <v>17</v>
      </c>
      <c r="G201" s="22">
        <v>5</v>
      </c>
      <c r="H201" s="55">
        <v>-100</v>
      </c>
      <c r="I201" s="55">
        <v>240</v>
      </c>
      <c r="J201" s="55">
        <v>0</v>
      </c>
      <c r="K201" s="55">
        <v>0.02</v>
      </c>
      <c r="L201" s="55">
        <v>0.02</v>
      </c>
      <c r="M201" s="55">
        <v>0.01</v>
      </c>
      <c r="N201" s="55"/>
    </row>
    <row r="202" spans="1:14">
      <c r="A202" s="55">
        <v>162</v>
      </c>
      <c r="B202" s="55" t="s">
        <v>1133</v>
      </c>
      <c r="C202" s="55" t="s">
        <v>20</v>
      </c>
      <c r="D202" s="22">
        <v>3</v>
      </c>
      <c r="E202" s="22">
        <v>0</v>
      </c>
      <c r="F202" s="22">
        <v>17</v>
      </c>
      <c r="G202" s="22">
        <v>0</v>
      </c>
      <c r="H202" s="55">
        <v>0</v>
      </c>
      <c r="I202" s="55">
        <v>0</v>
      </c>
      <c r="J202" s="55">
        <v>0.02</v>
      </c>
      <c r="K202" s="55">
        <v>0.02</v>
      </c>
      <c r="L202" s="55">
        <v>0</v>
      </c>
      <c r="M202" s="55">
        <v>0</v>
      </c>
      <c r="N202" s="55"/>
    </row>
    <row r="203" spans="1:14" hidden="1">
      <c r="A203" s="55">
        <v>163</v>
      </c>
      <c r="B203" s="55" t="s">
        <v>495</v>
      </c>
      <c r="C203" s="55" t="s">
        <v>19</v>
      </c>
      <c r="D203" s="22">
        <v>3</v>
      </c>
      <c r="E203" s="22">
        <v>0</v>
      </c>
      <c r="F203" s="22">
        <v>16</v>
      </c>
      <c r="G203" s="22">
        <v>6</v>
      </c>
      <c r="H203" s="55">
        <v>0</v>
      </c>
      <c r="I203" s="55">
        <v>166.67</v>
      </c>
      <c r="J203" s="55">
        <v>0.02</v>
      </c>
      <c r="K203" s="55">
        <v>0.02</v>
      </c>
      <c r="L203" s="55">
        <v>0</v>
      </c>
      <c r="M203" s="55">
        <v>0.01</v>
      </c>
      <c r="N203" s="55"/>
    </row>
    <row r="204" spans="1:14">
      <c r="A204" s="135">
        <v>164</v>
      </c>
      <c r="B204" s="135" t="s">
        <v>1040</v>
      </c>
      <c r="C204" s="135" t="s">
        <v>20</v>
      </c>
      <c r="D204" s="142">
        <v>0</v>
      </c>
      <c r="E204" s="142">
        <v>0</v>
      </c>
      <c r="F204" s="142">
        <v>16</v>
      </c>
      <c r="G204" s="142">
        <v>0</v>
      </c>
      <c r="H204" s="135">
        <v>0</v>
      </c>
      <c r="I204" s="135">
        <v>0</v>
      </c>
      <c r="J204" s="135">
        <v>0</v>
      </c>
      <c r="K204" s="135">
        <v>0.02</v>
      </c>
      <c r="L204" s="135">
        <v>0</v>
      </c>
      <c r="M204" s="135">
        <v>0</v>
      </c>
      <c r="N204" s="55"/>
    </row>
    <row r="205" spans="1:14" hidden="1">
      <c r="A205" s="135">
        <v>165</v>
      </c>
      <c r="B205" s="135" t="s">
        <v>492</v>
      </c>
      <c r="C205" s="135" t="s">
        <v>19</v>
      </c>
      <c r="D205" s="142">
        <v>8</v>
      </c>
      <c r="E205" s="142">
        <v>1</v>
      </c>
      <c r="F205" s="142">
        <v>15</v>
      </c>
      <c r="G205" s="142">
        <v>27</v>
      </c>
      <c r="H205" s="135">
        <v>700</v>
      </c>
      <c r="I205" s="135">
        <v>-44.44</v>
      </c>
      <c r="J205" s="135">
        <v>0.05</v>
      </c>
      <c r="K205" s="135">
        <v>0.02</v>
      </c>
      <c r="L205" s="135">
        <v>0.01</v>
      </c>
      <c r="M205" s="135">
        <v>0.04</v>
      </c>
      <c r="N205" s="55"/>
    </row>
    <row r="206" spans="1:14">
      <c r="A206" s="135">
        <v>166</v>
      </c>
      <c r="B206" s="135" t="s">
        <v>1103</v>
      </c>
      <c r="C206" s="135" t="s">
        <v>20</v>
      </c>
      <c r="D206" s="142">
        <v>4</v>
      </c>
      <c r="E206" s="142">
        <v>1</v>
      </c>
      <c r="F206" s="142">
        <v>13</v>
      </c>
      <c r="G206" s="142">
        <v>10</v>
      </c>
      <c r="H206" s="135">
        <v>300</v>
      </c>
      <c r="I206" s="135">
        <v>30</v>
      </c>
      <c r="J206" s="135">
        <v>0.02</v>
      </c>
      <c r="K206" s="135">
        <v>0.02</v>
      </c>
      <c r="L206" s="135">
        <v>0.01</v>
      </c>
      <c r="M206" s="135">
        <v>0.01</v>
      </c>
      <c r="N206" s="55"/>
    </row>
    <row r="207" spans="1:14">
      <c r="A207" s="135">
        <v>167</v>
      </c>
      <c r="B207" s="135" t="s">
        <v>1088</v>
      </c>
      <c r="C207" s="135" t="s">
        <v>20</v>
      </c>
      <c r="D207" s="142">
        <v>4</v>
      </c>
      <c r="E207" s="142">
        <v>0</v>
      </c>
      <c r="F207" s="142">
        <v>13</v>
      </c>
      <c r="G207" s="142">
        <v>0</v>
      </c>
      <c r="H207" s="135">
        <v>0</v>
      </c>
      <c r="I207" s="135">
        <v>0</v>
      </c>
      <c r="J207" s="135">
        <v>0.02</v>
      </c>
      <c r="K207" s="135">
        <v>0.02</v>
      </c>
      <c r="L207" s="135">
        <v>0</v>
      </c>
      <c r="M207" s="135">
        <v>0</v>
      </c>
      <c r="N207" s="55"/>
    </row>
    <row r="208" spans="1:14" hidden="1">
      <c r="A208" s="135">
        <v>168</v>
      </c>
      <c r="B208" s="135" t="s">
        <v>172</v>
      </c>
      <c r="C208" s="135" t="s">
        <v>19</v>
      </c>
      <c r="D208" s="142">
        <v>1</v>
      </c>
      <c r="E208" s="142">
        <v>10</v>
      </c>
      <c r="F208" s="142">
        <v>11</v>
      </c>
      <c r="G208" s="142">
        <v>26</v>
      </c>
      <c r="H208" s="135">
        <v>-90</v>
      </c>
      <c r="I208" s="135">
        <v>-57.69</v>
      </c>
      <c r="J208" s="135">
        <v>0.01</v>
      </c>
      <c r="K208" s="135">
        <v>0.01</v>
      </c>
      <c r="L208" s="135">
        <v>7.0000000000000007E-2</v>
      </c>
      <c r="M208" s="135">
        <v>0.03</v>
      </c>
      <c r="N208" s="55"/>
    </row>
    <row r="209" spans="1:14" hidden="1">
      <c r="A209" s="135">
        <v>169</v>
      </c>
      <c r="B209" s="135" t="s">
        <v>500</v>
      </c>
      <c r="C209" s="135" t="s">
        <v>19</v>
      </c>
      <c r="D209" s="142">
        <v>4</v>
      </c>
      <c r="E209" s="142">
        <v>1</v>
      </c>
      <c r="F209" s="142">
        <v>11</v>
      </c>
      <c r="G209" s="142">
        <v>21</v>
      </c>
      <c r="H209" s="135">
        <v>300</v>
      </c>
      <c r="I209" s="135">
        <v>-47.62</v>
      </c>
      <c r="J209" s="135">
        <v>0.02</v>
      </c>
      <c r="K209" s="135">
        <v>0.01</v>
      </c>
      <c r="L209" s="135">
        <v>0.01</v>
      </c>
      <c r="M209" s="135">
        <v>0.03</v>
      </c>
      <c r="N209" s="55"/>
    </row>
    <row r="210" spans="1:14" hidden="1">
      <c r="A210" s="135">
        <v>170</v>
      </c>
      <c r="B210" s="135" t="s">
        <v>422</v>
      </c>
      <c r="C210" s="135" t="s">
        <v>19</v>
      </c>
      <c r="D210" s="142">
        <v>2</v>
      </c>
      <c r="E210" s="142">
        <v>4</v>
      </c>
      <c r="F210" s="142">
        <v>10</v>
      </c>
      <c r="G210" s="142">
        <v>27</v>
      </c>
      <c r="H210" s="135">
        <v>-50</v>
      </c>
      <c r="I210" s="135">
        <v>-62.96</v>
      </c>
      <c r="J210" s="135">
        <v>0.01</v>
      </c>
      <c r="K210" s="135">
        <v>0.01</v>
      </c>
      <c r="L210" s="135">
        <v>0.03</v>
      </c>
      <c r="M210" s="135">
        <v>0.04</v>
      </c>
      <c r="N210" s="55"/>
    </row>
    <row r="211" spans="1:14" hidden="1">
      <c r="A211" s="135">
        <v>171</v>
      </c>
      <c r="B211" s="135" t="s">
        <v>238</v>
      </c>
      <c r="C211" s="135" t="s">
        <v>19</v>
      </c>
      <c r="D211" s="142">
        <v>10</v>
      </c>
      <c r="E211" s="142">
        <v>2</v>
      </c>
      <c r="F211" s="142">
        <v>10</v>
      </c>
      <c r="G211" s="142">
        <v>13</v>
      </c>
      <c r="H211" s="135">
        <v>400</v>
      </c>
      <c r="I211" s="135">
        <v>-23.08</v>
      </c>
      <c r="J211" s="135">
        <v>0.06</v>
      </c>
      <c r="K211" s="135">
        <v>0.01</v>
      </c>
      <c r="L211" s="135">
        <v>0.01</v>
      </c>
      <c r="M211" s="135">
        <v>0.02</v>
      </c>
      <c r="N211" s="55"/>
    </row>
    <row r="212" spans="1:14">
      <c r="A212" s="135">
        <v>172</v>
      </c>
      <c r="B212" s="135" t="s">
        <v>389</v>
      </c>
      <c r="C212" s="135" t="s">
        <v>20</v>
      </c>
      <c r="D212" s="142">
        <v>3</v>
      </c>
      <c r="E212" s="142">
        <v>11</v>
      </c>
      <c r="F212" s="142">
        <v>9</v>
      </c>
      <c r="G212" s="142">
        <v>79</v>
      </c>
      <c r="H212" s="135">
        <v>-72.73</v>
      </c>
      <c r="I212" s="135">
        <v>-88.61</v>
      </c>
      <c r="J212" s="135">
        <v>0.02</v>
      </c>
      <c r="K212" s="135">
        <v>0.01</v>
      </c>
      <c r="L212" s="135">
        <v>0.08</v>
      </c>
      <c r="M212" s="135">
        <v>0.11</v>
      </c>
      <c r="N212" s="55"/>
    </row>
    <row r="213" spans="1:14" hidden="1">
      <c r="A213" s="135">
        <v>173</v>
      </c>
      <c r="B213" s="135" t="s">
        <v>233</v>
      </c>
      <c r="C213" s="135" t="s">
        <v>19</v>
      </c>
      <c r="D213" s="142">
        <v>2</v>
      </c>
      <c r="E213" s="142">
        <v>0</v>
      </c>
      <c r="F213" s="142">
        <v>9</v>
      </c>
      <c r="G213" s="142">
        <v>16</v>
      </c>
      <c r="H213" s="137">
        <v>0</v>
      </c>
      <c r="I213" s="137">
        <v>-43.75</v>
      </c>
      <c r="J213" s="137">
        <v>0.01</v>
      </c>
      <c r="K213" s="137">
        <v>0.01</v>
      </c>
      <c r="L213" s="137">
        <v>0</v>
      </c>
      <c r="M213" s="137">
        <v>0.02</v>
      </c>
      <c r="N213" s="55"/>
    </row>
    <row r="214" spans="1:14">
      <c r="A214" s="135">
        <v>174</v>
      </c>
      <c r="B214" s="135" t="s">
        <v>1015</v>
      </c>
      <c r="C214" s="135" t="s">
        <v>20</v>
      </c>
      <c r="D214" s="142">
        <v>2</v>
      </c>
      <c r="E214" s="142">
        <v>0</v>
      </c>
      <c r="F214" s="142">
        <v>9</v>
      </c>
      <c r="G214" s="142">
        <v>0</v>
      </c>
      <c r="H214" s="135">
        <v>0</v>
      </c>
      <c r="I214" s="135">
        <v>0</v>
      </c>
      <c r="J214" s="135">
        <v>0.01</v>
      </c>
      <c r="K214" s="135">
        <v>0.01</v>
      </c>
      <c r="L214" s="135">
        <v>0</v>
      </c>
      <c r="M214" s="135">
        <v>0</v>
      </c>
      <c r="N214" s="55"/>
    </row>
    <row r="215" spans="1:14" hidden="1">
      <c r="A215" s="135">
        <v>175</v>
      </c>
      <c r="B215" s="135" t="s">
        <v>424</v>
      </c>
      <c r="C215" s="135" t="s">
        <v>19</v>
      </c>
      <c r="D215" s="142">
        <v>3</v>
      </c>
      <c r="E215" s="142">
        <v>2</v>
      </c>
      <c r="F215" s="142">
        <v>8</v>
      </c>
      <c r="G215" s="142">
        <v>29</v>
      </c>
      <c r="H215" s="135">
        <v>50</v>
      </c>
      <c r="I215" s="135">
        <v>-72.41</v>
      </c>
      <c r="J215" s="135">
        <v>0.02</v>
      </c>
      <c r="K215" s="135">
        <v>0.01</v>
      </c>
      <c r="L215" s="135">
        <v>0.01</v>
      </c>
      <c r="M215" s="135">
        <v>0.04</v>
      </c>
      <c r="N215" s="55"/>
    </row>
    <row r="216" spans="1:14" hidden="1">
      <c r="A216" s="135">
        <v>176</v>
      </c>
      <c r="B216" s="135" t="s">
        <v>360</v>
      </c>
      <c r="C216" s="135" t="s">
        <v>19</v>
      </c>
      <c r="D216" s="142">
        <v>0</v>
      </c>
      <c r="E216" s="142">
        <v>3</v>
      </c>
      <c r="F216" s="142">
        <v>8</v>
      </c>
      <c r="G216" s="142">
        <v>8</v>
      </c>
      <c r="H216" s="135">
        <v>-100</v>
      </c>
      <c r="I216" s="135">
        <v>0</v>
      </c>
      <c r="J216" s="135">
        <v>0</v>
      </c>
      <c r="K216" s="135">
        <v>0.01</v>
      </c>
      <c r="L216" s="135">
        <v>0.02</v>
      </c>
      <c r="M216" s="135">
        <v>0.01</v>
      </c>
      <c r="N216" s="55"/>
    </row>
    <row r="217" spans="1:14">
      <c r="A217" s="135">
        <v>177</v>
      </c>
      <c r="B217" s="135" t="s">
        <v>1139</v>
      </c>
      <c r="C217" s="135" t="s">
        <v>20</v>
      </c>
      <c r="D217" s="142">
        <v>3</v>
      </c>
      <c r="E217" s="142">
        <v>0</v>
      </c>
      <c r="F217" s="142">
        <v>7</v>
      </c>
      <c r="G217" s="142">
        <v>0</v>
      </c>
      <c r="H217" s="135">
        <v>0</v>
      </c>
      <c r="I217" s="135">
        <v>0</v>
      </c>
      <c r="J217" s="135">
        <v>0.02</v>
      </c>
      <c r="K217" s="135">
        <v>0.01</v>
      </c>
      <c r="L217" s="135">
        <v>0</v>
      </c>
      <c r="M217" s="135">
        <v>0</v>
      </c>
      <c r="N217" s="55"/>
    </row>
    <row r="218" spans="1:14" hidden="1">
      <c r="A218" s="135">
        <v>178</v>
      </c>
      <c r="B218" s="135" t="s">
        <v>392</v>
      </c>
      <c r="C218" s="135" t="s">
        <v>19</v>
      </c>
      <c r="D218" s="142">
        <v>0</v>
      </c>
      <c r="E218" s="142">
        <v>0</v>
      </c>
      <c r="F218" s="142">
        <v>7</v>
      </c>
      <c r="G218" s="142">
        <v>0</v>
      </c>
      <c r="H218" s="135">
        <v>0</v>
      </c>
      <c r="I218" s="135">
        <v>0</v>
      </c>
      <c r="J218" s="135">
        <v>0</v>
      </c>
      <c r="K218" s="135">
        <v>0.01</v>
      </c>
      <c r="L218" s="135">
        <v>0</v>
      </c>
      <c r="M218" s="135">
        <v>0</v>
      </c>
      <c r="N218" s="55"/>
    </row>
    <row r="219" spans="1:14" hidden="1">
      <c r="A219" s="135">
        <v>179</v>
      </c>
      <c r="B219" s="135" t="s">
        <v>378</v>
      </c>
      <c r="C219" s="135" t="s">
        <v>19</v>
      </c>
      <c r="D219" s="142">
        <v>0</v>
      </c>
      <c r="E219" s="142">
        <v>8</v>
      </c>
      <c r="F219" s="142">
        <v>6</v>
      </c>
      <c r="G219" s="142">
        <v>63</v>
      </c>
      <c r="H219" s="135">
        <v>-100</v>
      </c>
      <c r="I219" s="135">
        <v>-90.48</v>
      </c>
      <c r="J219" s="135">
        <v>0</v>
      </c>
      <c r="K219" s="135">
        <v>0.01</v>
      </c>
      <c r="L219" s="135">
        <v>0.06</v>
      </c>
      <c r="M219" s="135">
        <v>0.08</v>
      </c>
      <c r="N219" s="55"/>
    </row>
    <row r="220" spans="1:14">
      <c r="A220" s="135">
        <v>180</v>
      </c>
      <c r="B220" s="135" t="s">
        <v>1085</v>
      </c>
      <c r="C220" s="135" t="s">
        <v>20</v>
      </c>
      <c r="D220" s="142">
        <v>0</v>
      </c>
      <c r="E220" s="142">
        <v>1</v>
      </c>
      <c r="F220" s="142">
        <v>6</v>
      </c>
      <c r="G220" s="142">
        <v>14</v>
      </c>
      <c r="H220" s="135">
        <v>-100</v>
      </c>
      <c r="I220" s="135">
        <v>-57.14</v>
      </c>
      <c r="J220" s="135">
        <v>0</v>
      </c>
      <c r="K220" s="135">
        <v>0.01</v>
      </c>
      <c r="L220" s="135">
        <v>0.01</v>
      </c>
      <c r="M220" s="135">
        <v>0.02</v>
      </c>
      <c r="N220" s="55"/>
    </row>
    <row r="221" spans="1:14" hidden="1">
      <c r="A221" s="135">
        <v>181</v>
      </c>
      <c r="B221" s="135" t="s">
        <v>1100</v>
      </c>
      <c r="C221" s="135" t="s">
        <v>19</v>
      </c>
      <c r="D221" s="142">
        <v>0</v>
      </c>
      <c r="E221" s="142">
        <v>0</v>
      </c>
      <c r="F221" s="142">
        <v>5</v>
      </c>
      <c r="G221" s="142">
        <v>0</v>
      </c>
      <c r="H221" s="135">
        <v>0</v>
      </c>
      <c r="I221" s="135">
        <v>0</v>
      </c>
      <c r="J221" s="135">
        <v>0</v>
      </c>
      <c r="K221" s="135">
        <v>0.01</v>
      </c>
      <c r="L221" s="135">
        <v>0</v>
      </c>
      <c r="M221" s="135">
        <v>0</v>
      </c>
      <c r="N221" s="55"/>
    </row>
    <row r="222" spans="1:14" hidden="1">
      <c r="A222" s="135">
        <v>182</v>
      </c>
      <c r="B222" s="135" t="s">
        <v>1239</v>
      </c>
      <c r="C222" s="135" t="s">
        <v>19</v>
      </c>
      <c r="D222" s="142">
        <v>5</v>
      </c>
      <c r="E222" s="142">
        <v>0</v>
      </c>
      <c r="F222" s="142">
        <v>5</v>
      </c>
      <c r="G222" s="142">
        <v>0</v>
      </c>
      <c r="H222" s="135">
        <v>0</v>
      </c>
      <c r="I222" s="135">
        <v>0</v>
      </c>
      <c r="J222" s="135">
        <v>0.03</v>
      </c>
      <c r="K222" s="135">
        <v>0.01</v>
      </c>
      <c r="L222" s="135">
        <v>0</v>
      </c>
      <c r="M222" s="135">
        <v>0</v>
      </c>
      <c r="N222" s="55"/>
    </row>
    <row r="223" spans="1:14" hidden="1">
      <c r="A223" s="135">
        <v>183</v>
      </c>
      <c r="B223" s="135" t="s">
        <v>436</v>
      </c>
      <c r="C223" s="135" t="s">
        <v>19</v>
      </c>
      <c r="D223" s="142">
        <v>4</v>
      </c>
      <c r="E223" s="142">
        <v>2</v>
      </c>
      <c r="F223" s="142">
        <v>4</v>
      </c>
      <c r="G223" s="142">
        <v>5</v>
      </c>
      <c r="H223" s="135">
        <v>100</v>
      </c>
      <c r="I223" s="135">
        <v>-20</v>
      </c>
      <c r="J223" s="135">
        <v>0.02</v>
      </c>
      <c r="K223" s="135">
        <v>0</v>
      </c>
      <c r="L223" s="135">
        <v>0.01</v>
      </c>
      <c r="M223" s="135">
        <v>0.01</v>
      </c>
      <c r="N223" s="55"/>
    </row>
    <row r="224" spans="1:14" hidden="1">
      <c r="A224" s="135">
        <v>184</v>
      </c>
      <c r="B224" s="135" t="s">
        <v>1099</v>
      </c>
      <c r="C224" s="135" t="s">
        <v>19</v>
      </c>
      <c r="D224" s="142">
        <v>1</v>
      </c>
      <c r="E224" s="142">
        <v>1</v>
      </c>
      <c r="F224" s="142">
        <v>4</v>
      </c>
      <c r="G224" s="142">
        <v>3</v>
      </c>
      <c r="H224" s="135">
        <v>0</v>
      </c>
      <c r="I224" s="135">
        <v>33.33</v>
      </c>
      <c r="J224" s="135">
        <v>0.01</v>
      </c>
      <c r="K224" s="135">
        <v>0</v>
      </c>
      <c r="L224" s="135">
        <v>0.01</v>
      </c>
      <c r="M224" s="135">
        <v>0</v>
      </c>
      <c r="N224" s="55"/>
    </row>
    <row r="225" spans="1:14" hidden="1">
      <c r="A225" s="135">
        <v>185</v>
      </c>
      <c r="B225" s="135" t="s">
        <v>1164</v>
      </c>
      <c r="C225" s="135" t="s">
        <v>19</v>
      </c>
      <c r="D225" s="142">
        <v>1</v>
      </c>
      <c r="E225" s="142">
        <v>0</v>
      </c>
      <c r="F225" s="142">
        <v>4</v>
      </c>
      <c r="G225" s="142">
        <v>0</v>
      </c>
      <c r="H225" s="135">
        <v>0</v>
      </c>
      <c r="I225" s="135">
        <v>0</v>
      </c>
      <c r="J225" s="135">
        <v>0.01</v>
      </c>
      <c r="K225" s="135">
        <v>0</v>
      </c>
      <c r="L225" s="135">
        <v>0</v>
      </c>
      <c r="M225" s="135">
        <v>0</v>
      </c>
      <c r="N225" s="55"/>
    </row>
    <row r="226" spans="1:14" hidden="1">
      <c r="A226" s="135">
        <v>186</v>
      </c>
      <c r="B226" s="135" t="s">
        <v>1166</v>
      </c>
      <c r="C226" s="135" t="s">
        <v>19</v>
      </c>
      <c r="D226" s="142">
        <v>2</v>
      </c>
      <c r="E226" s="142">
        <v>0</v>
      </c>
      <c r="F226" s="142">
        <v>4</v>
      </c>
      <c r="G226" s="142">
        <v>0</v>
      </c>
      <c r="H226" s="135">
        <v>0</v>
      </c>
      <c r="I226" s="135">
        <v>0</v>
      </c>
      <c r="J226" s="135">
        <v>0.01</v>
      </c>
      <c r="K226" s="135">
        <v>0</v>
      </c>
      <c r="L226" s="135">
        <v>0</v>
      </c>
      <c r="M226" s="135">
        <v>0</v>
      </c>
      <c r="N226" s="55"/>
    </row>
    <row r="227" spans="1:14" hidden="1">
      <c r="A227" s="135">
        <v>187</v>
      </c>
      <c r="B227" s="135" t="s">
        <v>141</v>
      </c>
      <c r="C227" s="135" t="s">
        <v>19</v>
      </c>
      <c r="D227" s="142">
        <v>0</v>
      </c>
      <c r="E227" s="142">
        <v>9</v>
      </c>
      <c r="F227" s="142">
        <v>3</v>
      </c>
      <c r="G227" s="142">
        <v>95</v>
      </c>
      <c r="H227" s="135">
        <v>-100</v>
      </c>
      <c r="I227" s="135">
        <v>-96.84</v>
      </c>
      <c r="J227" s="135">
        <v>0</v>
      </c>
      <c r="K227" s="135">
        <v>0</v>
      </c>
      <c r="L227" s="135">
        <v>0.06</v>
      </c>
      <c r="M227" s="135">
        <v>0.13</v>
      </c>
      <c r="N227" s="55"/>
    </row>
    <row r="228" spans="1:14" hidden="1">
      <c r="A228" s="135">
        <v>188</v>
      </c>
      <c r="B228" s="135" t="s">
        <v>1162</v>
      </c>
      <c r="C228" s="135" t="s">
        <v>1163</v>
      </c>
      <c r="D228" s="142">
        <v>0</v>
      </c>
      <c r="E228" s="142">
        <v>0</v>
      </c>
      <c r="F228" s="142">
        <v>3</v>
      </c>
      <c r="G228" s="142">
        <v>0</v>
      </c>
      <c r="H228" s="135">
        <v>0</v>
      </c>
      <c r="I228" s="135">
        <v>0</v>
      </c>
      <c r="J228" s="135">
        <v>0</v>
      </c>
      <c r="K228" s="135">
        <v>0</v>
      </c>
      <c r="L228" s="135">
        <v>0</v>
      </c>
      <c r="M228" s="135">
        <v>0</v>
      </c>
      <c r="N228" s="55"/>
    </row>
    <row r="229" spans="1:14" hidden="1">
      <c r="A229" s="135">
        <v>189</v>
      </c>
      <c r="B229" s="135" t="s">
        <v>1065</v>
      </c>
      <c r="C229" s="135" t="s">
        <v>19</v>
      </c>
      <c r="D229" s="142">
        <v>0</v>
      </c>
      <c r="E229" s="142">
        <v>0</v>
      </c>
      <c r="F229" s="142">
        <v>3</v>
      </c>
      <c r="G229" s="142">
        <v>0</v>
      </c>
      <c r="H229" s="135">
        <v>0</v>
      </c>
      <c r="I229" s="135">
        <v>0</v>
      </c>
      <c r="J229" s="135">
        <v>0</v>
      </c>
      <c r="K229" s="135">
        <v>0</v>
      </c>
      <c r="L229" s="135">
        <v>0</v>
      </c>
      <c r="M229" s="135">
        <v>0</v>
      </c>
      <c r="N229" s="55"/>
    </row>
    <row r="230" spans="1:14">
      <c r="A230" s="135">
        <v>190</v>
      </c>
      <c r="B230" s="135" t="s">
        <v>231</v>
      </c>
      <c r="C230" s="135" t="s">
        <v>20</v>
      </c>
      <c r="D230" s="142">
        <v>0</v>
      </c>
      <c r="E230" s="142">
        <v>29</v>
      </c>
      <c r="F230" s="142">
        <v>2</v>
      </c>
      <c r="G230" s="142">
        <v>1308</v>
      </c>
      <c r="H230" s="135">
        <v>-100</v>
      </c>
      <c r="I230" s="135">
        <v>-99.85</v>
      </c>
      <c r="J230" s="135">
        <v>0</v>
      </c>
      <c r="K230" s="135">
        <v>0</v>
      </c>
      <c r="L230" s="135">
        <v>0.2</v>
      </c>
      <c r="M230" s="135">
        <v>1.75</v>
      </c>
      <c r="N230" s="55"/>
    </row>
    <row r="231" spans="1:14" hidden="1">
      <c r="A231" s="135">
        <v>191</v>
      </c>
      <c r="B231" s="135" t="s">
        <v>497</v>
      </c>
      <c r="C231" s="135" t="s">
        <v>19</v>
      </c>
      <c r="D231" s="142">
        <v>1</v>
      </c>
      <c r="E231" s="142">
        <v>5</v>
      </c>
      <c r="F231" s="142">
        <v>2</v>
      </c>
      <c r="G231" s="142">
        <v>33</v>
      </c>
      <c r="H231" s="135">
        <v>-80</v>
      </c>
      <c r="I231" s="135">
        <v>-93.94</v>
      </c>
      <c r="J231" s="135">
        <v>0.01</v>
      </c>
      <c r="K231" s="135">
        <v>0</v>
      </c>
      <c r="L231" s="135">
        <v>0.03</v>
      </c>
      <c r="M231" s="135">
        <v>0.04</v>
      </c>
      <c r="N231" s="55"/>
    </row>
    <row r="232" spans="1:14" hidden="1">
      <c r="A232" s="135">
        <v>192</v>
      </c>
      <c r="B232" s="135" t="s">
        <v>673</v>
      </c>
      <c r="C232" s="135" t="s">
        <v>19</v>
      </c>
      <c r="D232" s="142">
        <v>0</v>
      </c>
      <c r="E232" s="142">
        <v>6</v>
      </c>
      <c r="F232" s="142">
        <v>2</v>
      </c>
      <c r="G232" s="142">
        <v>8</v>
      </c>
      <c r="H232" s="135">
        <v>-100</v>
      </c>
      <c r="I232" s="135">
        <v>-75</v>
      </c>
      <c r="J232" s="135">
        <v>0</v>
      </c>
      <c r="K232" s="135">
        <v>0</v>
      </c>
      <c r="L232" s="135">
        <v>0.04</v>
      </c>
      <c r="M232" s="135">
        <v>0.01</v>
      </c>
      <c r="N232" s="55"/>
    </row>
    <row r="233" spans="1:14" hidden="1">
      <c r="A233" s="135">
        <v>193</v>
      </c>
      <c r="B233" s="135" t="s">
        <v>554</v>
      </c>
      <c r="C233" s="135" t="s">
        <v>19</v>
      </c>
      <c r="D233" s="142">
        <v>0</v>
      </c>
      <c r="E233" s="142">
        <v>2</v>
      </c>
      <c r="F233" s="142">
        <v>2</v>
      </c>
      <c r="G233" s="142">
        <v>4</v>
      </c>
      <c r="H233" s="135">
        <v>-100</v>
      </c>
      <c r="I233" s="135">
        <v>-50</v>
      </c>
      <c r="J233" s="135">
        <v>0</v>
      </c>
      <c r="K233" s="135">
        <v>0</v>
      </c>
      <c r="L233" s="135">
        <v>0.01</v>
      </c>
      <c r="M233" s="135">
        <v>0.01</v>
      </c>
      <c r="N233" s="55"/>
    </row>
    <row r="234" spans="1:14" hidden="1">
      <c r="A234" s="135">
        <v>194</v>
      </c>
      <c r="B234" s="135" t="s">
        <v>1102</v>
      </c>
      <c r="C234" s="135" t="s">
        <v>19</v>
      </c>
      <c r="D234" s="142">
        <v>0</v>
      </c>
      <c r="E234" s="142">
        <v>0</v>
      </c>
      <c r="F234" s="142">
        <v>2</v>
      </c>
      <c r="G234" s="142">
        <v>2</v>
      </c>
      <c r="H234" s="135">
        <v>0</v>
      </c>
      <c r="I234" s="135">
        <v>0</v>
      </c>
      <c r="J234" s="135">
        <v>0</v>
      </c>
      <c r="K234" s="135">
        <v>0</v>
      </c>
      <c r="L234" s="135">
        <v>0</v>
      </c>
      <c r="M234" s="135">
        <v>0</v>
      </c>
      <c r="N234" s="55"/>
    </row>
    <row r="235" spans="1:14" hidden="1">
      <c r="A235" s="135">
        <v>195</v>
      </c>
      <c r="B235" s="135" t="s">
        <v>489</v>
      </c>
      <c r="C235" s="135" t="s">
        <v>993</v>
      </c>
      <c r="D235" s="142">
        <v>0</v>
      </c>
      <c r="E235" s="142">
        <v>0</v>
      </c>
      <c r="F235" s="142">
        <v>2</v>
      </c>
      <c r="G235" s="142">
        <v>2</v>
      </c>
      <c r="H235" s="135">
        <v>0</v>
      </c>
      <c r="I235" s="135">
        <v>0</v>
      </c>
      <c r="J235" s="135">
        <v>0</v>
      </c>
      <c r="K235" s="135">
        <v>0</v>
      </c>
      <c r="L235" s="135">
        <v>0</v>
      </c>
      <c r="M235" s="135">
        <v>0</v>
      </c>
    </row>
    <row r="236" spans="1:14" hidden="1">
      <c r="A236" s="135">
        <v>196</v>
      </c>
      <c r="B236" s="135" t="s">
        <v>1106</v>
      </c>
      <c r="C236" s="135" t="s">
        <v>19</v>
      </c>
      <c r="D236" s="142">
        <v>0</v>
      </c>
      <c r="E236" s="142">
        <v>0</v>
      </c>
      <c r="F236" s="142">
        <v>2</v>
      </c>
      <c r="G236" s="142">
        <v>2</v>
      </c>
      <c r="H236" s="135">
        <v>0</v>
      </c>
      <c r="I236" s="135">
        <v>0</v>
      </c>
      <c r="J236" s="135">
        <v>0</v>
      </c>
      <c r="K236" s="135">
        <v>0</v>
      </c>
      <c r="L236" s="135">
        <v>0</v>
      </c>
      <c r="M236" s="135">
        <v>0</v>
      </c>
    </row>
    <row r="237" spans="1:14">
      <c r="A237" s="135">
        <v>197</v>
      </c>
      <c r="B237" s="135" t="s">
        <v>1165</v>
      </c>
      <c r="C237" s="135" t="s">
        <v>20</v>
      </c>
      <c r="D237" s="142">
        <v>0</v>
      </c>
      <c r="E237" s="142">
        <v>0</v>
      </c>
      <c r="F237" s="142">
        <v>2</v>
      </c>
      <c r="G237" s="142">
        <v>1</v>
      </c>
      <c r="H237" s="135">
        <v>0</v>
      </c>
      <c r="I237" s="135">
        <v>100</v>
      </c>
      <c r="J237" s="135">
        <v>0</v>
      </c>
      <c r="K237" s="135">
        <v>0</v>
      </c>
      <c r="L237" s="135">
        <v>0</v>
      </c>
      <c r="M237" s="135">
        <v>0</v>
      </c>
    </row>
    <row r="238" spans="1:14" hidden="1">
      <c r="A238" s="135">
        <v>198</v>
      </c>
      <c r="B238" s="135" t="s">
        <v>1199</v>
      </c>
      <c r="C238" s="135" t="s">
        <v>19</v>
      </c>
      <c r="D238" s="142">
        <v>1</v>
      </c>
      <c r="E238" s="142">
        <v>0</v>
      </c>
      <c r="F238" s="142">
        <v>2</v>
      </c>
      <c r="G238" s="142">
        <v>0</v>
      </c>
      <c r="H238" s="135">
        <v>0</v>
      </c>
      <c r="I238" s="135">
        <v>0</v>
      </c>
      <c r="J238" s="135">
        <v>0.01</v>
      </c>
      <c r="K238" s="135">
        <v>0</v>
      </c>
      <c r="L238" s="135">
        <v>0</v>
      </c>
      <c r="M238" s="135">
        <v>0</v>
      </c>
    </row>
    <row r="239" spans="1:14">
      <c r="A239" s="135">
        <v>199</v>
      </c>
      <c r="B239" s="135" t="s">
        <v>1155</v>
      </c>
      <c r="C239" s="135" t="s">
        <v>20</v>
      </c>
      <c r="D239" s="142">
        <v>0</v>
      </c>
      <c r="E239" s="142">
        <v>0</v>
      </c>
      <c r="F239" s="142">
        <v>2</v>
      </c>
      <c r="G239" s="142">
        <v>0</v>
      </c>
      <c r="H239" s="135">
        <v>0</v>
      </c>
      <c r="I239" s="135">
        <v>0</v>
      </c>
      <c r="J239" s="135">
        <v>0</v>
      </c>
      <c r="K239" s="135">
        <v>0</v>
      </c>
      <c r="L239" s="135">
        <v>0</v>
      </c>
      <c r="M239" s="135">
        <v>0</v>
      </c>
    </row>
    <row r="240" spans="1:14" hidden="1">
      <c r="A240" s="135">
        <v>200</v>
      </c>
      <c r="B240" s="135" t="s">
        <v>423</v>
      </c>
      <c r="C240" s="135" t="s">
        <v>19</v>
      </c>
      <c r="D240" s="142">
        <v>0</v>
      </c>
      <c r="E240" s="142">
        <v>46</v>
      </c>
      <c r="F240" s="142">
        <v>1</v>
      </c>
      <c r="G240" s="142">
        <v>158</v>
      </c>
      <c r="H240" s="135">
        <v>-100</v>
      </c>
      <c r="I240" s="135">
        <v>-99.37</v>
      </c>
      <c r="J240" s="135">
        <v>0</v>
      </c>
      <c r="K240" s="135">
        <v>0</v>
      </c>
      <c r="L240" s="135">
        <v>0.32</v>
      </c>
      <c r="M240" s="135">
        <v>0.21</v>
      </c>
    </row>
    <row r="241" spans="1:13" hidden="1">
      <c r="A241" s="135">
        <v>201</v>
      </c>
      <c r="B241" s="135" t="s">
        <v>1104</v>
      </c>
      <c r="C241" s="135" t="s">
        <v>19</v>
      </c>
      <c r="D241" s="142">
        <v>0</v>
      </c>
      <c r="E241" s="142">
        <v>2</v>
      </c>
      <c r="F241" s="142">
        <v>1</v>
      </c>
      <c r="G241" s="142">
        <v>34</v>
      </c>
      <c r="H241" s="135">
        <v>-100</v>
      </c>
      <c r="I241" s="135">
        <v>-97.06</v>
      </c>
      <c r="J241" s="135">
        <v>0</v>
      </c>
      <c r="K241" s="135">
        <v>0</v>
      </c>
      <c r="L241" s="135">
        <v>0.01</v>
      </c>
      <c r="M241" s="135">
        <v>0.05</v>
      </c>
    </row>
    <row r="242" spans="1:13" hidden="1">
      <c r="A242" s="135">
        <v>202</v>
      </c>
      <c r="B242" s="135" t="s">
        <v>1101</v>
      </c>
      <c r="C242" s="135" t="s">
        <v>19</v>
      </c>
      <c r="D242" s="142">
        <v>0</v>
      </c>
      <c r="E242" s="142">
        <v>22</v>
      </c>
      <c r="F242" s="142">
        <v>1</v>
      </c>
      <c r="G242" s="142">
        <v>30</v>
      </c>
      <c r="H242" s="135">
        <v>-100</v>
      </c>
      <c r="I242" s="135">
        <v>-96.67</v>
      </c>
      <c r="J242" s="135">
        <v>0</v>
      </c>
      <c r="K242" s="135">
        <v>0</v>
      </c>
      <c r="L242" s="135">
        <v>0.15</v>
      </c>
      <c r="M242" s="135">
        <v>0.04</v>
      </c>
    </row>
    <row r="243" spans="1:13" hidden="1">
      <c r="A243" s="135">
        <v>203</v>
      </c>
      <c r="B243" s="135" t="s">
        <v>171</v>
      </c>
      <c r="C243" s="135" t="s">
        <v>19</v>
      </c>
      <c r="D243" s="142">
        <v>0</v>
      </c>
      <c r="E243" s="142">
        <v>0</v>
      </c>
      <c r="F243" s="142">
        <v>1</v>
      </c>
      <c r="G243" s="142">
        <v>2</v>
      </c>
      <c r="H243" s="135">
        <v>0</v>
      </c>
      <c r="I243" s="135">
        <v>-50</v>
      </c>
      <c r="J243" s="135">
        <v>0</v>
      </c>
      <c r="K243" s="135">
        <v>0</v>
      </c>
      <c r="L243" s="135">
        <v>0</v>
      </c>
      <c r="M243" s="135">
        <v>0</v>
      </c>
    </row>
    <row r="244" spans="1:13" hidden="1">
      <c r="A244" s="135">
        <v>204</v>
      </c>
      <c r="B244" s="135" t="s">
        <v>1140</v>
      </c>
      <c r="C244" s="135" t="s">
        <v>19</v>
      </c>
      <c r="D244" s="142">
        <v>0</v>
      </c>
      <c r="E244" s="142">
        <v>0</v>
      </c>
      <c r="F244" s="142">
        <v>1</v>
      </c>
      <c r="G244" s="142">
        <v>0</v>
      </c>
      <c r="H244" s="135">
        <v>0</v>
      </c>
      <c r="I244" s="135">
        <v>0</v>
      </c>
      <c r="J244" s="135">
        <v>0</v>
      </c>
      <c r="K244" s="135">
        <v>0</v>
      </c>
      <c r="L244" s="135">
        <v>0</v>
      </c>
      <c r="M244" s="135">
        <v>0</v>
      </c>
    </row>
    <row r="245" spans="1:13" hidden="1">
      <c r="A245" s="135">
        <v>205</v>
      </c>
      <c r="B245" s="135" t="s">
        <v>1240</v>
      </c>
      <c r="C245" s="135" t="s">
        <v>19</v>
      </c>
      <c r="D245" s="142">
        <v>1</v>
      </c>
      <c r="E245" s="142">
        <v>0</v>
      </c>
      <c r="F245" s="142">
        <v>1</v>
      </c>
      <c r="G245" s="142">
        <v>0</v>
      </c>
      <c r="H245" s="135">
        <v>0</v>
      </c>
      <c r="I245" s="135">
        <v>0</v>
      </c>
      <c r="J245" s="135">
        <v>0.01</v>
      </c>
      <c r="K245" s="135">
        <v>0</v>
      </c>
      <c r="L245" s="135">
        <v>0</v>
      </c>
      <c r="M245" s="135">
        <v>0</v>
      </c>
    </row>
    <row r="246" spans="1:13">
      <c r="A246" s="135">
        <v>206</v>
      </c>
      <c r="B246" s="135" t="s">
        <v>562</v>
      </c>
      <c r="C246" s="135" t="s">
        <v>20</v>
      </c>
      <c r="D246" s="142">
        <v>0</v>
      </c>
      <c r="E246" s="142">
        <v>8</v>
      </c>
      <c r="F246" s="142">
        <v>0</v>
      </c>
      <c r="G246" s="142">
        <v>41</v>
      </c>
      <c r="H246" s="135">
        <v>-100</v>
      </c>
      <c r="I246" s="135">
        <v>-100</v>
      </c>
      <c r="J246" s="135">
        <v>0</v>
      </c>
      <c r="K246" s="135">
        <v>0</v>
      </c>
      <c r="L246" s="135">
        <v>0.06</v>
      </c>
      <c r="M246" s="135">
        <v>0.05</v>
      </c>
    </row>
    <row r="247" spans="1:13" hidden="1">
      <c r="A247" s="135">
        <v>207</v>
      </c>
      <c r="B247" s="135" t="s">
        <v>234</v>
      </c>
      <c r="C247" s="135" t="s">
        <v>19</v>
      </c>
      <c r="D247" s="142">
        <v>0</v>
      </c>
      <c r="E247" s="142">
        <v>7</v>
      </c>
      <c r="F247" s="142">
        <v>0</v>
      </c>
      <c r="G247" s="142">
        <v>31</v>
      </c>
      <c r="H247" s="135">
        <v>-100</v>
      </c>
      <c r="I247" s="135">
        <v>-100</v>
      </c>
      <c r="J247" s="135">
        <v>0</v>
      </c>
      <c r="K247" s="135">
        <v>0</v>
      </c>
      <c r="L247" s="135">
        <v>0.05</v>
      </c>
      <c r="M247" s="135">
        <v>0.04</v>
      </c>
    </row>
    <row r="248" spans="1:13" hidden="1">
      <c r="A248" s="135">
        <v>208</v>
      </c>
      <c r="B248" s="135" t="s">
        <v>354</v>
      </c>
      <c r="C248" s="135" t="s">
        <v>19</v>
      </c>
      <c r="D248" s="142">
        <v>0</v>
      </c>
      <c r="E248" s="142">
        <v>0</v>
      </c>
      <c r="F248" s="142">
        <v>0</v>
      </c>
      <c r="G248" s="142">
        <v>18</v>
      </c>
      <c r="H248" s="135">
        <v>0</v>
      </c>
      <c r="I248" s="135">
        <v>-100</v>
      </c>
      <c r="J248" s="135">
        <v>0</v>
      </c>
      <c r="K248" s="135">
        <v>0</v>
      </c>
      <c r="L248" s="135">
        <v>0</v>
      </c>
      <c r="M248" s="135">
        <v>0.02</v>
      </c>
    </row>
    <row r="249" spans="1:13" hidden="1">
      <c r="A249" s="135">
        <v>209</v>
      </c>
      <c r="B249" s="135" t="s">
        <v>350</v>
      </c>
      <c r="C249" s="135" t="s">
        <v>19</v>
      </c>
      <c r="D249" s="142">
        <v>0</v>
      </c>
      <c r="E249" s="142">
        <v>0</v>
      </c>
      <c r="F249" s="142">
        <v>0</v>
      </c>
      <c r="G249" s="142">
        <v>11</v>
      </c>
      <c r="H249" s="135">
        <v>0</v>
      </c>
      <c r="I249" s="135">
        <v>-100</v>
      </c>
      <c r="J249" s="135">
        <v>0</v>
      </c>
      <c r="K249" s="135">
        <v>0</v>
      </c>
      <c r="L249" s="135">
        <v>0</v>
      </c>
      <c r="M249" s="135">
        <v>0.01</v>
      </c>
    </row>
    <row r="250" spans="1:13" hidden="1">
      <c r="A250" s="135">
        <v>210</v>
      </c>
      <c r="B250" s="135" t="s">
        <v>384</v>
      </c>
      <c r="C250" s="135" t="s">
        <v>19</v>
      </c>
      <c r="D250" s="142">
        <v>0</v>
      </c>
      <c r="E250" s="142">
        <v>1</v>
      </c>
      <c r="F250" s="142">
        <v>0</v>
      </c>
      <c r="G250" s="142">
        <v>10</v>
      </c>
      <c r="H250" s="135">
        <v>-100</v>
      </c>
      <c r="I250" s="135">
        <v>-100</v>
      </c>
      <c r="J250" s="135">
        <v>0</v>
      </c>
      <c r="K250" s="135">
        <v>0</v>
      </c>
      <c r="L250" s="135">
        <v>0.01</v>
      </c>
      <c r="M250" s="135">
        <v>0.01</v>
      </c>
    </row>
    <row r="251" spans="1:13" hidden="1">
      <c r="A251" s="135">
        <v>211</v>
      </c>
      <c r="B251" s="135" t="s">
        <v>405</v>
      </c>
      <c r="C251" s="135" t="s">
        <v>1066</v>
      </c>
      <c r="D251" s="142">
        <v>0</v>
      </c>
      <c r="E251" s="142">
        <v>2</v>
      </c>
      <c r="F251" s="142">
        <v>0</v>
      </c>
      <c r="G251" s="142">
        <v>7</v>
      </c>
      <c r="H251" s="135">
        <v>-100</v>
      </c>
      <c r="I251" s="135">
        <v>-100</v>
      </c>
      <c r="J251" s="135">
        <v>0</v>
      </c>
      <c r="K251" s="135">
        <v>0</v>
      </c>
      <c r="L251" s="135">
        <v>0.01</v>
      </c>
      <c r="M251" s="135">
        <v>0.01</v>
      </c>
    </row>
    <row r="252" spans="1:13">
      <c r="A252" s="135">
        <v>212</v>
      </c>
      <c r="B252" s="135" t="s">
        <v>1157</v>
      </c>
      <c r="C252" s="135" t="s">
        <v>20</v>
      </c>
      <c r="D252" s="142">
        <v>0</v>
      </c>
      <c r="E252" s="142">
        <v>2</v>
      </c>
      <c r="F252" s="142">
        <v>0</v>
      </c>
      <c r="G252" s="142">
        <v>7</v>
      </c>
      <c r="H252" s="135">
        <v>-100</v>
      </c>
      <c r="I252" s="135">
        <v>-100</v>
      </c>
      <c r="J252" s="135">
        <v>0</v>
      </c>
      <c r="K252" s="135">
        <v>0</v>
      </c>
      <c r="L252" s="135">
        <v>0.01</v>
      </c>
      <c r="M252" s="135">
        <v>0.01</v>
      </c>
    </row>
    <row r="253" spans="1:13" hidden="1">
      <c r="A253" s="135">
        <v>213</v>
      </c>
      <c r="B253" s="135" t="s">
        <v>205</v>
      </c>
      <c r="C253" s="135" t="s">
        <v>19</v>
      </c>
      <c r="D253" s="142">
        <v>0</v>
      </c>
      <c r="E253" s="142">
        <v>4</v>
      </c>
      <c r="F253" s="142">
        <v>0</v>
      </c>
      <c r="G253" s="142">
        <v>6</v>
      </c>
      <c r="H253" s="135">
        <v>-100</v>
      </c>
      <c r="I253" s="135">
        <v>-100</v>
      </c>
      <c r="J253" s="135">
        <v>0</v>
      </c>
      <c r="K253" s="135">
        <v>0</v>
      </c>
      <c r="L253" s="135">
        <v>0.03</v>
      </c>
      <c r="M253" s="135">
        <v>0.01</v>
      </c>
    </row>
    <row r="254" spans="1:13" hidden="1">
      <c r="A254" s="135">
        <v>214</v>
      </c>
      <c r="B254" s="135" t="s">
        <v>1167</v>
      </c>
      <c r="C254" s="135" t="s">
        <v>19</v>
      </c>
      <c r="D254" s="142">
        <v>0</v>
      </c>
      <c r="E254" s="142">
        <v>2</v>
      </c>
      <c r="F254" s="142">
        <v>0</v>
      </c>
      <c r="G254" s="142">
        <v>5</v>
      </c>
      <c r="H254" s="135">
        <v>-100</v>
      </c>
      <c r="I254" s="135">
        <v>-100</v>
      </c>
      <c r="J254" s="135">
        <v>0</v>
      </c>
      <c r="K254" s="135">
        <v>0</v>
      </c>
      <c r="L254" s="135">
        <v>0.01</v>
      </c>
      <c r="M254" s="135">
        <v>0.01</v>
      </c>
    </row>
    <row r="255" spans="1:13" hidden="1">
      <c r="A255" s="135">
        <v>215</v>
      </c>
      <c r="B255" s="135" t="s">
        <v>1141</v>
      </c>
      <c r="C255" s="135" t="s">
        <v>19</v>
      </c>
      <c r="D255" s="142">
        <v>0</v>
      </c>
      <c r="E255" s="142">
        <v>0</v>
      </c>
      <c r="F255" s="142">
        <v>0</v>
      </c>
      <c r="G255" s="142">
        <v>3</v>
      </c>
      <c r="H255" s="135">
        <v>0</v>
      </c>
      <c r="I255" s="135">
        <v>-100</v>
      </c>
      <c r="J255" s="135">
        <v>0</v>
      </c>
      <c r="K255" s="135">
        <v>0</v>
      </c>
      <c r="L255" s="135">
        <v>0</v>
      </c>
      <c r="M255" s="135">
        <v>0</v>
      </c>
    </row>
    <row r="256" spans="1:13">
      <c r="A256" s="135">
        <v>216</v>
      </c>
      <c r="B256" s="135" t="s">
        <v>1158</v>
      </c>
      <c r="C256" s="135" t="s">
        <v>20</v>
      </c>
      <c r="D256" s="142">
        <v>0</v>
      </c>
      <c r="E256" s="142">
        <v>1</v>
      </c>
      <c r="F256" s="142">
        <v>0</v>
      </c>
      <c r="G256" s="142">
        <v>3</v>
      </c>
      <c r="H256" s="135">
        <v>-100</v>
      </c>
      <c r="I256" s="135">
        <v>-100</v>
      </c>
      <c r="J256" s="135">
        <v>0</v>
      </c>
      <c r="K256" s="135">
        <v>0</v>
      </c>
      <c r="L256" s="135">
        <v>0.01</v>
      </c>
      <c r="M256" s="135">
        <v>0</v>
      </c>
    </row>
    <row r="257" spans="1:13" hidden="1">
      <c r="A257" s="135">
        <v>217</v>
      </c>
      <c r="B257" s="135" t="s">
        <v>1105</v>
      </c>
      <c r="C257" s="135" t="s">
        <v>19</v>
      </c>
      <c r="D257" s="142">
        <v>0</v>
      </c>
      <c r="E257" s="142">
        <v>1</v>
      </c>
      <c r="F257" s="142">
        <v>0</v>
      </c>
      <c r="G257" s="142">
        <v>2</v>
      </c>
      <c r="H257" s="135">
        <v>-100</v>
      </c>
      <c r="I257" s="135">
        <v>-100</v>
      </c>
      <c r="J257" s="135">
        <v>0</v>
      </c>
      <c r="K257" s="135">
        <v>0</v>
      </c>
      <c r="L257" s="135">
        <v>0.01</v>
      </c>
      <c r="M257" s="135">
        <v>0</v>
      </c>
    </row>
    <row r="258" spans="1:13" hidden="1">
      <c r="A258" s="135">
        <v>218</v>
      </c>
      <c r="B258" s="135" t="s">
        <v>1241</v>
      </c>
      <c r="C258" s="135" t="s">
        <v>240</v>
      </c>
      <c r="D258" s="142">
        <v>0</v>
      </c>
      <c r="E258" s="142">
        <v>2</v>
      </c>
      <c r="F258" s="142">
        <v>0</v>
      </c>
      <c r="G258" s="142">
        <v>2</v>
      </c>
      <c r="H258" s="135">
        <v>-100</v>
      </c>
      <c r="I258" s="135">
        <v>-100</v>
      </c>
      <c r="J258" s="135">
        <v>0</v>
      </c>
      <c r="K258" s="135">
        <v>0</v>
      </c>
      <c r="L258" s="135">
        <v>0.01</v>
      </c>
      <c r="M258" s="135">
        <v>0</v>
      </c>
    </row>
    <row r="259" spans="1:13">
      <c r="A259" s="135"/>
      <c r="B259" s="135" t="s">
        <v>457</v>
      </c>
      <c r="C259" s="135"/>
      <c r="D259" s="142">
        <f>SUBTOTAL(109,getAggRechargeModels6[antalPerioden])</f>
        <v>10956</v>
      </c>
      <c r="E259" s="142">
        <f>SUBTOTAL(109,getAggRechargeModels6[antalFGPeriod])</f>
        <v>8237</v>
      </c>
      <c r="F259" s="142">
        <f>SUBTOTAL(109,getAggRechargeModels6[antalÅret])</f>
        <v>52445</v>
      </c>
      <c r="G259" s="142">
        <f>SUBTOTAL(109,getAggRechargeModels6[antalFGAr])</f>
        <v>39755</v>
      </c>
      <c r="H259" s="137">
        <f>IF(getAggRechargeModels6[[#Totals],[antalFGPeriod]] &gt;0,(getAggRechargeModels6[[#Totals],[antalPerioden]] - getAggRechargeModels6[[#Totals],[antalFGPeriod]] ) / getAggRechargeModels6[[#Totals],[antalFGPeriod]] *100,0)</f>
        <v>33.009590870462546</v>
      </c>
      <c r="I259" s="137">
        <f>IF(getAggRechargeModels6[[#Totals],[antalFGAr]] &gt; 0,( getAggRechargeModels6[[#Totals],[antalÅret]] - getAggRechargeModels6[[#Totals],[antalFGAr]] ) / getAggRechargeModels6[[#Totals],[antalFGAr]] * 100,0)</f>
        <v>31.920513143000878</v>
      </c>
      <c r="J259" s="143">
        <f>IF(getAggModelsPB[[#Totals],[antalPerioden]] &gt; 0,getAggRechargeModels6[[#Totals],[antalPerioden]]  / getAggModelsPB[[#Totals],[antalPerioden]] * 100,0)</f>
        <v>38.737050525050378</v>
      </c>
      <c r="K259" s="143">
        <f>IF(getAggModelsPB[[#Totals],[antalÅret]] &gt; 0,getAggRechargeModels6[[#Totals],[antalÅret]]  / getAggModelsPB[[#Totals],[antalÅret]] * 100,0)</f>
        <v>37.284147217107552</v>
      </c>
      <c r="L259" s="143">
        <f>IF(getAggModelsPB[[#Totals],[antalFGPeriod]] &gt; 0,getAggRechargeModels6[[#Totals],[antalFGPeriod]]  / getAggModelsPB[[#Totals],[antalFGPeriod]] * 100,0)</f>
        <v>31.573903710518248</v>
      </c>
      <c r="M259" s="143">
        <f>IF(getAggModelsPB[[#Totals],[antalFGAr]] &gt; 0,getAggRechargeModels6[[#Totals],[antalFGAr]]  / getAggModelsPB[[#Totals],[antalFGAr]] * 100,0)</f>
        <v>27.572789946040423</v>
      </c>
    </row>
    <row r="262" spans="1:13">
      <c r="A262" t="s">
        <v>681</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63"/>
  <sheetViews>
    <sheetView topLeftCell="B1" workbookViewId="0">
      <selection activeCell="P31" sqref="P31"/>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619</v>
      </c>
      <c r="P2" s="66"/>
      <c r="Q2" s="66"/>
      <c r="R2" s="66"/>
      <c r="S2" s="66"/>
      <c r="T2" s="66"/>
    </row>
    <row r="3" spans="15:21">
      <c r="O3" s="25" t="s">
        <v>618</v>
      </c>
      <c r="P3" s="25"/>
      <c r="Q3" s="25"/>
      <c r="R3" s="25"/>
      <c r="S3" s="25"/>
      <c r="T3" s="25"/>
      <c r="U3" s="25"/>
    </row>
    <row r="4" spans="15:21">
      <c r="O4" s="6"/>
      <c r="P4" s="6"/>
      <c r="Q4" s="16"/>
      <c r="R4" s="16"/>
      <c r="S4" s="16"/>
      <c r="T4" s="16"/>
      <c r="U4" s="25"/>
    </row>
    <row r="5" spans="15:21" ht="16" thickBot="1">
      <c r="O5" s="19" t="s">
        <v>458</v>
      </c>
      <c r="P5" s="19">
        <v>2021</v>
      </c>
      <c r="Q5" s="19">
        <v>2022</v>
      </c>
      <c r="R5" s="19">
        <v>2023</v>
      </c>
      <c r="S5" s="25"/>
      <c r="T5" s="25"/>
      <c r="U5" s="25"/>
    </row>
    <row r="6" spans="15:21">
      <c r="O6" s="16" t="s">
        <v>2</v>
      </c>
      <c r="P6" s="33">
        <v>5787</v>
      </c>
      <c r="Q6" s="33">
        <v>5363</v>
      </c>
      <c r="R6" s="33">
        <v>3401</v>
      </c>
      <c r="S6" s="25"/>
      <c r="T6" s="25"/>
      <c r="U6" s="25"/>
    </row>
    <row r="7" spans="15:21">
      <c r="O7" s="16" t="s">
        <v>3</v>
      </c>
      <c r="P7" s="34">
        <v>6559</v>
      </c>
      <c r="Q7" s="34">
        <v>5495</v>
      </c>
      <c r="R7" s="34">
        <v>3841</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c r="S12" s="25"/>
      <c r="T12" s="25"/>
      <c r="U12" s="25"/>
    </row>
    <row r="13" spans="15:21">
      <c r="O13" s="16" t="s">
        <v>9</v>
      </c>
      <c r="P13" s="34">
        <v>4541</v>
      </c>
      <c r="Q13" s="34">
        <v>3649</v>
      </c>
      <c r="R13" s="34"/>
      <c r="S13" s="25"/>
      <c r="T13" s="25"/>
      <c r="U13" s="25"/>
    </row>
    <row r="14" spans="15:21">
      <c r="O14" s="16" t="s">
        <v>10</v>
      </c>
      <c r="P14" s="34">
        <v>4754</v>
      </c>
      <c r="Q14" s="34">
        <v>4370</v>
      </c>
      <c r="R14" s="34"/>
      <c r="S14" s="25"/>
      <c r="T14" s="25"/>
      <c r="U14" s="25"/>
    </row>
    <row r="15" spans="15:21">
      <c r="O15" s="16" t="s">
        <v>11</v>
      </c>
      <c r="P15" s="34">
        <v>5583</v>
      </c>
      <c r="Q15" s="34">
        <v>5359</v>
      </c>
      <c r="R15" s="34"/>
      <c r="S15" s="25"/>
      <c r="T15" s="25"/>
      <c r="U15" s="25"/>
    </row>
    <row r="16" spans="15:21">
      <c r="O16" s="16" t="s">
        <v>12</v>
      </c>
      <c r="P16" s="34">
        <v>5962</v>
      </c>
      <c r="Q16" s="34">
        <v>5650</v>
      </c>
      <c r="R16" s="34"/>
      <c r="S16" s="25"/>
      <c r="T16" s="25"/>
      <c r="U16" s="25"/>
    </row>
    <row r="17" spans="15:21" ht="16" thickBot="1">
      <c r="O17" s="26" t="s">
        <v>13</v>
      </c>
      <c r="P17" s="134">
        <v>6692</v>
      </c>
      <c r="Q17" s="134">
        <v>8259</v>
      </c>
      <c r="R17" s="134"/>
      <c r="S17" s="25"/>
      <c r="T17" s="25"/>
      <c r="U17" s="25"/>
    </row>
    <row r="18" spans="15:21">
      <c r="O18" s="6" t="s">
        <v>537</v>
      </c>
      <c r="P18" s="32">
        <f>SUMIF(R6:R17,"&gt;0",P6:P17)</f>
        <v>46532</v>
      </c>
      <c r="Q18" s="32">
        <f>SUMIF(R6:R17,"&gt;0",Q6:Q17)</f>
        <v>35088</v>
      </c>
      <c r="R18" s="32">
        <f>SUM(R6:R17)</f>
        <v>29104</v>
      </c>
      <c r="S18" s="25"/>
      <c r="T18" s="25"/>
      <c r="U18" s="25"/>
    </row>
    <row r="19" spans="15:21">
      <c r="O19" s="6" t="s">
        <v>536</v>
      </c>
      <c r="P19" s="29">
        <f>SUM(P6:P17)</f>
        <v>77841</v>
      </c>
      <c r="Q19" s="29">
        <f>SUM(Q6:Q17)</f>
        <v>66614</v>
      </c>
      <c r="R19" s="25"/>
      <c r="S19" s="25"/>
      <c r="T19" s="25"/>
      <c r="U19" s="25"/>
    </row>
    <row r="35" spans="1:15" ht="21" thickBot="1">
      <c r="A35" s="66" t="s">
        <v>665</v>
      </c>
      <c r="B35" s="66"/>
      <c r="C35" s="9"/>
      <c r="D35" s="274" t="s">
        <v>1289</v>
      </c>
    </row>
    <row r="36" spans="1:15" ht="20">
      <c r="A36" s="9"/>
    </row>
    <row r="37" spans="1:15">
      <c r="A37" s="7" t="s">
        <v>454</v>
      </c>
      <c r="B37" s="55"/>
      <c r="C37" s="55"/>
      <c r="D37" s="55"/>
      <c r="E37" s="55"/>
      <c r="F37" s="55"/>
      <c r="G37" s="55"/>
      <c r="H37" s="258" t="s">
        <v>455</v>
      </c>
      <c r="I37" s="258"/>
      <c r="J37" s="258"/>
      <c r="K37" s="258"/>
      <c r="L37" s="258"/>
      <c r="M37" s="258"/>
      <c r="N37" s="55"/>
      <c r="O37" s="55"/>
    </row>
    <row r="38" spans="1:15">
      <c r="A38" s="103"/>
      <c r="B38" s="114"/>
      <c r="C38" s="114"/>
      <c r="D38" s="259" t="s">
        <v>538</v>
      </c>
      <c r="E38" s="260"/>
      <c r="F38" s="261" t="s">
        <v>538</v>
      </c>
      <c r="G38" s="262"/>
      <c r="H38" s="261" t="s">
        <v>539</v>
      </c>
      <c r="I38" s="262"/>
      <c r="J38" s="261" t="s">
        <v>540</v>
      </c>
      <c r="K38" s="262"/>
      <c r="L38" s="261" t="s">
        <v>540</v>
      </c>
      <c r="M38" s="262"/>
      <c r="N38" s="55"/>
      <c r="O38" s="55"/>
    </row>
    <row r="39" spans="1:15">
      <c r="A39" s="103"/>
      <c r="B39" s="115" t="s">
        <v>456</v>
      </c>
      <c r="C39" s="116" t="s">
        <v>542</v>
      </c>
      <c r="D39" s="117" t="str">
        <f>Innehåll!D79</f>
        <v xml:space="preserve"> 2023-06</v>
      </c>
      <c r="E39" s="117" t="str">
        <f>Innehåll!D80</f>
        <v xml:space="preserve"> 2022-06</v>
      </c>
      <c r="F39" s="117" t="str">
        <f>Innehåll!D81</f>
        <v>YTD  2023</v>
      </c>
      <c r="G39" s="117" t="str">
        <f>Innehåll!D82</f>
        <v>YTD  2022</v>
      </c>
      <c r="H39" s="117" t="str">
        <f>D39</f>
        <v xml:space="preserve"> 2023-06</v>
      </c>
      <c r="I39" s="118" t="str">
        <f>F39</f>
        <v>YTD  2023</v>
      </c>
      <c r="J39" s="117" t="str">
        <f>D39</f>
        <v xml:space="preserve"> 2023-06</v>
      </c>
      <c r="K39" s="119" t="str">
        <f>F39</f>
        <v>YTD  2023</v>
      </c>
      <c r="L39" s="120" t="str">
        <f>E39</f>
        <v xml:space="preserve"> 2022-06</v>
      </c>
      <c r="M39" s="120" t="str">
        <f>G39</f>
        <v>YTD  2022</v>
      </c>
      <c r="N39" s="55"/>
      <c r="O39" s="55"/>
    </row>
    <row r="40" spans="1:15" ht="15" hidden="1" customHeight="1">
      <c r="A40" s="55" t="s">
        <v>24</v>
      </c>
      <c r="B40" s="55" t="s">
        <v>226</v>
      </c>
      <c r="C40" s="55" t="s">
        <v>227</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603</v>
      </c>
      <c r="C41" s="55" t="s">
        <v>20</v>
      </c>
      <c r="D41" s="22">
        <v>2377</v>
      </c>
      <c r="E41" s="22">
        <v>1876</v>
      </c>
      <c r="F41" s="22">
        <v>8542</v>
      </c>
      <c r="G41" s="22">
        <v>4147</v>
      </c>
      <c r="H41" s="55">
        <v>26.71</v>
      </c>
      <c r="I41" s="55">
        <v>105.98</v>
      </c>
      <c r="J41" s="55">
        <v>14.19</v>
      </c>
      <c r="K41" s="55">
        <v>10.47</v>
      </c>
      <c r="L41" s="55">
        <v>13.05</v>
      </c>
      <c r="M41" s="55">
        <v>5.54</v>
      </c>
      <c r="N41" s="55"/>
      <c r="O41" s="55"/>
    </row>
    <row r="42" spans="1:15" hidden="1">
      <c r="A42" s="55">
        <v>2</v>
      </c>
      <c r="B42" s="55" t="s">
        <v>425</v>
      </c>
      <c r="C42" s="55" t="s">
        <v>20</v>
      </c>
      <c r="D42" s="22">
        <v>502</v>
      </c>
      <c r="E42" s="22">
        <v>89</v>
      </c>
      <c r="F42" s="22">
        <v>4985</v>
      </c>
      <c r="G42" s="22">
        <v>2220</v>
      </c>
      <c r="H42" s="55">
        <v>464.04</v>
      </c>
      <c r="I42" s="55">
        <v>124.55</v>
      </c>
      <c r="J42" s="55">
        <v>3</v>
      </c>
      <c r="K42" s="55">
        <v>6.11</v>
      </c>
      <c r="L42" s="55">
        <v>0.62</v>
      </c>
      <c r="M42" s="55">
        <v>2.97</v>
      </c>
      <c r="N42" s="55"/>
      <c r="O42" s="55"/>
    </row>
    <row r="43" spans="1:15">
      <c r="A43" s="55">
        <v>3</v>
      </c>
      <c r="B43" s="55" t="s">
        <v>395</v>
      </c>
      <c r="C43" s="55" t="s">
        <v>19</v>
      </c>
      <c r="D43" s="22">
        <v>949</v>
      </c>
      <c r="E43" s="22">
        <v>151</v>
      </c>
      <c r="F43" s="22">
        <v>4470</v>
      </c>
      <c r="G43" s="22">
        <v>3093</v>
      </c>
      <c r="H43" s="55">
        <v>528.48</v>
      </c>
      <c r="I43" s="55">
        <v>44.52</v>
      </c>
      <c r="J43" s="55">
        <v>5.66</v>
      </c>
      <c r="K43" s="55">
        <v>5.48</v>
      </c>
      <c r="L43" s="55">
        <v>1.05</v>
      </c>
      <c r="M43" s="55">
        <v>4.13</v>
      </c>
      <c r="N43" s="55"/>
      <c r="O43" s="55"/>
    </row>
    <row r="44" spans="1:15" hidden="1">
      <c r="A44" s="55">
        <v>4</v>
      </c>
      <c r="B44" s="55" t="s">
        <v>481</v>
      </c>
      <c r="C44" s="55" t="s">
        <v>20</v>
      </c>
      <c r="D44" s="22">
        <v>972</v>
      </c>
      <c r="E44" s="22">
        <v>759</v>
      </c>
      <c r="F44" s="22">
        <v>4362</v>
      </c>
      <c r="G44" s="22">
        <v>3859</v>
      </c>
      <c r="H44" s="55">
        <v>28.06</v>
      </c>
      <c r="I44" s="55">
        <v>13.03</v>
      </c>
      <c r="J44" s="55">
        <v>5.8</v>
      </c>
      <c r="K44" s="55">
        <v>5.35</v>
      </c>
      <c r="L44" s="55">
        <v>5.28</v>
      </c>
      <c r="M44" s="55">
        <v>5.16</v>
      </c>
      <c r="N44" s="55"/>
      <c r="O44" s="55"/>
    </row>
    <row r="45" spans="1:15" hidden="1">
      <c r="A45" s="55">
        <v>5</v>
      </c>
      <c r="B45" s="55" t="s">
        <v>631</v>
      </c>
      <c r="C45" s="55" t="s">
        <v>20</v>
      </c>
      <c r="D45" s="22">
        <v>608</v>
      </c>
      <c r="E45" s="22">
        <v>214</v>
      </c>
      <c r="F45" s="22">
        <v>2605</v>
      </c>
      <c r="G45" s="22">
        <v>1703</v>
      </c>
      <c r="H45" s="55">
        <v>184.11</v>
      </c>
      <c r="I45" s="55">
        <v>52.97</v>
      </c>
      <c r="J45" s="55">
        <v>3.63</v>
      </c>
      <c r="K45" s="55">
        <v>3.19</v>
      </c>
      <c r="L45" s="55">
        <v>1.49</v>
      </c>
      <c r="M45" s="55">
        <v>2.2799999999999998</v>
      </c>
      <c r="N45" s="55"/>
      <c r="O45" s="55"/>
    </row>
    <row r="46" spans="1:15" hidden="1">
      <c r="A46" s="55">
        <v>6</v>
      </c>
      <c r="B46" s="55" t="s">
        <v>570</v>
      </c>
      <c r="C46" s="55" t="s">
        <v>20</v>
      </c>
      <c r="D46" s="22">
        <v>425</v>
      </c>
      <c r="E46" s="22">
        <v>523</v>
      </c>
      <c r="F46" s="22">
        <v>1945</v>
      </c>
      <c r="G46" s="22">
        <v>1713</v>
      </c>
      <c r="H46" s="55">
        <v>-18.739999999999998</v>
      </c>
      <c r="I46" s="55">
        <v>13.54</v>
      </c>
      <c r="J46" s="55">
        <v>2.54</v>
      </c>
      <c r="K46" s="55">
        <v>2.38</v>
      </c>
      <c r="L46" s="55">
        <v>3.64</v>
      </c>
      <c r="M46" s="55">
        <v>2.29</v>
      </c>
      <c r="N46" s="55"/>
      <c r="O46" s="55"/>
    </row>
    <row r="47" spans="1:15" hidden="1">
      <c r="A47" s="55">
        <v>7</v>
      </c>
      <c r="B47" s="55" t="s">
        <v>639</v>
      </c>
      <c r="C47" s="55" t="s">
        <v>20</v>
      </c>
      <c r="D47" s="22">
        <v>243</v>
      </c>
      <c r="E47" s="22">
        <v>17</v>
      </c>
      <c r="F47" s="22">
        <v>1901</v>
      </c>
      <c r="G47" s="22">
        <v>360</v>
      </c>
      <c r="H47" s="55">
        <v>1329.41</v>
      </c>
      <c r="I47" s="55">
        <v>428.06</v>
      </c>
      <c r="J47" s="55">
        <v>1.45</v>
      </c>
      <c r="K47" s="55">
        <v>2.33</v>
      </c>
      <c r="L47" s="55">
        <v>0.12</v>
      </c>
      <c r="M47" s="55">
        <v>0.48</v>
      </c>
      <c r="N47" s="55"/>
      <c r="O47" s="55"/>
    </row>
    <row r="48" spans="1:15" hidden="1">
      <c r="A48" s="55">
        <v>8</v>
      </c>
      <c r="B48" s="55" t="s">
        <v>230</v>
      </c>
      <c r="C48" s="55" t="s">
        <v>20</v>
      </c>
      <c r="D48" s="22">
        <v>351</v>
      </c>
      <c r="E48" s="22">
        <v>703</v>
      </c>
      <c r="F48" s="22">
        <v>1868</v>
      </c>
      <c r="G48" s="22">
        <v>4417</v>
      </c>
      <c r="H48" s="55">
        <v>-50.07</v>
      </c>
      <c r="I48" s="55">
        <v>-57.71</v>
      </c>
      <c r="J48" s="55">
        <v>2.1</v>
      </c>
      <c r="K48" s="55">
        <v>2.29</v>
      </c>
      <c r="L48" s="55">
        <v>4.8899999999999997</v>
      </c>
      <c r="M48" s="55">
        <v>5.9</v>
      </c>
      <c r="N48" s="55"/>
      <c r="O48" s="55"/>
    </row>
    <row r="49" spans="1:15">
      <c r="A49" s="55">
        <v>9</v>
      </c>
      <c r="B49" s="55" t="s">
        <v>690</v>
      </c>
      <c r="C49" s="55" t="s">
        <v>19</v>
      </c>
      <c r="D49" s="22">
        <v>281</v>
      </c>
      <c r="E49" s="22">
        <v>649</v>
      </c>
      <c r="F49" s="22">
        <v>1841</v>
      </c>
      <c r="G49" s="22">
        <v>1416</v>
      </c>
      <c r="H49" s="55">
        <v>-56.7</v>
      </c>
      <c r="I49" s="55">
        <v>30.01</v>
      </c>
      <c r="J49" s="55">
        <v>1.68</v>
      </c>
      <c r="K49" s="55">
        <v>2.2599999999999998</v>
      </c>
      <c r="L49" s="55">
        <v>4.5199999999999996</v>
      </c>
      <c r="M49" s="55">
        <v>1.89</v>
      </c>
      <c r="N49" s="55"/>
      <c r="O49" s="55"/>
    </row>
    <row r="50" spans="1:15">
      <c r="A50" s="55">
        <v>10</v>
      </c>
      <c r="B50" s="55" t="s">
        <v>373</v>
      </c>
      <c r="C50" s="55" t="s">
        <v>19</v>
      </c>
      <c r="D50" s="22">
        <v>412</v>
      </c>
      <c r="E50" s="22">
        <v>877</v>
      </c>
      <c r="F50" s="22">
        <v>1833</v>
      </c>
      <c r="G50" s="22">
        <v>3349</v>
      </c>
      <c r="H50" s="55">
        <v>-53.02</v>
      </c>
      <c r="I50" s="55">
        <v>-45.27</v>
      </c>
      <c r="J50" s="55">
        <v>2.46</v>
      </c>
      <c r="K50" s="55">
        <v>2.25</v>
      </c>
      <c r="L50" s="55">
        <v>6.1</v>
      </c>
      <c r="M50" s="55">
        <v>4.47</v>
      </c>
      <c r="N50" s="55"/>
      <c r="O50" s="55"/>
    </row>
    <row r="51" spans="1:15" hidden="1">
      <c r="A51" s="55">
        <v>11</v>
      </c>
      <c r="B51" s="55" t="s">
        <v>406</v>
      </c>
      <c r="C51" s="55" t="s">
        <v>20</v>
      </c>
      <c r="D51" s="22">
        <v>450</v>
      </c>
      <c r="E51" s="22">
        <v>289</v>
      </c>
      <c r="F51" s="22">
        <v>1789</v>
      </c>
      <c r="G51" s="22">
        <v>2288</v>
      </c>
      <c r="H51" s="55">
        <v>55.71</v>
      </c>
      <c r="I51" s="55">
        <v>-21.81</v>
      </c>
      <c r="J51" s="55">
        <v>2.69</v>
      </c>
      <c r="K51" s="55">
        <v>2.19</v>
      </c>
      <c r="L51" s="55">
        <v>2.0099999999999998</v>
      </c>
      <c r="M51" s="55">
        <v>3.06</v>
      </c>
      <c r="N51" s="55"/>
      <c r="O51" s="55"/>
    </row>
    <row r="52" spans="1:15" hidden="1">
      <c r="A52" s="55">
        <v>12</v>
      </c>
      <c r="B52" s="55" t="s">
        <v>55</v>
      </c>
      <c r="C52" s="55" t="s">
        <v>20</v>
      </c>
      <c r="D52" s="22">
        <v>464</v>
      </c>
      <c r="E52" s="22">
        <v>175</v>
      </c>
      <c r="F52" s="22">
        <v>1718</v>
      </c>
      <c r="G52" s="22">
        <v>1358</v>
      </c>
      <c r="H52" s="55">
        <v>165.14</v>
      </c>
      <c r="I52" s="55">
        <v>26.51</v>
      </c>
      <c r="J52" s="55">
        <v>2.77</v>
      </c>
      <c r="K52" s="55">
        <v>2.11</v>
      </c>
      <c r="L52" s="55">
        <v>1.22</v>
      </c>
      <c r="M52" s="55">
        <v>1.81</v>
      </c>
      <c r="N52" s="55"/>
      <c r="O52" s="55"/>
    </row>
    <row r="53" spans="1:15" hidden="1">
      <c r="A53" s="55">
        <v>13</v>
      </c>
      <c r="B53" s="55" t="s">
        <v>595</v>
      </c>
      <c r="C53" s="55" t="s">
        <v>20</v>
      </c>
      <c r="D53" s="22">
        <v>433</v>
      </c>
      <c r="E53" s="22">
        <v>106</v>
      </c>
      <c r="F53" s="22">
        <v>1574</v>
      </c>
      <c r="G53" s="22">
        <v>1096</v>
      </c>
      <c r="H53" s="55">
        <v>308.49</v>
      </c>
      <c r="I53" s="55">
        <v>43.61</v>
      </c>
      <c r="J53" s="55">
        <v>2.58</v>
      </c>
      <c r="K53" s="55">
        <v>1.93</v>
      </c>
      <c r="L53" s="55">
        <v>0.74</v>
      </c>
      <c r="M53" s="55">
        <v>1.46</v>
      </c>
      <c r="N53" s="55"/>
      <c r="O53" s="55"/>
    </row>
    <row r="54" spans="1:15" hidden="1">
      <c r="A54" s="55">
        <v>14</v>
      </c>
      <c r="B54" s="55" t="s">
        <v>419</v>
      </c>
      <c r="C54" s="55" t="s">
        <v>20</v>
      </c>
      <c r="D54" s="22">
        <v>224</v>
      </c>
      <c r="E54" s="22">
        <v>108</v>
      </c>
      <c r="F54" s="22">
        <v>1453</v>
      </c>
      <c r="G54" s="22">
        <v>729</v>
      </c>
      <c r="H54" s="55">
        <v>107.41</v>
      </c>
      <c r="I54" s="55">
        <v>99.31</v>
      </c>
      <c r="J54" s="55">
        <v>1.34</v>
      </c>
      <c r="K54" s="55">
        <v>1.78</v>
      </c>
      <c r="L54" s="55">
        <v>0.75</v>
      </c>
      <c r="M54" s="55">
        <v>0.97</v>
      </c>
      <c r="N54" s="55"/>
      <c r="O54" s="55"/>
    </row>
    <row r="55" spans="1:15">
      <c r="A55" s="55">
        <v>15</v>
      </c>
      <c r="B55" s="55" t="s">
        <v>396</v>
      </c>
      <c r="C55" s="55" t="s">
        <v>19</v>
      </c>
      <c r="D55" s="22">
        <v>320</v>
      </c>
      <c r="E55" s="22">
        <v>66</v>
      </c>
      <c r="F55" s="22">
        <v>1248</v>
      </c>
      <c r="G55" s="22">
        <v>1074</v>
      </c>
      <c r="H55" s="55">
        <v>384.85</v>
      </c>
      <c r="I55" s="55">
        <v>16.2</v>
      </c>
      <c r="J55" s="55">
        <v>1.91</v>
      </c>
      <c r="K55" s="55">
        <v>1.53</v>
      </c>
      <c r="L55" s="55">
        <v>0.46</v>
      </c>
      <c r="M55" s="55">
        <v>1.43</v>
      </c>
      <c r="N55" s="55"/>
      <c r="O55" s="55"/>
    </row>
    <row r="56" spans="1:15" hidden="1">
      <c r="A56" s="55">
        <v>16</v>
      </c>
      <c r="B56" s="55" t="s">
        <v>695</v>
      </c>
      <c r="C56" s="55" t="s">
        <v>20</v>
      </c>
      <c r="D56" s="22">
        <v>33</v>
      </c>
      <c r="E56" s="22">
        <v>72</v>
      </c>
      <c r="F56" s="22">
        <v>1188</v>
      </c>
      <c r="G56" s="22">
        <v>235</v>
      </c>
      <c r="H56" s="55">
        <v>-54.17</v>
      </c>
      <c r="I56" s="55">
        <v>405.53</v>
      </c>
      <c r="J56" s="55">
        <v>0.2</v>
      </c>
      <c r="K56" s="55">
        <v>1.46</v>
      </c>
      <c r="L56" s="55">
        <v>0.5</v>
      </c>
      <c r="M56" s="55">
        <v>0.31</v>
      </c>
      <c r="N56" s="55"/>
      <c r="O56" s="55"/>
    </row>
    <row r="57" spans="1:15">
      <c r="A57" s="55">
        <v>17</v>
      </c>
      <c r="B57" s="55" t="s">
        <v>377</v>
      </c>
      <c r="C57" s="55" t="s">
        <v>19</v>
      </c>
      <c r="D57" s="22">
        <v>35</v>
      </c>
      <c r="E57" s="22">
        <v>477</v>
      </c>
      <c r="F57" s="22">
        <v>1054</v>
      </c>
      <c r="G57" s="22">
        <v>2252</v>
      </c>
      <c r="H57" s="55">
        <v>-92.66</v>
      </c>
      <c r="I57" s="55">
        <v>-53.2</v>
      </c>
      <c r="J57" s="55">
        <v>0.21</v>
      </c>
      <c r="K57" s="55">
        <v>1.29</v>
      </c>
      <c r="L57" s="55">
        <v>3.32</v>
      </c>
      <c r="M57" s="55">
        <v>3.01</v>
      </c>
      <c r="N57" s="55"/>
      <c r="O57" s="55"/>
    </row>
    <row r="58" spans="1:15">
      <c r="A58" s="55">
        <v>18</v>
      </c>
      <c r="B58" s="55" t="s">
        <v>411</v>
      </c>
      <c r="C58" s="55" t="s">
        <v>19</v>
      </c>
      <c r="D58" s="22">
        <v>215</v>
      </c>
      <c r="E58" s="22">
        <v>131</v>
      </c>
      <c r="F58" s="22">
        <v>1049</v>
      </c>
      <c r="G58" s="22">
        <v>2194</v>
      </c>
      <c r="H58" s="55">
        <v>64.12</v>
      </c>
      <c r="I58" s="55">
        <v>-52.19</v>
      </c>
      <c r="J58" s="55">
        <v>1.28</v>
      </c>
      <c r="K58" s="55">
        <v>1.29</v>
      </c>
      <c r="L58" s="55">
        <v>0.91</v>
      </c>
      <c r="M58" s="55">
        <v>2.93</v>
      </c>
      <c r="N58" s="55"/>
      <c r="O58" s="55"/>
    </row>
    <row r="59" spans="1:15">
      <c r="A59" s="55">
        <v>19</v>
      </c>
      <c r="B59" s="55" t="s">
        <v>232</v>
      </c>
      <c r="C59" s="55" t="s">
        <v>19</v>
      </c>
      <c r="D59" s="22">
        <v>156</v>
      </c>
      <c r="E59" s="22">
        <v>93</v>
      </c>
      <c r="F59" s="22">
        <v>1013</v>
      </c>
      <c r="G59" s="22">
        <v>630</v>
      </c>
      <c r="H59" s="55">
        <v>67.739999999999995</v>
      </c>
      <c r="I59" s="55">
        <v>60.79</v>
      </c>
      <c r="J59" s="55">
        <v>0.93</v>
      </c>
      <c r="K59" s="55">
        <v>1.24</v>
      </c>
      <c r="L59" s="55">
        <v>0.65</v>
      </c>
      <c r="M59" s="55">
        <v>0.84</v>
      </c>
      <c r="N59" s="55"/>
      <c r="O59" s="55"/>
    </row>
    <row r="60" spans="1:15">
      <c r="A60" s="55">
        <v>20</v>
      </c>
      <c r="B60" s="55" t="s">
        <v>575</v>
      </c>
      <c r="C60" s="55" t="s">
        <v>19</v>
      </c>
      <c r="D60" s="22">
        <v>200</v>
      </c>
      <c r="E60" s="22">
        <v>135</v>
      </c>
      <c r="F60" s="22">
        <v>986</v>
      </c>
      <c r="G60" s="22">
        <v>983</v>
      </c>
      <c r="H60" s="55">
        <v>48.15</v>
      </c>
      <c r="I60" s="55">
        <v>0.31</v>
      </c>
      <c r="J60" s="55">
        <v>1.19</v>
      </c>
      <c r="K60" s="55">
        <v>1.21</v>
      </c>
      <c r="L60" s="55">
        <v>0.94</v>
      </c>
      <c r="M60" s="55">
        <v>1.31</v>
      </c>
      <c r="N60" s="55"/>
      <c r="O60" s="55"/>
    </row>
    <row r="61" spans="1:15" hidden="1">
      <c r="A61" s="55">
        <v>21</v>
      </c>
      <c r="B61" s="55" t="s">
        <v>1008</v>
      </c>
      <c r="C61" s="55" t="s">
        <v>20</v>
      </c>
      <c r="D61" s="22">
        <v>272</v>
      </c>
      <c r="E61" s="22">
        <v>0</v>
      </c>
      <c r="F61" s="22">
        <v>935</v>
      </c>
      <c r="G61" s="22">
        <v>0</v>
      </c>
      <c r="H61" s="55">
        <v>0</v>
      </c>
      <c r="I61" s="55">
        <v>0</v>
      </c>
      <c r="J61" s="55">
        <v>1.62</v>
      </c>
      <c r="K61" s="55">
        <v>1.1499999999999999</v>
      </c>
      <c r="L61" s="55">
        <v>0</v>
      </c>
      <c r="M61" s="55">
        <v>0</v>
      </c>
      <c r="N61" s="55"/>
      <c r="O61" s="55"/>
    </row>
    <row r="62" spans="1:15" hidden="1">
      <c r="A62" s="55">
        <v>22</v>
      </c>
      <c r="B62" s="55" t="s">
        <v>691</v>
      </c>
      <c r="C62" s="55" t="s">
        <v>20</v>
      </c>
      <c r="D62" s="22">
        <v>288</v>
      </c>
      <c r="E62" s="22">
        <v>107</v>
      </c>
      <c r="F62" s="22">
        <v>902</v>
      </c>
      <c r="G62" s="22">
        <v>205</v>
      </c>
      <c r="H62" s="55">
        <v>169.16</v>
      </c>
      <c r="I62" s="55">
        <v>340</v>
      </c>
      <c r="J62" s="55">
        <v>1.72</v>
      </c>
      <c r="K62" s="55">
        <v>1.1100000000000001</v>
      </c>
      <c r="L62" s="55">
        <v>0.74</v>
      </c>
      <c r="M62" s="55">
        <v>0.27</v>
      </c>
      <c r="N62" s="55"/>
      <c r="O62" s="55"/>
    </row>
    <row r="63" spans="1:15">
      <c r="A63" s="55">
        <v>23</v>
      </c>
      <c r="B63" s="55" t="s">
        <v>426</v>
      </c>
      <c r="C63" s="55" t="s">
        <v>19</v>
      </c>
      <c r="D63" s="22">
        <v>379</v>
      </c>
      <c r="E63" s="22">
        <v>112</v>
      </c>
      <c r="F63" s="22">
        <v>882</v>
      </c>
      <c r="G63" s="22">
        <v>1115</v>
      </c>
      <c r="H63" s="55">
        <v>238.39</v>
      </c>
      <c r="I63" s="55">
        <v>-20.9</v>
      </c>
      <c r="J63" s="55">
        <v>2.2599999999999998</v>
      </c>
      <c r="K63" s="55">
        <v>1.08</v>
      </c>
      <c r="L63" s="55">
        <v>0.78</v>
      </c>
      <c r="M63" s="55">
        <v>1.49</v>
      </c>
      <c r="N63" s="55"/>
      <c r="O63" s="55"/>
    </row>
    <row r="64" spans="1:15" hidden="1">
      <c r="A64" s="55">
        <v>24</v>
      </c>
      <c r="B64" s="55" t="s">
        <v>94</v>
      </c>
      <c r="C64" s="55" t="s">
        <v>20</v>
      </c>
      <c r="D64" s="22">
        <v>162</v>
      </c>
      <c r="E64" s="22">
        <v>68</v>
      </c>
      <c r="F64" s="22">
        <v>862</v>
      </c>
      <c r="G64" s="22">
        <v>1518</v>
      </c>
      <c r="H64" s="55">
        <v>138.24</v>
      </c>
      <c r="I64" s="55">
        <v>-43.21</v>
      </c>
      <c r="J64" s="55">
        <v>0.97</v>
      </c>
      <c r="K64" s="55">
        <v>1.06</v>
      </c>
      <c r="L64" s="55">
        <v>0.47</v>
      </c>
      <c r="M64" s="55">
        <v>2.0299999999999998</v>
      </c>
      <c r="N64" s="55"/>
      <c r="O64" s="55"/>
    </row>
    <row r="65" spans="1:15" hidden="1">
      <c r="A65" s="55">
        <v>25</v>
      </c>
      <c r="B65" s="55" t="s">
        <v>697</v>
      </c>
      <c r="C65" s="55" t="s">
        <v>20</v>
      </c>
      <c r="D65" s="22">
        <v>280</v>
      </c>
      <c r="E65" s="22">
        <v>92</v>
      </c>
      <c r="F65" s="22">
        <v>834</v>
      </c>
      <c r="G65" s="22">
        <v>165</v>
      </c>
      <c r="H65" s="55">
        <v>204.35</v>
      </c>
      <c r="I65" s="55">
        <v>405.45</v>
      </c>
      <c r="J65" s="55">
        <v>1.67</v>
      </c>
      <c r="K65" s="55">
        <v>1.02</v>
      </c>
      <c r="L65" s="55">
        <v>0.64</v>
      </c>
      <c r="M65" s="55">
        <v>0.22</v>
      </c>
      <c r="N65" s="55"/>
      <c r="O65" s="55"/>
    </row>
    <row r="66" spans="1:15" hidden="1">
      <c r="A66" s="55">
        <v>26</v>
      </c>
      <c r="B66" s="55" t="s">
        <v>1027</v>
      </c>
      <c r="C66" s="55" t="s">
        <v>20</v>
      </c>
      <c r="D66" s="22">
        <v>99</v>
      </c>
      <c r="E66" s="22">
        <v>0</v>
      </c>
      <c r="F66" s="22">
        <v>768</v>
      </c>
      <c r="G66" s="22">
        <v>0</v>
      </c>
      <c r="H66" s="55">
        <v>0</v>
      </c>
      <c r="I66" s="55">
        <v>0</v>
      </c>
      <c r="J66" s="55">
        <v>0.59</v>
      </c>
      <c r="K66" s="55">
        <v>0.94</v>
      </c>
      <c r="L66" s="55">
        <v>0</v>
      </c>
      <c r="M66" s="55">
        <v>0</v>
      </c>
      <c r="N66" s="55"/>
      <c r="O66" s="55"/>
    </row>
    <row r="67" spans="1:15">
      <c r="A67" s="55">
        <v>27</v>
      </c>
      <c r="B67" s="55" t="s">
        <v>984</v>
      </c>
      <c r="C67" s="55" t="s">
        <v>19</v>
      </c>
      <c r="D67" s="22">
        <v>55</v>
      </c>
      <c r="E67" s="22">
        <v>0</v>
      </c>
      <c r="F67" s="22">
        <v>761</v>
      </c>
      <c r="G67" s="22">
        <v>0</v>
      </c>
      <c r="H67" s="55">
        <v>0</v>
      </c>
      <c r="I67" s="55">
        <v>0</v>
      </c>
      <c r="J67" s="55">
        <v>0.33</v>
      </c>
      <c r="K67" s="55">
        <v>0.93</v>
      </c>
      <c r="L67" s="55">
        <v>0</v>
      </c>
      <c r="M67" s="55">
        <v>0</v>
      </c>
      <c r="N67" s="55"/>
      <c r="O67" s="55"/>
    </row>
    <row r="68" spans="1:15" hidden="1">
      <c r="A68" s="55">
        <v>28</v>
      </c>
      <c r="B68" s="55" t="s">
        <v>640</v>
      </c>
      <c r="C68" s="55" t="s">
        <v>20</v>
      </c>
      <c r="D68" s="22">
        <v>13</v>
      </c>
      <c r="E68" s="22">
        <v>151</v>
      </c>
      <c r="F68" s="22">
        <v>760</v>
      </c>
      <c r="G68" s="22">
        <v>614</v>
      </c>
      <c r="H68" s="55">
        <v>-91.39</v>
      </c>
      <c r="I68" s="55">
        <v>23.78</v>
      </c>
      <c r="J68" s="55">
        <v>0.08</v>
      </c>
      <c r="K68" s="55">
        <v>0.93</v>
      </c>
      <c r="L68" s="55">
        <v>1.05</v>
      </c>
      <c r="M68" s="55">
        <v>0.82</v>
      </c>
      <c r="N68" s="55"/>
      <c r="O68" s="55"/>
    </row>
    <row r="69" spans="1:15" hidden="1">
      <c r="A69" s="55">
        <v>29</v>
      </c>
      <c r="B69" s="55" t="s">
        <v>137</v>
      </c>
      <c r="C69" s="55" t="s">
        <v>20</v>
      </c>
      <c r="D69" s="22">
        <v>175</v>
      </c>
      <c r="E69" s="22">
        <v>387</v>
      </c>
      <c r="F69" s="22">
        <v>759</v>
      </c>
      <c r="G69" s="22">
        <v>1112</v>
      </c>
      <c r="H69" s="55">
        <v>-54.78</v>
      </c>
      <c r="I69" s="55">
        <v>-31.74</v>
      </c>
      <c r="J69" s="55">
        <v>1.04</v>
      </c>
      <c r="K69" s="55">
        <v>0.93</v>
      </c>
      <c r="L69" s="55">
        <v>2.69</v>
      </c>
      <c r="M69" s="55">
        <v>1.49</v>
      </c>
      <c r="N69" s="55"/>
      <c r="O69" s="55"/>
    </row>
    <row r="70" spans="1:15" hidden="1">
      <c r="A70" s="55">
        <v>30</v>
      </c>
      <c r="B70" s="55" t="s">
        <v>648</v>
      </c>
      <c r="C70" s="55" t="s">
        <v>20</v>
      </c>
      <c r="D70" s="22">
        <v>170</v>
      </c>
      <c r="E70" s="22">
        <v>119</v>
      </c>
      <c r="F70" s="22">
        <v>754</v>
      </c>
      <c r="G70" s="22">
        <v>306</v>
      </c>
      <c r="H70" s="55">
        <v>42.86</v>
      </c>
      <c r="I70" s="55">
        <v>146.41</v>
      </c>
      <c r="J70" s="55">
        <v>1.01</v>
      </c>
      <c r="K70" s="55">
        <v>0.92</v>
      </c>
      <c r="L70" s="55">
        <v>0.83</v>
      </c>
      <c r="M70" s="55">
        <v>0.41</v>
      </c>
      <c r="N70" s="55"/>
      <c r="O70" s="55"/>
    </row>
    <row r="71" spans="1:15">
      <c r="A71" s="55">
        <v>31</v>
      </c>
      <c r="B71" s="55" t="s">
        <v>646</v>
      </c>
      <c r="C71" s="55" t="s">
        <v>19</v>
      </c>
      <c r="D71" s="22">
        <v>179</v>
      </c>
      <c r="E71" s="22">
        <v>168</v>
      </c>
      <c r="F71" s="22">
        <v>748</v>
      </c>
      <c r="G71" s="22">
        <v>517</v>
      </c>
      <c r="H71" s="55">
        <v>6.55</v>
      </c>
      <c r="I71" s="55">
        <v>44.68</v>
      </c>
      <c r="J71" s="55">
        <v>1.07</v>
      </c>
      <c r="K71" s="55">
        <v>0.92</v>
      </c>
      <c r="L71" s="55">
        <v>1.17</v>
      </c>
      <c r="M71" s="55">
        <v>0.69</v>
      </c>
      <c r="N71" s="55"/>
      <c r="O71" s="55"/>
    </row>
    <row r="72" spans="1:15">
      <c r="A72" s="55">
        <v>32</v>
      </c>
      <c r="B72" s="55" t="s">
        <v>397</v>
      </c>
      <c r="C72" s="55" t="s">
        <v>19</v>
      </c>
      <c r="D72" s="22">
        <v>100</v>
      </c>
      <c r="E72" s="22">
        <v>30</v>
      </c>
      <c r="F72" s="22">
        <v>718</v>
      </c>
      <c r="G72" s="22">
        <v>1085</v>
      </c>
      <c r="H72" s="55">
        <v>233.33</v>
      </c>
      <c r="I72" s="55">
        <v>-33.82</v>
      </c>
      <c r="J72" s="55">
        <v>0.6</v>
      </c>
      <c r="K72" s="55">
        <v>0.88</v>
      </c>
      <c r="L72" s="55">
        <v>0.21</v>
      </c>
      <c r="M72" s="55">
        <v>1.45</v>
      </c>
      <c r="N72" s="55"/>
      <c r="O72" s="55"/>
    </row>
    <row r="73" spans="1:15">
      <c r="A73" s="55">
        <v>33</v>
      </c>
      <c r="B73" s="55" t="s">
        <v>402</v>
      </c>
      <c r="C73" s="55" t="s">
        <v>19</v>
      </c>
      <c r="D73" s="22">
        <v>95</v>
      </c>
      <c r="E73" s="22">
        <v>178</v>
      </c>
      <c r="F73" s="22">
        <v>718</v>
      </c>
      <c r="G73" s="22">
        <v>896</v>
      </c>
      <c r="H73" s="55">
        <v>-46.63</v>
      </c>
      <c r="I73" s="55">
        <v>-19.87</v>
      </c>
      <c r="J73" s="55">
        <v>0.56999999999999995</v>
      </c>
      <c r="K73" s="55">
        <v>0.88</v>
      </c>
      <c r="L73" s="55">
        <v>1.24</v>
      </c>
      <c r="M73" s="55">
        <v>1.2</v>
      </c>
      <c r="N73" s="55"/>
      <c r="O73" s="55"/>
    </row>
    <row r="74" spans="1:15" hidden="1">
      <c r="A74" s="55">
        <v>34</v>
      </c>
      <c r="B74" s="55" t="s">
        <v>1132</v>
      </c>
      <c r="C74" s="55" t="s">
        <v>20</v>
      </c>
      <c r="D74" s="22">
        <v>148</v>
      </c>
      <c r="E74" s="22">
        <v>95</v>
      </c>
      <c r="F74" s="22">
        <v>688</v>
      </c>
      <c r="G74" s="22">
        <v>95</v>
      </c>
      <c r="H74" s="55">
        <v>55.79</v>
      </c>
      <c r="I74" s="55">
        <v>624.21</v>
      </c>
      <c r="J74" s="55">
        <v>0.88</v>
      </c>
      <c r="K74" s="55">
        <v>0.84</v>
      </c>
      <c r="L74" s="55">
        <v>0.66</v>
      </c>
      <c r="M74" s="55">
        <v>0.13</v>
      </c>
      <c r="N74" s="55"/>
      <c r="O74" s="55"/>
    </row>
    <row r="75" spans="1:15" hidden="1">
      <c r="A75" s="55">
        <v>35</v>
      </c>
      <c r="B75" s="55" t="s">
        <v>1024</v>
      </c>
      <c r="C75" s="55" t="s">
        <v>20</v>
      </c>
      <c r="D75" s="22">
        <v>302</v>
      </c>
      <c r="E75" s="22">
        <v>0</v>
      </c>
      <c r="F75" s="22">
        <v>675</v>
      </c>
      <c r="G75" s="22">
        <v>0</v>
      </c>
      <c r="H75" s="55">
        <v>0</v>
      </c>
      <c r="I75" s="55">
        <v>0</v>
      </c>
      <c r="J75" s="55">
        <v>1.8</v>
      </c>
      <c r="K75" s="55">
        <v>0.83</v>
      </c>
      <c r="L75" s="55">
        <v>0</v>
      </c>
      <c r="M75" s="55">
        <v>0</v>
      </c>
      <c r="N75" s="55"/>
      <c r="O75" s="55"/>
    </row>
    <row r="76" spans="1:15" hidden="1">
      <c r="A76" s="55">
        <v>36</v>
      </c>
      <c r="B76" s="55" t="s">
        <v>692</v>
      </c>
      <c r="C76" s="55" t="s">
        <v>20</v>
      </c>
      <c r="D76" s="22">
        <v>16</v>
      </c>
      <c r="E76" s="22">
        <v>0</v>
      </c>
      <c r="F76" s="22">
        <v>667</v>
      </c>
      <c r="G76" s="22">
        <v>8</v>
      </c>
      <c r="H76" s="55">
        <v>0</v>
      </c>
      <c r="I76" s="55">
        <v>8237.5</v>
      </c>
      <c r="J76" s="55">
        <v>0.1</v>
      </c>
      <c r="K76" s="55">
        <v>0.82</v>
      </c>
      <c r="L76" s="55">
        <v>0</v>
      </c>
      <c r="M76" s="55">
        <v>0.01</v>
      </c>
      <c r="N76" s="55"/>
      <c r="O76" s="55"/>
    </row>
    <row r="77" spans="1:15">
      <c r="A77" s="55">
        <v>37</v>
      </c>
      <c r="B77" s="55" t="s">
        <v>228</v>
      </c>
      <c r="C77" s="55" t="s">
        <v>19</v>
      </c>
      <c r="D77" s="22">
        <v>93</v>
      </c>
      <c r="E77" s="22">
        <v>83</v>
      </c>
      <c r="F77" s="22">
        <v>654</v>
      </c>
      <c r="G77" s="22">
        <v>961</v>
      </c>
      <c r="H77" s="55">
        <v>12.05</v>
      </c>
      <c r="I77" s="55">
        <v>-31.95</v>
      </c>
      <c r="J77" s="55">
        <v>0.56000000000000005</v>
      </c>
      <c r="K77" s="55">
        <v>0.8</v>
      </c>
      <c r="L77" s="55">
        <v>0.57999999999999996</v>
      </c>
      <c r="M77" s="55">
        <v>1.28</v>
      </c>
      <c r="N77" s="55"/>
      <c r="O77" s="55"/>
    </row>
    <row r="78" spans="1:15">
      <c r="A78" s="55">
        <v>38</v>
      </c>
      <c r="B78" s="55" t="s">
        <v>414</v>
      </c>
      <c r="C78" s="55" t="s">
        <v>19</v>
      </c>
      <c r="D78" s="22">
        <v>65</v>
      </c>
      <c r="E78" s="22">
        <v>89</v>
      </c>
      <c r="F78" s="22">
        <v>604</v>
      </c>
      <c r="G78" s="22">
        <v>855</v>
      </c>
      <c r="H78" s="55">
        <v>-26.97</v>
      </c>
      <c r="I78" s="55">
        <v>-29.36</v>
      </c>
      <c r="J78" s="55">
        <v>0.39</v>
      </c>
      <c r="K78" s="55">
        <v>0.74</v>
      </c>
      <c r="L78" s="55">
        <v>0.62</v>
      </c>
      <c r="M78" s="55">
        <v>1.1399999999999999</v>
      </c>
      <c r="N78" s="55"/>
      <c r="O78" s="55"/>
    </row>
    <row r="79" spans="1:15" hidden="1">
      <c r="A79" s="55">
        <v>39</v>
      </c>
      <c r="B79" s="55" t="s">
        <v>641</v>
      </c>
      <c r="C79" s="55" t="s">
        <v>20</v>
      </c>
      <c r="D79" s="22">
        <v>121</v>
      </c>
      <c r="E79" s="22">
        <v>0</v>
      </c>
      <c r="F79" s="22">
        <v>571</v>
      </c>
      <c r="G79" s="22">
        <v>0</v>
      </c>
      <c r="H79" s="55">
        <v>0</v>
      </c>
      <c r="I79" s="55">
        <v>0</v>
      </c>
      <c r="J79" s="55">
        <v>0.72</v>
      </c>
      <c r="K79" s="55">
        <v>0.7</v>
      </c>
      <c r="L79" s="55">
        <v>0</v>
      </c>
      <c r="M79" s="55">
        <v>0</v>
      </c>
      <c r="N79" s="55"/>
      <c r="O79" s="55"/>
    </row>
    <row r="80" spans="1:15">
      <c r="A80" s="55">
        <v>40</v>
      </c>
      <c r="B80" s="55" t="s">
        <v>491</v>
      </c>
      <c r="C80" s="55" t="s">
        <v>19</v>
      </c>
      <c r="D80" s="22">
        <v>131</v>
      </c>
      <c r="E80" s="22">
        <v>69</v>
      </c>
      <c r="F80" s="22">
        <v>570</v>
      </c>
      <c r="G80" s="22">
        <v>708</v>
      </c>
      <c r="H80" s="55">
        <v>89.86</v>
      </c>
      <c r="I80" s="55">
        <v>-19.489999999999998</v>
      </c>
      <c r="J80" s="55">
        <v>0.78</v>
      </c>
      <c r="K80" s="55">
        <v>0.7</v>
      </c>
      <c r="L80" s="55">
        <v>0.48</v>
      </c>
      <c r="M80" s="55">
        <v>0.95</v>
      </c>
      <c r="N80" s="55"/>
      <c r="O80" s="55"/>
    </row>
    <row r="81" spans="1:15">
      <c r="A81" s="55">
        <v>41</v>
      </c>
      <c r="B81" s="55" t="s">
        <v>383</v>
      </c>
      <c r="C81" s="55" t="s">
        <v>19</v>
      </c>
      <c r="D81" s="22">
        <v>58</v>
      </c>
      <c r="E81" s="22">
        <v>336</v>
      </c>
      <c r="F81" s="22">
        <v>552</v>
      </c>
      <c r="G81" s="22">
        <v>1344</v>
      </c>
      <c r="H81" s="55">
        <v>-82.74</v>
      </c>
      <c r="I81" s="55">
        <v>-58.93</v>
      </c>
      <c r="J81" s="55">
        <v>0.35</v>
      </c>
      <c r="K81" s="55">
        <v>0.68</v>
      </c>
      <c r="L81" s="55">
        <v>2.34</v>
      </c>
      <c r="M81" s="55">
        <v>1.8</v>
      </c>
      <c r="N81" s="55"/>
      <c r="O81" s="55"/>
    </row>
    <row r="82" spans="1:15">
      <c r="A82" s="55">
        <v>42</v>
      </c>
      <c r="B82" s="55" t="s">
        <v>1029</v>
      </c>
      <c r="C82" s="55" t="s">
        <v>19</v>
      </c>
      <c r="D82" s="22">
        <v>126</v>
      </c>
      <c r="E82" s="22">
        <v>0</v>
      </c>
      <c r="F82" s="22">
        <v>548</v>
      </c>
      <c r="G82" s="22">
        <v>0</v>
      </c>
      <c r="H82" s="55">
        <v>0</v>
      </c>
      <c r="I82" s="55">
        <v>0</v>
      </c>
      <c r="J82" s="55">
        <v>0.75</v>
      </c>
      <c r="K82" s="55">
        <v>0.67</v>
      </c>
      <c r="L82" s="55">
        <v>0</v>
      </c>
      <c r="M82" s="55">
        <v>0</v>
      </c>
      <c r="N82" s="55"/>
      <c r="O82" s="55"/>
    </row>
    <row r="83" spans="1:15">
      <c r="A83" s="55">
        <v>43</v>
      </c>
      <c r="B83" s="55" t="s">
        <v>229</v>
      </c>
      <c r="C83" s="55" t="s">
        <v>19</v>
      </c>
      <c r="D83" s="22">
        <v>169</v>
      </c>
      <c r="E83" s="22">
        <v>123</v>
      </c>
      <c r="F83" s="22">
        <v>547</v>
      </c>
      <c r="G83" s="22">
        <v>530</v>
      </c>
      <c r="H83" s="55">
        <v>37.4</v>
      </c>
      <c r="I83" s="55">
        <v>3.21</v>
      </c>
      <c r="J83" s="55">
        <v>1.01</v>
      </c>
      <c r="K83" s="55">
        <v>0.67</v>
      </c>
      <c r="L83" s="55">
        <v>0.86</v>
      </c>
      <c r="M83" s="55">
        <v>0.71</v>
      </c>
      <c r="N83" s="55"/>
      <c r="O83" s="55"/>
    </row>
    <row r="84" spans="1:15" hidden="1">
      <c r="A84" s="55">
        <v>44</v>
      </c>
      <c r="B84" s="55" t="s">
        <v>700</v>
      </c>
      <c r="C84" s="55" t="s">
        <v>20</v>
      </c>
      <c r="D84" s="22">
        <v>100</v>
      </c>
      <c r="E84" s="22">
        <v>165</v>
      </c>
      <c r="F84" s="22">
        <v>533</v>
      </c>
      <c r="G84" s="22">
        <v>349</v>
      </c>
      <c r="H84" s="55">
        <v>-39.39</v>
      </c>
      <c r="I84" s="55">
        <v>52.72</v>
      </c>
      <c r="J84" s="55">
        <v>0.6</v>
      </c>
      <c r="K84" s="55">
        <v>0.65</v>
      </c>
      <c r="L84" s="55">
        <v>1.1499999999999999</v>
      </c>
      <c r="M84" s="55">
        <v>0.47</v>
      </c>
      <c r="N84" s="55"/>
      <c r="O84" s="55"/>
    </row>
    <row r="85" spans="1:15" hidden="1">
      <c r="A85" s="55">
        <v>45</v>
      </c>
      <c r="B85" s="55" t="s">
        <v>587</v>
      </c>
      <c r="C85" s="55" t="s">
        <v>20</v>
      </c>
      <c r="D85" s="22">
        <v>95</v>
      </c>
      <c r="E85" s="22">
        <v>382</v>
      </c>
      <c r="F85" s="22">
        <v>510</v>
      </c>
      <c r="G85" s="22">
        <v>1178</v>
      </c>
      <c r="H85" s="55">
        <v>-75.13</v>
      </c>
      <c r="I85" s="55">
        <v>-56.71</v>
      </c>
      <c r="J85" s="55">
        <v>0.56999999999999995</v>
      </c>
      <c r="K85" s="55">
        <v>0.63</v>
      </c>
      <c r="L85" s="55">
        <v>2.66</v>
      </c>
      <c r="M85" s="55">
        <v>1.57</v>
      </c>
      <c r="N85" s="55"/>
      <c r="O85" s="55"/>
    </row>
    <row r="86" spans="1:15" hidden="1">
      <c r="A86" s="55">
        <v>46</v>
      </c>
      <c r="B86" s="55" t="s">
        <v>563</v>
      </c>
      <c r="C86" s="55" t="s">
        <v>20</v>
      </c>
      <c r="D86" s="22">
        <v>89</v>
      </c>
      <c r="E86" s="22">
        <v>218</v>
      </c>
      <c r="F86" s="22">
        <v>491</v>
      </c>
      <c r="G86" s="22">
        <v>418</v>
      </c>
      <c r="H86" s="55">
        <v>-59.17</v>
      </c>
      <c r="I86" s="55">
        <v>17.46</v>
      </c>
      <c r="J86" s="55">
        <v>0.53</v>
      </c>
      <c r="K86" s="55">
        <v>0.6</v>
      </c>
      <c r="L86" s="55">
        <v>1.52</v>
      </c>
      <c r="M86" s="55">
        <v>0.56000000000000005</v>
      </c>
      <c r="N86" s="55"/>
      <c r="O86" s="55"/>
    </row>
    <row r="87" spans="1:15" hidden="1">
      <c r="A87" s="55">
        <v>47</v>
      </c>
      <c r="B87" s="55" t="s">
        <v>496</v>
      </c>
      <c r="C87" s="55" t="s">
        <v>20</v>
      </c>
      <c r="D87" s="22">
        <v>80</v>
      </c>
      <c r="E87" s="22">
        <v>43</v>
      </c>
      <c r="F87" s="22">
        <v>480</v>
      </c>
      <c r="G87" s="22">
        <v>242</v>
      </c>
      <c r="H87" s="55">
        <v>86.05</v>
      </c>
      <c r="I87" s="55">
        <v>98.35</v>
      </c>
      <c r="J87" s="55">
        <v>0.48</v>
      </c>
      <c r="K87" s="55">
        <v>0.59</v>
      </c>
      <c r="L87" s="55">
        <v>0.3</v>
      </c>
      <c r="M87" s="55">
        <v>0.32</v>
      </c>
      <c r="N87" s="55"/>
      <c r="O87" s="55"/>
    </row>
    <row r="88" spans="1:15">
      <c r="A88" s="55">
        <v>48</v>
      </c>
      <c r="B88" s="55" t="s">
        <v>490</v>
      </c>
      <c r="C88" s="55" t="s">
        <v>19</v>
      </c>
      <c r="D88" s="22">
        <v>88</v>
      </c>
      <c r="E88" s="22">
        <v>23</v>
      </c>
      <c r="F88" s="22">
        <v>471</v>
      </c>
      <c r="G88" s="22">
        <v>182</v>
      </c>
      <c r="H88" s="55">
        <v>282.61</v>
      </c>
      <c r="I88" s="55">
        <v>158.79</v>
      </c>
      <c r="J88" s="55">
        <v>0.53</v>
      </c>
      <c r="K88" s="55">
        <v>0.57999999999999996</v>
      </c>
      <c r="L88" s="55">
        <v>0.16</v>
      </c>
      <c r="M88" s="55">
        <v>0.24</v>
      </c>
      <c r="N88" s="55"/>
      <c r="O88" s="55"/>
    </row>
    <row r="89" spans="1:15">
      <c r="A89" s="55">
        <v>49</v>
      </c>
      <c r="B89" s="55" t="s">
        <v>359</v>
      </c>
      <c r="C89" s="55" t="s">
        <v>19</v>
      </c>
      <c r="D89" s="22">
        <v>65</v>
      </c>
      <c r="E89" s="22">
        <v>80</v>
      </c>
      <c r="F89" s="22">
        <v>453</v>
      </c>
      <c r="G89" s="22">
        <v>189</v>
      </c>
      <c r="H89" s="55">
        <v>-18.75</v>
      </c>
      <c r="I89" s="55">
        <v>139.68</v>
      </c>
      <c r="J89" s="55">
        <v>0.39</v>
      </c>
      <c r="K89" s="55">
        <v>0.56000000000000005</v>
      </c>
      <c r="L89" s="55">
        <v>0.56000000000000005</v>
      </c>
      <c r="M89" s="55">
        <v>0.25</v>
      </c>
      <c r="N89" s="55"/>
      <c r="O89" s="55"/>
    </row>
    <row r="90" spans="1:15" hidden="1">
      <c r="A90" s="55">
        <v>50</v>
      </c>
      <c r="B90" s="55" t="s">
        <v>1014</v>
      </c>
      <c r="C90" s="55" t="s">
        <v>20</v>
      </c>
      <c r="D90" s="22">
        <v>86</v>
      </c>
      <c r="E90" s="22">
        <v>0</v>
      </c>
      <c r="F90" s="22">
        <v>445</v>
      </c>
      <c r="G90" s="22">
        <v>0</v>
      </c>
      <c r="H90" s="55">
        <v>0</v>
      </c>
      <c r="I90" s="55">
        <v>0</v>
      </c>
      <c r="J90" s="55">
        <v>0.51</v>
      </c>
      <c r="K90" s="55">
        <v>0.55000000000000004</v>
      </c>
      <c r="L90" s="55">
        <v>0</v>
      </c>
      <c r="M90" s="55">
        <v>0</v>
      </c>
      <c r="N90" s="55"/>
      <c r="O90" s="55"/>
    </row>
    <row r="91" spans="1:15" hidden="1">
      <c r="A91" s="55">
        <v>51</v>
      </c>
      <c r="B91" s="55" t="s">
        <v>561</v>
      </c>
      <c r="C91" s="55" t="s">
        <v>20</v>
      </c>
      <c r="D91" s="22">
        <v>102</v>
      </c>
      <c r="E91" s="22">
        <v>31</v>
      </c>
      <c r="F91" s="22">
        <v>431</v>
      </c>
      <c r="G91" s="22">
        <v>238</v>
      </c>
      <c r="H91" s="55">
        <v>229.03</v>
      </c>
      <c r="I91" s="55">
        <v>81.09</v>
      </c>
      <c r="J91" s="55">
        <v>0.61</v>
      </c>
      <c r="K91" s="55">
        <v>0.53</v>
      </c>
      <c r="L91" s="55">
        <v>0.22</v>
      </c>
      <c r="M91" s="55">
        <v>0.32</v>
      </c>
      <c r="N91" s="55"/>
      <c r="O91" s="55"/>
    </row>
    <row r="92" spans="1:15" hidden="1">
      <c r="A92" s="55">
        <v>52</v>
      </c>
      <c r="B92" s="55" t="s">
        <v>99</v>
      </c>
      <c r="C92" s="55" t="s">
        <v>20</v>
      </c>
      <c r="D92" s="22">
        <v>18</v>
      </c>
      <c r="E92" s="22">
        <v>128</v>
      </c>
      <c r="F92" s="22">
        <v>430</v>
      </c>
      <c r="G92" s="22">
        <v>677</v>
      </c>
      <c r="H92" s="55">
        <v>-85.94</v>
      </c>
      <c r="I92" s="55">
        <v>-36.479999999999997</v>
      </c>
      <c r="J92" s="55">
        <v>0.11</v>
      </c>
      <c r="K92" s="55">
        <v>0.53</v>
      </c>
      <c r="L92" s="55">
        <v>0.89</v>
      </c>
      <c r="M92" s="55">
        <v>0.9</v>
      </c>
      <c r="N92" s="55"/>
      <c r="O92" s="55"/>
    </row>
    <row r="93" spans="1:15" hidden="1">
      <c r="A93" s="55">
        <v>53</v>
      </c>
      <c r="B93" s="55" t="s">
        <v>662</v>
      </c>
      <c r="C93" s="55" t="s">
        <v>20</v>
      </c>
      <c r="D93" s="22">
        <v>145</v>
      </c>
      <c r="E93" s="22">
        <v>113</v>
      </c>
      <c r="F93" s="22">
        <v>423</v>
      </c>
      <c r="G93" s="22">
        <v>317</v>
      </c>
      <c r="H93" s="62">
        <v>28.32</v>
      </c>
      <c r="I93" s="62">
        <v>33.44</v>
      </c>
      <c r="J93" s="55">
        <v>0.87</v>
      </c>
      <c r="K93" s="55">
        <v>0.52</v>
      </c>
      <c r="L93" s="55">
        <v>0.79</v>
      </c>
      <c r="M93" s="55">
        <v>0.42</v>
      </c>
      <c r="N93" s="55"/>
      <c r="O93" s="55"/>
    </row>
    <row r="94" spans="1:15" hidden="1">
      <c r="A94" s="55">
        <v>54</v>
      </c>
      <c r="B94" s="55" t="s">
        <v>1035</v>
      </c>
      <c r="C94" s="55" t="s">
        <v>20</v>
      </c>
      <c r="D94" s="22">
        <v>110</v>
      </c>
      <c r="E94" s="22">
        <v>0</v>
      </c>
      <c r="F94" s="22">
        <v>413</v>
      </c>
      <c r="G94" s="22">
        <v>0</v>
      </c>
      <c r="H94" s="78">
        <v>0</v>
      </c>
      <c r="I94" s="78">
        <v>0</v>
      </c>
      <c r="J94" s="55">
        <v>0.66</v>
      </c>
      <c r="K94" s="55">
        <v>0.51</v>
      </c>
      <c r="L94" s="55">
        <v>0</v>
      </c>
      <c r="M94" s="55">
        <v>0</v>
      </c>
      <c r="N94" s="55"/>
      <c r="O94" s="55"/>
    </row>
    <row r="95" spans="1:15">
      <c r="A95" s="55">
        <v>55</v>
      </c>
      <c r="B95" s="55" t="s">
        <v>117</v>
      </c>
      <c r="C95" s="55" t="s">
        <v>19</v>
      </c>
      <c r="D95" s="22">
        <v>87</v>
      </c>
      <c r="E95" s="22">
        <v>72</v>
      </c>
      <c r="F95" s="22">
        <v>389</v>
      </c>
      <c r="G95" s="22">
        <v>451</v>
      </c>
      <c r="H95" s="55">
        <v>20.83</v>
      </c>
      <c r="I95" s="55">
        <v>-13.75</v>
      </c>
      <c r="J95" s="55">
        <v>0.52</v>
      </c>
      <c r="K95" s="55">
        <v>0.48</v>
      </c>
      <c r="L95" s="55">
        <v>0.5</v>
      </c>
      <c r="M95" s="55">
        <v>0.6</v>
      </c>
      <c r="N95" s="55"/>
      <c r="O95" s="55"/>
    </row>
    <row r="96" spans="1:15" hidden="1">
      <c r="A96" s="55">
        <v>56</v>
      </c>
      <c r="B96" s="55" t="s">
        <v>364</v>
      </c>
      <c r="C96" s="55" t="s">
        <v>20</v>
      </c>
      <c r="D96" s="22">
        <v>70</v>
      </c>
      <c r="E96" s="22">
        <v>96</v>
      </c>
      <c r="F96" s="22">
        <v>379</v>
      </c>
      <c r="G96" s="22">
        <v>487</v>
      </c>
      <c r="H96" s="55">
        <v>-27.08</v>
      </c>
      <c r="I96" s="55">
        <v>-22.18</v>
      </c>
      <c r="J96" s="55">
        <v>0.42</v>
      </c>
      <c r="K96" s="55">
        <v>0.46</v>
      </c>
      <c r="L96" s="55">
        <v>0.67</v>
      </c>
      <c r="M96" s="55">
        <v>0.65</v>
      </c>
      <c r="N96" s="55"/>
      <c r="O96" s="55"/>
    </row>
    <row r="97" spans="1:15" hidden="1">
      <c r="A97" s="55">
        <v>57</v>
      </c>
      <c r="B97" s="55" t="s">
        <v>403</v>
      </c>
      <c r="C97" s="55" t="s">
        <v>20</v>
      </c>
      <c r="D97" s="22">
        <v>62</v>
      </c>
      <c r="E97" s="22">
        <v>67</v>
      </c>
      <c r="F97" s="22">
        <v>372</v>
      </c>
      <c r="G97" s="22">
        <v>520</v>
      </c>
      <c r="H97" s="55">
        <v>-7.46</v>
      </c>
      <c r="I97" s="55">
        <v>-28.46</v>
      </c>
      <c r="J97" s="55">
        <v>0.37</v>
      </c>
      <c r="K97" s="55">
        <v>0.46</v>
      </c>
      <c r="L97" s="55">
        <v>0.47</v>
      </c>
      <c r="M97" s="55">
        <v>0.69</v>
      </c>
      <c r="N97" s="55"/>
      <c r="O97" s="55"/>
    </row>
    <row r="98" spans="1:15">
      <c r="A98" s="55">
        <v>58</v>
      </c>
      <c r="B98" s="55" t="s">
        <v>75</v>
      </c>
      <c r="C98" s="55" t="s">
        <v>19</v>
      </c>
      <c r="D98" s="22">
        <v>114</v>
      </c>
      <c r="E98" s="22">
        <v>25</v>
      </c>
      <c r="F98" s="22">
        <v>364</v>
      </c>
      <c r="G98" s="22">
        <v>322</v>
      </c>
      <c r="H98" s="55">
        <v>356</v>
      </c>
      <c r="I98" s="55">
        <v>13.04</v>
      </c>
      <c r="J98" s="55">
        <v>0.68</v>
      </c>
      <c r="K98" s="55">
        <v>0.45</v>
      </c>
      <c r="L98" s="55">
        <v>0.17</v>
      </c>
      <c r="M98" s="55">
        <v>0.43</v>
      </c>
      <c r="N98" s="55"/>
      <c r="O98" s="55"/>
    </row>
    <row r="99" spans="1:15">
      <c r="A99" s="55">
        <v>59</v>
      </c>
      <c r="B99" s="55" t="s">
        <v>407</v>
      </c>
      <c r="C99" s="55" t="s">
        <v>19</v>
      </c>
      <c r="D99" s="22">
        <v>63</v>
      </c>
      <c r="E99" s="22">
        <v>22</v>
      </c>
      <c r="F99" s="22">
        <v>334</v>
      </c>
      <c r="G99" s="22">
        <v>141</v>
      </c>
      <c r="H99" s="55">
        <v>186.36</v>
      </c>
      <c r="I99" s="55">
        <v>136.88</v>
      </c>
      <c r="J99" s="55">
        <v>0.38</v>
      </c>
      <c r="K99" s="55">
        <v>0.41</v>
      </c>
      <c r="L99" s="55">
        <v>0.15</v>
      </c>
      <c r="M99" s="55">
        <v>0.19</v>
      </c>
      <c r="N99" s="55"/>
      <c r="O99" s="55"/>
    </row>
    <row r="100" spans="1:15">
      <c r="A100" s="55">
        <v>60</v>
      </c>
      <c r="B100" s="55" t="s">
        <v>235</v>
      </c>
      <c r="C100" s="55" t="s">
        <v>19</v>
      </c>
      <c r="D100" s="22">
        <v>25</v>
      </c>
      <c r="E100" s="22">
        <v>0</v>
      </c>
      <c r="F100" s="22">
        <v>330</v>
      </c>
      <c r="G100" s="22">
        <v>1</v>
      </c>
      <c r="H100" s="55">
        <v>0</v>
      </c>
      <c r="I100" s="55">
        <v>32900</v>
      </c>
      <c r="J100" s="55">
        <v>0.15</v>
      </c>
      <c r="K100" s="55">
        <v>0.4</v>
      </c>
      <c r="L100" s="55">
        <v>0</v>
      </c>
      <c r="M100" s="55">
        <v>0</v>
      </c>
      <c r="N100" s="55"/>
      <c r="O100" s="55"/>
    </row>
    <row r="101" spans="1:15" hidden="1">
      <c r="A101" s="55">
        <v>61</v>
      </c>
      <c r="B101" s="55" t="s">
        <v>484</v>
      </c>
      <c r="C101" s="55" t="s">
        <v>20</v>
      </c>
      <c r="D101" s="22">
        <v>9</v>
      </c>
      <c r="E101" s="22">
        <v>51</v>
      </c>
      <c r="F101" s="22">
        <v>319</v>
      </c>
      <c r="G101" s="22">
        <v>197</v>
      </c>
      <c r="H101" s="55">
        <v>-82.35</v>
      </c>
      <c r="I101" s="55">
        <v>61.93</v>
      </c>
      <c r="J101" s="55">
        <v>0.05</v>
      </c>
      <c r="K101" s="55">
        <v>0.39</v>
      </c>
      <c r="L101" s="55">
        <v>0.35</v>
      </c>
      <c r="M101" s="55">
        <v>0.26</v>
      </c>
      <c r="N101" s="55"/>
      <c r="O101" s="55"/>
    </row>
    <row r="102" spans="1:15" hidden="1">
      <c r="A102" s="55">
        <v>62</v>
      </c>
      <c r="B102" s="55" t="s">
        <v>601</v>
      </c>
      <c r="C102" s="55" t="s">
        <v>20</v>
      </c>
      <c r="D102" s="22">
        <v>6</v>
      </c>
      <c r="E102" s="22">
        <v>1</v>
      </c>
      <c r="F102" s="22">
        <v>316</v>
      </c>
      <c r="G102" s="22">
        <v>290</v>
      </c>
      <c r="H102" s="55">
        <v>500</v>
      </c>
      <c r="I102" s="55">
        <v>8.9700000000000006</v>
      </c>
      <c r="J102" s="55">
        <v>0.04</v>
      </c>
      <c r="K102" s="55">
        <v>0.39</v>
      </c>
      <c r="L102" s="55">
        <v>0.01</v>
      </c>
      <c r="M102" s="55">
        <v>0.39</v>
      </c>
      <c r="N102" s="55"/>
      <c r="O102" s="55"/>
    </row>
    <row r="103" spans="1:15">
      <c r="A103" s="55">
        <v>63</v>
      </c>
      <c r="B103" s="55" t="s">
        <v>374</v>
      </c>
      <c r="C103" s="55" t="s">
        <v>19</v>
      </c>
      <c r="D103" s="22">
        <v>21</v>
      </c>
      <c r="E103" s="22">
        <v>165</v>
      </c>
      <c r="F103" s="22">
        <v>310</v>
      </c>
      <c r="G103" s="22">
        <v>707</v>
      </c>
      <c r="H103" s="55">
        <v>-87.27</v>
      </c>
      <c r="I103" s="55">
        <v>-56.15</v>
      </c>
      <c r="J103" s="55">
        <v>0.13</v>
      </c>
      <c r="K103" s="55">
        <v>0.38</v>
      </c>
      <c r="L103" s="55">
        <v>1.1499999999999999</v>
      </c>
      <c r="M103" s="55">
        <v>0.94</v>
      </c>
      <c r="N103" s="55"/>
      <c r="O103" s="55"/>
    </row>
    <row r="104" spans="1:15" hidden="1">
      <c r="A104" s="55">
        <v>64</v>
      </c>
      <c r="B104" s="55" t="s">
        <v>408</v>
      </c>
      <c r="C104" s="55" t="s">
        <v>20</v>
      </c>
      <c r="D104" s="22">
        <v>74</v>
      </c>
      <c r="E104" s="22">
        <v>50</v>
      </c>
      <c r="F104" s="22">
        <v>292</v>
      </c>
      <c r="G104" s="22">
        <v>290</v>
      </c>
      <c r="H104" s="55">
        <v>48</v>
      </c>
      <c r="I104" s="55">
        <v>0.69</v>
      </c>
      <c r="J104" s="55">
        <v>0.44</v>
      </c>
      <c r="K104" s="55">
        <v>0.36</v>
      </c>
      <c r="L104" s="55">
        <v>0.35</v>
      </c>
      <c r="M104" s="55">
        <v>0.39</v>
      </c>
      <c r="N104" s="55"/>
      <c r="O104" s="55"/>
    </row>
    <row r="105" spans="1:15">
      <c r="A105" s="55">
        <v>65</v>
      </c>
      <c r="B105" s="55" t="s">
        <v>392</v>
      </c>
      <c r="C105" s="55" t="s">
        <v>19</v>
      </c>
      <c r="D105" s="22">
        <v>59</v>
      </c>
      <c r="E105" s="22">
        <v>179</v>
      </c>
      <c r="F105" s="22">
        <v>269</v>
      </c>
      <c r="G105" s="22">
        <v>673</v>
      </c>
      <c r="H105" s="55">
        <v>-67.040000000000006</v>
      </c>
      <c r="I105" s="55">
        <v>-60.03</v>
      </c>
      <c r="J105" s="55">
        <v>0.35</v>
      </c>
      <c r="K105" s="55">
        <v>0.33</v>
      </c>
      <c r="L105" s="55">
        <v>1.25</v>
      </c>
      <c r="M105" s="55">
        <v>0.9</v>
      </c>
      <c r="N105" s="55"/>
      <c r="O105" s="55"/>
    </row>
    <row r="106" spans="1:15" hidden="1">
      <c r="A106" s="55">
        <v>66</v>
      </c>
      <c r="B106" s="55" t="s">
        <v>138</v>
      </c>
      <c r="C106" s="55" t="s">
        <v>20</v>
      </c>
      <c r="D106" s="22">
        <v>83</v>
      </c>
      <c r="E106" s="22">
        <v>0</v>
      </c>
      <c r="F106" s="22">
        <v>263</v>
      </c>
      <c r="G106" s="22">
        <v>0</v>
      </c>
      <c r="H106" s="55">
        <v>0</v>
      </c>
      <c r="I106" s="55">
        <v>0</v>
      </c>
      <c r="J106" s="55">
        <v>0.5</v>
      </c>
      <c r="K106" s="55">
        <v>0.32</v>
      </c>
      <c r="L106" s="55">
        <v>0</v>
      </c>
      <c r="M106" s="55">
        <v>0</v>
      </c>
      <c r="N106" s="55"/>
      <c r="O106" s="55"/>
    </row>
    <row r="107" spans="1:15">
      <c r="A107" s="55">
        <v>67</v>
      </c>
      <c r="B107" s="55" t="s">
        <v>353</v>
      </c>
      <c r="C107" s="55" t="s">
        <v>19</v>
      </c>
      <c r="D107" s="22">
        <v>56</v>
      </c>
      <c r="E107" s="22">
        <v>37</v>
      </c>
      <c r="F107" s="22">
        <v>255</v>
      </c>
      <c r="G107" s="22">
        <v>318</v>
      </c>
      <c r="H107" s="55">
        <v>51.35</v>
      </c>
      <c r="I107" s="55">
        <v>-19.809999999999999</v>
      </c>
      <c r="J107" s="55">
        <v>0.33</v>
      </c>
      <c r="K107" s="55">
        <v>0.31</v>
      </c>
      <c r="L107" s="55">
        <v>0.26</v>
      </c>
      <c r="M107" s="55">
        <v>0.42</v>
      </c>
      <c r="N107" s="55"/>
      <c r="O107" s="55"/>
    </row>
    <row r="108" spans="1:15" hidden="1">
      <c r="A108" s="55">
        <v>68</v>
      </c>
      <c r="B108" s="55" t="s">
        <v>413</v>
      </c>
      <c r="C108" s="55" t="s">
        <v>20</v>
      </c>
      <c r="D108" s="22">
        <v>9</v>
      </c>
      <c r="E108" s="22">
        <v>92</v>
      </c>
      <c r="F108" s="22">
        <v>240</v>
      </c>
      <c r="G108" s="22">
        <v>654</v>
      </c>
      <c r="H108" s="55">
        <v>-90.22</v>
      </c>
      <c r="I108" s="55">
        <v>-63.3</v>
      </c>
      <c r="J108" s="55">
        <v>0.05</v>
      </c>
      <c r="K108" s="55">
        <v>0.28999999999999998</v>
      </c>
      <c r="L108" s="55">
        <v>0.64</v>
      </c>
      <c r="M108" s="55">
        <v>0.87</v>
      </c>
      <c r="N108" s="55"/>
      <c r="O108" s="55"/>
    </row>
    <row r="109" spans="1:15">
      <c r="A109" s="55">
        <v>69</v>
      </c>
      <c r="B109" s="55" t="s">
        <v>655</v>
      </c>
      <c r="C109" s="55" t="s">
        <v>19</v>
      </c>
      <c r="D109" s="22">
        <v>74</v>
      </c>
      <c r="E109" s="22">
        <v>25</v>
      </c>
      <c r="F109" s="22">
        <v>234</v>
      </c>
      <c r="G109" s="22">
        <v>157</v>
      </c>
      <c r="H109" s="55">
        <v>196</v>
      </c>
      <c r="I109" s="55">
        <v>49.04</v>
      </c>
      <c r="J109" s="55">
        <v>0.44</v>
      </c>
      <c r="K109" s="55">
        <v>0.28999999999999998</v>
      </c>
      <c r="L109" s="55">
        <v>0.17</v>
      </c>
      <c r="M109" s="55">
        <v>0.21</v>
      </c>
      <c r="N109" s="55"/>
      <c r="O109" s="55"/>
    </row>
    <row r="110" spans="1:15">
      <c r="A110" s="55">
        <v>70</v>
      </c>
      <c r="B110" s="55" t="s">
        <v>632</v>
      </c>
      <c r="C110" s="55" t="s">
        <v>19</v>
      </c>
      <c r="D110" s="22">
        <v>132</v>
      </c>
      <c r="E110" s="22">
        <v>59</v>
      </c>
      <c r="F110" s="22">
        <v>232</v>
      </c>
      <c r="G110" s="22">
        <v>194</v>
      </c>
      <c r="H110" s="55">
        <v>123.73</v>
      </c>
      <c r="I110" s="55">
        <v>19.59</v>
      </c>
      <c r="J110" s="55">
        <v>0.79</v>
      </c>
      <c r="K110" s="55">
        <v>0.28000000000000003</v>
      </c>
      <c r="L110" s="55">
        <v>0.41</v>
      </c>
      <c r="M110" s="55">
        <v>0.26</v>
      </c>
      <c r="N110" s="55"/>
      <c r="O110" s="55"/>
    </row>
    <row r="111" spans="1:15">
      <c r="A111" s="55">
        <v>71</v>
      </c>
      <c r="B111" s="55" t="s">
        <v>399</v>
      </c>
      <c r="C111" s="55" t="s">
        <v>19</v>
      </c>
      <c r="D111" s="22">
        <v>19</v>
      </c>
      <c r="E111" s="22">
        <v>75</v>
      </c>
      <c r="F111" s="22">
        <v>229</v>
      </c>
      <c r="G111" s="22">
        <v>351</v>
      </c>
      <c r="H111" s="55">
        <v>-74.67</v>
      </c>
      <c r="I111" s="55">
        <v>-34.76</v>
      </c>
      <c r="J111" s="55">
        <v>0.11</v>
      </c>
      <c r="K111" s="55">
        <v>0.28000000000000003</v>
      </c>
      <c r="L111" s="55">
        <v>0.52</v>
      </c>
      <c r="M111" s="55">
        <v>0.47</v>
      </c>
      <c r="N111" s="55"/>
      <c r="O111" s="55"/>
    </row>
    <row r="112" spans="1:15" hidden="1">
      <c r="A112" s="55">
        <v>72</v>
      </c>
      <c r="B112" s="55" t="s">
        <v>574</v>
      </c>
      <c r="C112" s="55" t="s">
        <v>20</v>
      </c>
      <c r="D112" s="22">
        <v>29</v>
      </c>
      <c r="E112" s="22">
        <v>36</v>
      </c>
      <c r="F112" s="22">
        <v>225</v>
      </c>
      <c r="G112" s="22">
        <v>352</v>
      </c>
      <c r="H112" s="55">
        <v>-19.440000000000001</v>
      </c>
      <c r="I112" s="55">
        <v>-36.08</v>
      </c>
      <c r="J112" s="55">
        <v>0.17</v>
      </c>
      <c r="K112" s="55">
        <v>0.28000000000000003</v>
      </c>
      <c r="L112" s="55">
        <v>0.25</v>
      </c>
      <c r="M112" s="55">
        <v>0.47</v>
      </c>
      <c r="N112" s="55"/>
      <c r="O112" s="55"/>
    </row>
    <row r="113" spans="1:15" hidden="1">
      <c r="A113" s="55">
        <v>73</v>
      </c>
      <c r="B113" s="55" t="s">
        <v>642</v>
      </c>
      <c r="C113" s="55" t="s">
        <v>20</v>
      </c>
      <c r="D113" s="22">
        <v>39</v>
      </c>
      <c r="E113" s="22">
        <v>32</v>
      </c>
      <c r="F113" s="22">
        <v>222</v>
      </c>
      <c r="G113" s="22">
        <v>156</v>
      </c>
      <c r="H113" s="55">
        <v>21.88</v>
      </c>
      <c r="I113" s="55">
        <v>42.31</v>
      </c>
      <c r="J113" s="55">
        <v>0.23</v>
      </c>
      <c r="K113" s="55">
        <v>0.27</v>
      </c>
      <c r="L113" s="55">
        <v>0.22</v>
      </c>
      <c r="M113" s="55">
        <v>0.21</v>
      </c>
      <c r="N113" s="55"/>
      <c r="O113" s="55"/>
    </row>
    <row r="114" spans="1:15">
      <c r="A114" s="55">
        <v>74</v>
      </c>
      <c r="B114" s="55" t="s">
        <v>375</v>
      </c>
      <c r="C114" s="55" t="s">
        <v>19</v>
      </c>
      <c r="D114" s="22">
        <v>68</v>
      </c>
      <c r="E114" s="22">
        <v>7</v>
      </c>
      <c r="F114" s="22">
        <v>217</v>
      </c>
      <c r="G114" s="22">
        <v>60</v>
      </c>
      <c r="H114" s="55">
        <v>871.43</v>
      </c>
      <c r="I114" s="55">
        <v>261.67</v>
      </c>
      <c r="J114" s="55">
        <v>0.41</v>
      </c>
      <c r="K114" s="55">
        <v>0.27</v>
      </c>
      <c r="L114" s="55">
        <v>0.05</v>
      </c>
      <c r="M114" s="55">
        <v>0.08</v>
      </c>
      <c r="N114" s="55"/>
      <c r="O114" s="55"/>
    </row>
    <row r="115" spans="1:15" hidden="1">
      <c r="A115" s="55">
        <v>75</v>
      </c>
      <c r="B115" s="55" t="s">
        <v>1097</v>
      </c>
      <c r="C115" s="55" t="s">
        <v>20</v>
      </c>
      <c r="D115" s="22">
        <v>54</v>
      </c>
      <c r="E115" s="22">
        <v>3</v>
      </c>
      <c r="F115" s="22">
        <v>209</v>
      </c>
      <c r="G115" s="22">
        <v>3</v>
      </c>
      <c r="H115" s="55">
        <v>1700</v>
      </c>
      <c r="I115" s="55">
        <v>6866.67</v>
      </c>
      <c r="J115" s="55">
        <v>0.32</v>
      </c>
      <c r="K115" s="55">
        <v>0.26</v>
      </c>
      <c r="L115" s="55">
        <v>0.02</v>
      </c>
      <c r="M115" s="55">
        <v>0</v>
      </c>
      <c r="N115" s="55"/>
      <c r="O115" s="55"/>
    </row>
    <row r="116" spans="1:15">
      <c r="A116" s="55">
        <v>76</v>
      </c>
      <c r="B116" s="55" t="s">
        <v>376</v>
      </c>
      <c r="C116" s="55" t="s">
        <v>19</v>
      </c>
      <c r="D116" s="22">
        <v>20</v>
      </c>
      <c r="E116" s="22">
        <v>10</v>
      </c>
      <c r="F116" s="22">
        <v>203</v>
      </c>
      <c r="G116" s="22">
        <v>296</v>
      </c>
      <c r="H116" s="55">
        <v>100</v>
      </c>
      <c r="I116" s="55">
        <v>-31.42</v>
      </c>
      <c r="J116" s="55">
        <v>0.12</v>
      </c>
      <c r="K116" s="55">
        <v>0.25</v>
      </c>
      <c r="L116" s="55">
        <v>7.0000000000000007E-2</v>
      </c>
      <c r="M116" s="55">
        <v>0.4</v>
      </c>
      <c r="N116" s="55"/>
      <c r="O116" s="55"/>
    </row>
    <row r="117" spans="1:15">
      <c r="A117" s="55">
        <v>77</v>
      </c>
      <c r="B117" s="55" t="s">
        <v>404</v>
      </c>
      <c r="C117" s="55" t="s">
        <v>19</v>
      </c>
      <c r="D117" s="22">
        <v>43</v>
      </c>
      <c r="E117" s="22">
        <v>95</v>
      </c>
      <c r="F117" s="22">
        <v>197</v>
      </c>
      <c r="G117" s="22">
        <v>773</v>
      </c>
      <c r="H117" s="55">
        <v>-54.74</v>
      </c>
      <c r="I117" s="55">
        <v>-74.510000000000005</v>
      </c>
      <c r="J117" s="55">
        <v>0.26</v>
      </c>
      <c r="K117" s="55">
        <v>0.24</v>
      </c>
      <c r="L117" s="55">
        <v>0.66</v>
      </c>
      <c r="M117" s="55">
        <v>1.03</v>
      </c>
      <c r="N117" s="55"/>
      <c r="O117" s="55"/>
    </row>
    <row r="118" spans="1:15">
      <c r="A118" s="55">
        <v>78</v>
      </c>
      <c r="B118" s="55" t="s">
        <v>40</v>
      </c>
      <c r="C118" s="55" t="s">
        <v>19</v>
      </c>
      <c r="D118" s="22">
        <v>72</v>
      </c>
      <c r="E118" s="22">
        <v>18</v>
      </c>
      <c r="F118" s="22">
        <v>197</v>
      </c>
      <c r="G118" s="22">
        <v>130</v>
      </c>
      <c r="H118" s="55">
        <v>300</v>
      </c>
      <c r="I118" s="55">
        <v>51.54</v>
      </c>
      <c r="J118" s="55">
        <v>0.43</v>
      </c>
      <c r="K118" s="55">
        <v>0.24</v>
      </c>
      <c r="L118" s="55">
        <v>0.13</v>
      </c>
      <c r="M118" s="55">
        <v>0.17</v>
      </c>
      <c r="N118" s="55"/>
      <c r="O118" s="55"/>
    </row>
    <row r="119" spans="1:15">
      <c r="A119" s="55">
        <v>79</v>
      </c>
      <c r="B119" s="55" t="s">
        <v>433</v>
      </c>
      <c r="C119" s="55" t="s">
        <v>19</v>
      </c>
      <c r="D119" s="22">
        <v>25</v>
      </c>
      <c r="E119" s="22">
        <v>64</v>
      </c>
      <c r="F119" s="22">
        <v>192</v>
      </c>
      <c r="G119" s="22">
        <v>418</v>
      </c>
      <c r="H119" s="55">
        <v>-60.94</v>
      </c>
      <c r="I119" s="55">
        <v>-54.07</v>
      </c>
      <c r="J119" s="55">
        <v>0.15</v>
      </c>
      <c r="K119" s="55">
        <v>0.24</v>
      </c>
      <c r="L119" s="55">
        <v>0.45</v>
      </c>
      <c r="M119" s="55">
        <v>0.56000000000000005</v>
      </c>
      <c r="N119" s="55"/>
      <c r="O119" s="55"/>
    </row>
    <row r="120" spans="1:15" hidden="1">
      <c r="A120" s="55">
        <v>80</v>
      </c>
      <c r="B120" s="55" t="s">
        <v>594</v>
      </c>
      <c r="C120" s="55" t="s">
        <v>20</v>
      </c>
      <c r="D120" s="22">
        <v>77</v>
      </c>
      <c r="E120" s="22">
        <v>68</v>
      </c>
      <c r="F120" s="22">
        <v>183</v>
      </c>
      <c r="G120" s="22">
        <v>729</v>
      </c>
      <c r="H120" s="55">
        <v>13.24</v>
      </c>
      <c r="I120" s="55">
        <v>-74.900000000000006</v>
      </c>
      <c r="J120" s="55">
        <v>0.46</v>
      </c>
      <c r="K120" s="55">
        <v>0.22</v>
      </c>
      <c r="L120" s="55">
        <v>0.47</v>
      </c>
      <c r="M120" s="55">
        <v>0.97</v>
      </c>
      <c r="N120" s="55"/>
      <c r="O120" s="55"/>
    </row>
    <row r="121" spans="1:15">
      <c r="A121" s="55">
        <v>81</v>
      </c>
      <c r="B121" s="55" t="s">
        <v>173</v>
      </c>
      <c r="C121" s="55" t="s">
        <v>19</v>
      </c>
      <c r="D121" s="22">
        <v>31</v>
      </c>
      <c r="E121" s="22">
        <v>35</v>
      </c>
      <c r="F121" s="22">
        <v>178</v>
      </c>
      <c r="G121" s="22">
        <v>233</v>
      </c>
      <c r="H121" s="55">
        <v>-11.43</v>
      </c>
      <c r="I121" s="55">
        <v>-23.61</v>
      </c>
      <c r="J121" s="55">
        <v>0.19</v>
      </c>
      <c r="K121" s="55">
        <v>0.22</v>
      </c>
      <c r="L121" s="55">
        <v>0.24</v>
      </c>
      <c r="M121" s="55">
        <v>0.31</v>
      </c>
      <c r="N121" s="55"/>
      <c r="O121" s="55"/>
    </row>
    <row r="122" spans="1:15">
      <c r="A122" s="55">
        <v>82</v>
      </c>
      <c r="B122" s="55" t="s">
        <v>361</v>
      </c>
      <c r="C122" s="55" t="s">
        <v>19</v>
      </c>
      <c r="D122" s="22">
        <v>27</v>
      </c>
      <c r="E122" s="22">
        <v>175</v>
      </c>
      <c r="F122" s="22">
        <v>165</v>
      </c>
      <c r="G122" s="22">
        <v>832</v>
      </c>
      <c r="H122" s="55">
        <v>-84.57</v>
      </c>
      <c r="I122" s="55">
        <v>-80.17</v>
      </c>
      <c r="J122" s="55">
        <v>0.16</v>
      </c>
      <c r="K122" s="55">
        <v>0.2</v>
      </c>
      <c r="L122" s="55">
        <v>1.22</v>
      </c>
      <c r="M122" s="55">
        <v>1.1100000000000001</v>
      </c>
      <c r="N122" s="55"/>
      <c r="O122" s="55"/>
    </row>
    <row r="123" spans="1:15" hidden="1">
      <c r="A123" s="55">
        <v>83</v>
      </c>
      <c r="B123" s="55" t="s">
        <v>398</v>
      </c>
      <c r="C123" s="55" t="s">
        <v>20</v>
      </c>
      <c r="D123" s="22">
        <v>41</v>
      </c>
      <c r="E123" s="22">
        <v>30</v>
      </c>
      <c r="F123" s="22">
        <v>165</v>
      </c>
      <c r="G123" s="22">
        <v>335</v>
      </c>
      <c r="H123" s="55">
        <v>36.67</v>
      </c>
      <c r="I123" s="55">
        <v>-50.75</v>
      </c>
      <c r="J123" s="55">
        <v>0.24</v>
      </c>
      <c r="K123" s="55">
        <v>0.2</v>
      </c>
      <c r="L123" s="55">
        <v>0.21</v>
      </c>
      <c r="M123" s="55">
        <v>0.45</v>
      </c>
      <c r="N123" s="55"/>
      <c r="O123" s="55"/>
    </row>
    <row r="124" spans="1:15">
      <c r="A124" s="55">
        <v>84</v>
      </c>
      <c r="B124" s="55" t="s">
        <v>434</v>
      </c>
      <c r="C124" s="55" t="s">
        <v>19</v>
      </c>
      <c r="D124" s="22">
        <v>52</v>
      </c>
      <c r="E124" s="22">
        <v>15</v>
      </c>
      <c r="F124" s="22">
        <v>147</v>
      </c>
      <c r="G124" s="22">
        <v>213</v>
      </c>
      <c r="H124" s="55">
        <v>246.67</v>
      </c>
      <c r="I124" s="55">
        <v>-30.99</v>
      </c>
      <c r="J124" s="55">
        <v>0.31</v>
      </c>
      <c r="K124" s="55">
        <v>0.18</v>
      </c>
      <c r="L124" s="55">
        <v>0.1</v>
      </c>
      <c r="M124" s="55">
        <v>0.28000000000000003</v>
      </c>
      <c r="N124" s="55"/>
      <c r="O124" s="55"/>
    </row>
    <row r="125" spans="1:15">
      <c r="A125" s="55">
        <v>85</v>
      </c>
      <c r="B125" s="55" t="s">
        <v>1041</v>
      </c>
      <c r="C125" s="55" t="s">
        <v>19</v>
      </c>
      <c r="D125" s="22">
        <v>12</v>
      </c>
      <c r="E125" s="22">
        <v>0</v>
      </c>
      <c r="F125" s="22">
        <v>147</v>
      </c>
      <c r="G125" s="22">
        <v>0</v>
      </c>
      <c r="H125" s="55">
        <v>0</v>
      </c>
      <c r="I125" s="55">
        <v>0</v>
      </c>
      <c r="J125" s="55">
        <v>7.0000000000000007E-2</v>
      </c>
      <c r="K125" s="55">
        <v>0.18</v>
      </c>
      <c r="L125" s="55">
        <v>0</v>
      </c>
      <c r="M125" s="55">
        <v>0</v>
      </c>
      <c r="N125" s="55"/>
      <c r="O125" s="55"/>
    </row>
    <row r="126" spans="1:15" hidden="1">
      <c r="A126" s="55">
        <v>86</v>
      </c>
      <c r="B126" s="55" t="s">
        <v>1007</v>
      </c>
      <c r="C126" s="55" t="s">
        <v>20</v>
      </c>
      <c r="D126" s="22">
        <v>37</v>
      </c>
      <c r="E126" s="22">
        <v>0</v>
      </c>
      <c r="F126" s="22">
        <v>146</v>
      </c>
      <c r="G126" s="22">
        <v>0</v>
      </c>
      <c r="H126" s="55">
        <v>0</v>
      </c>
      <c r="I126" s="55">
        <v>0</v>
      </c>
      <c r="J126" s="55">
        <v>0.22</v>
      </c>
      <c r="K126" s="55">
        <v>0.18</v>
      </c>
      <c r="L126" s="55">
        <v>0</v>
      </c>
      <c r="M126" s="55">
        <v>0</v>
      </c>
      <c r="N126" s="55"/>
      <c r="O126" s="55"/>
    </row>
    <row r="127" spans="1:15">
      <c r="A127" s="55">
        <v>87</v>
      </c>
      <c r="B127" s="55" t="s">
        <v>385</v>
      </c>
      <c r="C127" s="55" t="s">
        <v>19</v>
      </c>
      <c r="D127" s="22">
        <v>30</v>
      </c>
      <c r="E127" s="22">
        <v>8</v>
      </c>
      <c r="F127" s="22">
        <v>145</v>
      </c>
      <c r="G127" s="22">
        <v>113</v>
      </c>
      <c r="H127" s="55">
        <v>275</v>
      </c>
      <c r="I127" s="55">
        <v>28.32</v>
      </c>
      <c r="J127" s="55">
        <v>0.18</v>
      </c>
      <c r="K127" s="55">
        <v>0.18</v>
      </c>
      <c r="L127" s="55">
        <v>0.06</v>
      </c>
      <c r="M127" s="55">
        <v>0.15</v>
      </c>
      <c r="N127" s="55"/>
      <c r="O127" s="55"/>
    </row>
    <row r="128" spans="1:15">
      <c r="A128" s="55">
        <v>88</v>
      </c>
      <c r="B128" s="55" t="s">
        <v>588</v>
      </c>
      <c r="C128" s="55" t="s">
        <v>19</v>
      </c>
      <c r="D128" s="22">
        <v>1</v>
      </c>
      <c r="E128" s="22">
        <v>337</v>
      </c>
      <c r="F128" s="22">
        <v>143</v>
      </c>
      <c r="G128" s="22">
        <v>1284</v>
      </c>
      <c r="H128" s="55">
        <v>-99.7</v>
      </c>
      <c r="I128" s="55">
        <v>-88.86</v>
      </c>
      <c r="J128" s="55">
        <v>0.01</v>
      </c>
      <c r="K128" s="55">
        <v>0.18</v>
      </c>
      <c r="L128" s="55">
        <v>2.34</v>
      </c>
      <c r="M128" s="55">
        <v>1.72</v>
      </c>
      <c r="N128" s="55"/>
      <c r="O128" s="55"/>
    </row>
    <row r="129" spans="1:15">
      <c r="A129" s="55">
        <v>89</v>
      </c>
      <c r="B129" s="55" t="s">
        <v>416</v>
      </c>
      <c r="C129" s="55" t="s">
        <v>19</v>
      </c>
      <c r="D129" s="22">
        <v>15</v>
      </c>
      <c r="E129" s="22">
        <v>20</v>
      </c>
      <c r="F129" s="22">
        <v>137</v>
      </c>
      <c r="G129" s="22">
        <v>223</v>
      </c>
      <c r="H129" s="55">
        <v>-25</v>
      </c>
      <c r="I129" s="55">
        <v>-38.57</v>
      </c>
      <c r="J129" s="55">
        <v>0.09</v>
      </c>
      <c r="K129" s="55">
        <v>0.17</v>
      </c>
      <c r="L129" s="55">
        <v>0.14000000000000001</v>
      </c>
      <c r="M129" s="55">
        <v>0.3</v>
      </c>
      <c r="N129" s="55"/>
      <c r="O129" s="55"/>
    </row>
    <row r="130" spans="1:15" hidden="1">
      <c r="A130" s="55">
        <v>90</v>
      </c>
      <c r="B130" s="55" t="s">
        <v>444</v>
      </c>
      <c r="C130" s="55" t="s">
        <v>20</v>
      </c>
      <c r="D130" s="22">
        <v>19</v>
      </c>
      <c r="E130" s="22">
        <v>2</v>
      </c>
      <c r="F130" s="22">
        <v>132</v>
      </c>
      <c r="G130" s="22">
        <v>68</v>
      </c>
      <c r="H130" s="55">
        <v>850</v>
      </c>
      <c r="I130" s="55">
        <v>94.12</v>
      </c>
      <c r="J130" s="55">
        <v>0.11</v>
      </c>
      <c r="K130" s="55">
        <v>0.16</v>
      </c>
      <c r="L130" s="55">
        <v>0.01</v>
      </c>
      <c r="M130" s="55">
        <v>0.09</v>
      </c>
      <c r="N130" s="55"/>
      <c r="O130" s="55"/>
    </row>
    <row r="131" spans="1:15">
      <c r="A131" s="55">
        <v>91</v>
      </c>
      <c r="B131" s="55" t="s">
        <v>992</v>
      </c>
      <c r="C131" s="55" t="s">
        <v>19</v>
      </c>
      <c r="D131" s="22">
        <v>7</v>
      </c>
      <c r="E131" s="22">
        <v>0</v>
      </c>
      <c r="F131" s="22">
        <v>116</v>
      </c>
      <c r="G131" s="22">
        <v>0</v>
      </c>
      <c r="H131" s="55">
        <v>0</v>
      </c>
      <c r="I131" s="55">
        <v>0</v>
      </c>
      <c r="J131" s="55">
        <v>0.04</v>
      </c>
      <c r="K131" s="55">
        <v>0.14000000000000001</v>
      </c>
      <c r="L131" s="55">
        <v>0</v>
      </c>
      <c r="M131" s="55">
        <v>0</v>
      </c>
      <c r="N131" s="55"/>
      <c r="O131" s="55"/>
    </row>
    <row r="132" spans="1:15">
      <c r="A132" s="55">
        <v>92</v>
      </c>
      <c r="B132" s="55" t="s">
        <v>499</v>
      </c>
      <c r="C132" s="55" t="s">
        <v>19</v>
      </c>
      <c r="D132" s="22">
        <v>38</v>
      </c>
      <c r="E132" s="22">
        <v>27</v>
      </c>
      <c r="F132" s="22">
        <v>111</v>
      </c>
      <c r="G132" s="22">
        <v>126</v>
      </c>
      <c r="H132" s="55">
        <v>40.74</v>
      </c>
      <c r="I132" s="55">
        <v>-11.9</v>
      </c>
      <c r="J132" s="55">
        <v>0.23</v>
      </c>
      <c r="K132" s="55">
        <v>0.14000000000000001</v>
      </c>
      <c r="L132" s="55">
        <v>0.19</v>
      </c>
      <c r="M132" s="55">
        <v>0.17</v>
      </c>
      <c r="N132" s="55"/>
      <c r="O132" s="55"/>
    </row>
    <row r="133" spans="1:15">
      <c r="A133" s="55">
        <v>93</v>
      </c>
      <c r="B133" s="55" t="s">
        <v>148</v>
      </c>
      <c r="C133" s="55" t="s">
        <v>19</v>
      </c>
      <c r="D133" s="22">
        <v>51</v>
      </c>
      <c r="E133" s="22">
        <v>98</v>
      </c>
      <c r="F133" s="22">
        <v>108</v>
      </c>
      <c r="G133" s="22">
        <v>176</v>
      </c>
      <c r="H133" s="55">
        <v>-47.96</v>
      </c>
      <c r="I133" s="55">
        <v>-38.64</v>
      </c>
      <c r="J133" s="55">
        <v>0.3</v>
      </c>
      <c r="K133" s="55">
        <v>0.13</v>
      </c>
      <c r="L133" s="55">
        <v>0.68</v>
      </c>
      <c r="M133" s="55">
        <v>0.24</v>
      </c>
      <c r="N133" s="55"/>
      <c r="O133" s="55"/>
    </row>
    <row r="134" spans="1:15">
      <c r="A134" s="55">
        <v>94</v>
      </c>
      <c r="B134" s="55" t="s">
        <v>415</v>
      </c>
      <c r="C134" s="55" t="s">
        <v>19</v>
      </c>
      <c r="D134" s="22">
        <v>7</v>
      </c>
      <c r="E134" s="22">
        <v>46</v>
      </c>
      <c r="F134" s="22">
        <v>108</v>
      </c>
      <c r="G134" s="22">
        <v>114</v>
      </c>
      <c r="H134" s="55">
        <v>-84.78</v>
      </c>
      <c r="I134" s="55">
        <v>-5.26</v>
      </c>
      <c r="J134" s="55">
        <v>0.04</v>
      </c>
      <c r="K134" s="55">
        <v>0.13</v>
      </c>
      <c r="L134" s="55">
        <v>0.32</v>
      </c>
      <c r="M134" s="55">
        <v>0.15</v>
      </c>
      <c r="N134" s="55"/>
      <c r="O134" s="55"/>
    </row>
    <row r="135" spans="1:15" hidden="1">
      <c r="A135" s="55">
        <v>95</v>
      </c>
      <c r="B135" s="55" t="s">
        <v>614</v>
      </c>
      <c r="C135" s="55" t="s">
        <v>20</v>
      </c>
      <c r="D135" s="22">
        <v>29</v>
      </c>
      <c r="E135" s="22">
        <v>109</v>
      </c>
      <c r="F135" s="22">
        <v>107</v>
      </c>
      <c r="G135" s="22">
        <v>340</v>
      </c>
      <c r="H135" s="55">
        <v>-73.39</v>
      </c>
      <c r="I135" s="55">
        <v>-68.53</v>
      </c>
      <c r="J135" s="55">
        <v>0.17</v>
      </c>
      <c r="K135" s="55">
        <v>0.13</v>
      </c>
      <c r="L135" s="55">
        <v>0.76</v>
      </c>
      <c r="M135" s="55">
        <v>0.45</v>
      </c>
      <c r="N135" s="55"/>
      <c r="O135" s="55"/>
    </row>
    <row r="136" spans="1:15" hidden="1">
      <c r="A136" s="55">
        <v>96</v>
      </c>
      <c r="B136" s="55" t="s">
        <v>79</v>
      </c>
      <c r="C136" s="55" t="s">
        <v>20</v>
      </c>
      <c r="D136" s="22">
        <v>3</v>
      </c>
      <c r="E136" s="22">
        <v>94</v>
      </c>
      <c r="F136" s="22">
        <v>106</v>
      </c>
      <c r="G136" s="22">
        <v>429</v>
      </c>
      <c r="H136" s="55">
        <v>-96.81</v>
      </c>
      <c r="I136" s="55">
        <v>-75.290000000000006</v>
      </c>
      <c r="J136" s="55">
        <v>0.02</v>
      </c>
      <c r="K136" s="55">
        <v>0.13</v>
      </c>
      <c r="L136" s="55">
        <v>0.65</v>
      </c>
      <c r="M136" s="55">
        <v>0.56999999999999995</v>
      </c>
      <c r="N136" s="55"/>
      <c r="O136" s="55"/>
    </row>
    <row r="137" spans="1:15">
      <c r="A137" s="55">
        <v>97</v>
      </c>
      <c r="B137" s="55" t="s">
        <v>154</v>
      </c>
      <c r="C137" s="55" t="s">
        <v>19</v>
      </c>
      <c r="D137" s="22">
        <v>24</v>
      </c>
      <c r="E137" s="22">
        <v>100</v>
      </c>
      <c r="F137" s="22">
        <v>105</v>
      </c>
      <c r="G137" s="22">
        <v>267</v>
      </c>
      <c r="H137" s="55">
        <v>-76</v>
      </c>
      <c r="I137" s="55">
        <v>-60.67</v>
      </c>
      <c r="J137" s="55">
        <v>0.14000000000000001</v>
      </c>
      <c r="K137" s="55">
        <v>0.13</v>
      </c>
      <c r="L137" s="55">
        <v>0.7</v>
      </c>
      <c r="M137" s="55">
        <v>0.36</v>
      </c>
      <c r="N137" s="55"/>
      <c r="O137" s="55"/>
    </row>
    <row r="138" spans="1:15" hidden="1">
      <c r="A138" s="55">
        <v>98</v>
      </c>
      <c r="B138" s="55" t="s">
        <v>710</v>
      </c>
      <c r="C138" s="55" t="s">
        <v>20</v>
      </c>
      <c r="D138" s="22">
        <v>16</v>
      </c>
      <c r="E138" s="22">
        <v>2</v>
      </c>
      <c r="F138" s="22">
        <v>94</v>
      </c>
      <c r="G138" s="22">
        <v>2</v>
      </c>
      <c r="H138" s="55">
        <v>700</v>
      </c>
      <c r="I138" s="55">
        <v>4600</v>
      </c>
      <c r="J138" s="55">
        <v>0.1</v>
      </c>
      <c r="K138" s="55">
        <v>0.12</v>
      </c>
      <c r="L138" s="55">
        <v>0.01</v>
      </c>
      <c r="M138" s="55">
        <v>0</v>
      </c>
      <c r="N138" s="55"/>
      <c r="O138" s="55"/>
    </row>
    <row r="139" spans="1:15" hidden="1">
      <c r="A139" s="55">
        <v>99</v>
      </c>
      <c r="B139" s="55" t="s">
        <v>400</v>
      </c>
      <c r="C139" s="55" t="s">
        <v>20</v>
      </c>
      <c r="D139" s="22">
        <v>12</v>
      </c>
      <c r="E139" s="22">
        <v>28</v>
      </c>
      <c r="F139" s="22">
        <v>90</v>
      </c>
      <c r="G139" s="22">
        <v>232</v>
      </c>
      <c r="H139" s="55">
        <v>-57.14</v>
      </c>
      <c r="I139" s="55">
        <v>-61.21</v>
      </c>
      <c r="J139" s="55">
        <v>7.0000000000000007E-2</v>
      </c>
      <c r="K139" s="55">
        <v>0.11</v>
      </c>
      <c r="L139" s="55">
        <v>0.19</v>
      </c>
      <c r="M139" s="55">
        <v>0.31</v>
      </c>
      <c r="N139" s="55"/>
      <c r="O139" s="55"/>
    </row>
    <row r="140" spans="1:15">
      <c r="A140" s="55">
        <v>100</v>
      </c>
      <c r="B140" s="55" t="s">
        <v>236</v>
      </c>
      <c r="C140" s="55" t="s">
        <v>19</v>
      </c>
      <c r="D140" s="22">
        <v>14</v>
      </c>
      <c r="E140" s="22">
        <v>19</v>
      </c>
      <c r="F140" s="22">
        <v>88</v>
      </c>
      <c r="G140" s="22">
        <v>68</v>
      </c>
      <c r="H140" s="55">
        <v>-26.32</v>
      </c>
      <c r="I140" s="55">
        <v>29.41</v>
      </c>
      <c r="J140" s="55">
        <v>0.08</v>
      </c>
      <c r="K140" s="55">
        <v>0.11</v>
      </c>
      <c r="L140" s="55">
        <v>0.13</v>
      </c>
      <c r="M140" s="55">
        <v>0.09</v>
      </c>
      <c r="N140" s="55"/>
      <c r="O140" s="55"/>
    </row>
    <row r="141" spans="1:15" hidden="1">
      <c r="A141" s="55">
        <v>219</v>
      </c>
      <c r="B141" s="55" t="s">
        <v>439</v>
      </c>
      <c r="C141" s="55" t="s">
        <v>20</v>
      </c>
      <c r="D141" s="22">
        <v>31</v>
      </c>
      <c r="E141" s="22">
        <v>23</v>
      </c>
      <c r="F141" s="22">
        <v>86</v>
      </c>
      <c r="G141" s="22">
        <v>72</v>
      </c>
      <c r="H141" s="55">
        <v>34.78</v>
      </c>
      <c r="I141" s="55">
        <v>19.440000000000001</v>
      </c>
      <c r="J141" s="55">
        <v>0.19</v>
      </c>
      <c r="K141" s="55">
        <v>0.11</v>
      </c>
      <c r="L141" s="55">
        <v>0.16</v>
      </c>
      <c r="M141" s="55">
        <v>0.1</v>
      </c>
      <c r="N141" s="55"/>
      <c r="O141" s="55"/>
    </row>
    <row r="142" spans="1:15">
      <c r="A142" s="55">
        <v>101</v>
      </c>
      <c r="B142" s="55" t="s">
        <v>126</v>
      </c>
      <c r="C142" s="55" t="s">
        <v>19</v>
      </c>
      <c r="D142" s="22">
        <v>42</v>
      </c>
      <c r="E142" s="22">
        <v>10</v>
      </c>
      <c r="F142" s="22">
        <v>85</v>
      </c>
      <c r="G142" s="22">
        <v>25</v>
      </c>
      <c r="H142" s="55">
        <v>320</v>
      </c>
      <c r="I142" s="55">
        <v>240</v>
      </c>
      <c r="J142" s="55">
        <v>0.25</v>
      </c>
      <c r="K142" s="55">
        <v>0.1</v>
      </c>
      <c r="L142" s="55">
        <v>7.0000000000000007E-2</v>
      </c>
      <c r="M142" s="55">
        <v>0.03</v>
      </c>
      <c r="N142" s="55"/>
      <c r="O142" s="55"/>
    </row>
    <row r="143" spans="1:15">
      <c r="A143" s="55">
        <v>102</v>
      </c>
      <c r="B143" s="55" t="s">
        <v>1095</v>
      </c>
      <c r="C143" s="55" t="s">
        <v>19</v>
      </c>
      <c r="D143" s="22">
        <v>31</v>
      </c>
      <c r="E143" s="22">
        <v>0</v>
      </c>
      <c r="F143" s="22">
        <v>85</v>
      </c>
      <c r="G143" s="22">
        <v>0</v>
      </c>
      <c r="H143" s="55">
        <v>0</v>
      </c>
      <c r="I143" s="55">
        <v>0</v>
      </c>
      <c r="J143" s="55">
        <v>0.19</v>
      </c>
      <c r="K143" s="55">
        <v>0.1</v>
      </c>
      <c r="L143" s="55">
        <v>0</v>
      </c>
      <c r="M143" s="55">
        <v>0</v>
      </c>
      <c r="N143" s="55"/>
      <c r="O143" s="55"/>
    </row>
    <row r="144" spans="1:15" hidden="1">
      <c r="A144" s="55">
        <v>103</v>
      </c>
      <c r="B144" s="55" t="s">
        <v>1198</v>
      </c>
      <c r="C144" s="55" t="s">
        <v>20</v>
      </c>
      <c r="D144" s="22">
        <v>57</v>
      </c>
      <c r="E144" s="22">
        <v>0</v>
      </c>
      <c r="F144" s="22">
        <v>85</v>
      </c>
      <c r="G144" s="22">
        <v>0</v>
      </c>
      <c r="H144" s="55">
        <v>0</v>
      </c>
      <c r="I144" s="55">
        <v>0</v>
      </c>
      <c r="J144" s="55">
        <v>0.34</v>
      </c>
      <c r="K144" s="55">
        <v>0.1</v>
      </c>
      <c r="L144" s="55">
        <v>0</v>
      </c>
      <c r="M144" s="55">
        <v>0</v>
      </c>
      <c r="N144" s="55"/>
      <c r="O144" s="55"/>
    </row>
    <row r="145" spans="1:15" hidden="1">
      <c r="A145" s="55">
        <v>104</v>
      </c>
      <c r="B145" s="55" t="s">
        <v>435</v>
      </c>
      <c r="C145" s="55" t="s">
        <v>20</v>
      </c>
      <c r="D145" s="22">
        <v>22</v>
      </c>
      <c r="E145" s="22">
        <v>50</v>
      </c>
      <c r="F145" s="22">
        <v>84</v>
      </c>
      <c r="G145" s="22">
        <v>269</v>
      </c>
      <c r="H145" s="55">
        <v>-56</v>
      </c>
      <c r="I145" s="55">
        <v>-68.77</v>
      </c>
      <c r="J145" s="55">
        <v>0.13</v>
      </c>
      <c r="K145" s="55">
        <v>0.1</v>
      </c>
      <c r="L145" s="55">
        <v>0.35</v>
      </c>
      <c r="M145" s="55">
        <v>0.36</v>
      </c>
      <c r="N145" s="55"/>
      <c r="O145" s="55"/>
    </row>
    <row r="146" spans="1:15">
      <c r="A146" s="55">
        <v>105</v>
      </c>
      <c r="B146" s="55" t="s">
        <v>412</v>
      </c>
      <c r="C146" s="55" t="s">
        <v>19</v>
      </c>
      <c r="D146" s="22">
        <v>13</v>
      </c>
      <c r="E146" s="22">
        <v>48</v>
      </c>
      <c r="F146" s="22">
        <v>83</v>
      </c>
      <c r="G146" s="22">
        <v>337</v>
      </c>
      <c r="H146" s="55">
        <v>-72.92</v>
      </c>
      <c r="I146" s="55">
        <v>-75.37</v>
      </c>
      <c r="J146" s="55">
        <v>0.08</v>
      </c>
      <c r="K146" s="55">
        <v>0.1</v>
      </c>
      <c r="L146" s="55">
        <v>0.33</v>
      </c>
      <c r="M146" s="55">
        <v>0.45</v>
      </c>
      <c r="N146" s="55"/>
      <c r="O146" s="55"/>
    </row>
    <row r="147" spans="1:15">
      <c r="A147" s="55">
        <v>106</v>
      </c>
      <c r="B147" s="55" t="s">
        <v>421</v>
      </c>
      <c r="C147" s="55" t="s">
        <v>19</v>
      </c>
      <c r="D147" s="22">
        <v>11</v>
      </c>
      <c r="E147" s="22">
        <v>47</v>
      </c>
      <c r="F147" s="22">
        <v>83</v>
      </c>
      <c r="G147" s="22">
        <v>154</v>
      </c>
      <c r="H147" s="55">
        <v>-76.599999999999994</v>
      </c>
      <c r="I147" s="55">
        <v>-46.1</v>
      </c>
      <c r="J147" s="55">
        <v>7.0000000000000007E-2</v>
      </c>
      <c r="K147" s="55">
        <v>0.1</v>
      </c>
      <c r="L147" s="55">
        <v>0.33</v>
      </c>
      <c r="M147" s="55">
        <v>0.21</v>
      </c>
      <c r="N147" s="55"/>
      <c r="O147" s="55"/>
    </row>
    <row r="148" spans="1:15" hidden="1">
      <c r="A148" s="55">
        <v>107</v>
      </c>
      <c r="B148" s="55" t="s">
        <v>986</v>
      </c>
      <c r="C148" s="55" t="s">
        <v>20</v>
      </c>
      <c r="D148" s="22">
        <v>12</v>
      </c>
      <c r="E148" s="22">
        <v>0</v>
      </c>
      <c r="F148" s="22">
        <v>82</v>
      </c>
      <c r="G148" s="22">
        <v>0</v>
      </c>
      <c r="H148" s="55">
        <v>0</v>
      </c>
      <c r="I148" s="55">
        <v>0</v>
      </c>
      <c r="J148" s="55">
        <v>7.0000000000000007E-2</v>
      </c>
      <c r="K148" s="55">
        <v>0.1</v>
      </c>
      <c r="L148" s="55">
        <v>0</v>
      </c>
      <c r="M148" s="55">
        <v>0</v>
      </c>
      <c r="N148" s="55"/>
      <c r="O148" s="55"/>
    </row>
    <row r="149" spans="1:15">
      <c r="A149" s="55">
        <v>108</v>
      </c>
      <c r="B149" s="55" t="s">
        <v>1038</v>
      </c>
      <c r="C149" s="55" t="s">
        <v>19</v>
      </c>
      <c r="D149" s="22">
        <v>12</v>
      </c>
      <c r="E149" s="22">
        <v>0</v>
      </c>
      <c r="F149" s="22">
        <v>78</v>
      </c>
      <c r="G149" s="22">
        <v>0</v>
      </c>
      <c r="H149" s="55">
        <v>0</v>
      </c>
      <c r="I149" s="55">
        <v>0</v>
      </c>
      <c r="J149" s="55">
        <v>7.0000000000000007E-2</v>
      </c>
      <c r="K149" s="55">
        <v>0.1</v>
      </c>
      <c r="L149" s="55">
        <v>0</v>
      </c>
      <c r="M149" s="55">
        <v>0</v>
      </c>
      <c r="N149" s="55"/>
      <c r="O149" s="55"/>
    </row>
    <row r="150" spans="1:15">
      <c r="A150" s="55">
        <v>109</v>
      </c>
      <c r="B150" s="55" t="s">
        <v>1098</v>
      </c>
      <c r="C150" s="55" t="s">
        <v>19</v>
      </c>
      <c r="D150" s="22">
        <v>13</v>
      </c>
      <c r="E150" s="22">
        <v>0</v>
      </c>
      <c r="F150" s="22">
        <v>77</v>
      </c>
      <c r="G150" s="22">
        <v>0</v>
      </c>
      <c r="H150" s="55">
        <v>0</v>
      </c>
      <c r="I150" s="55">
        <v>0</v>
      </c>
      <c r="J150" s="55">
        <v>0.08</v>
      </c>
      <c r="K150" s="55">
        <v>0.09</v>
      </c>
      <c r="L150" s="55">
        <v>0</v>
      </c>
      <c r="M150" s="55">
        <v>0</v>
      </c>
      <c r="N150" s="55"/>
      <c r="O150" s="55"/>
    </row>
    <row r="151" spans="1:15">
      <c r="A151" s="55">
        <v>110</v>
      </c>
      <c r="B151" s="55" t="s">
        <v>494</v>
      </c>
      <c r="C151" s="55" t="s">
        <v>19</v>
      </c>
      <c r="D151" s="22">
        <v>23</v>
      </c>
      <c r="E151" s="22">
        <v>11</v>
      </c>
      <c r="F151" s="22">
        <v>76</v>
      </c>
      <c r="G151" s="22">
        <v>89</v>
      </c>
      <c r="H151" s="55">
        <v>109.09</v>
      </c>
      <c r="I151" s="55">
        <v>-14.61</v>
      </c>
      <c r="J151" s="55">
        <v>0.14000000000000001</v>
      </c>
      <c r="K151" s="55">
        <v>0.09</v>
      </c>
      <c r="L151" s="55">
        <v>0.08</v>
      </c>
      <c r="M151" s="55">
        <v>0.12</v>
      </c>
      <c r="N151" s="55"/>
      <c r="O151" s="55"/>
    </row>
    <row r="152" spans="1:15" hidden="1">
      <c r="A152" s="55">
        <v>111</v>
      </c>
      <c r="B152" s="55" t="s">
        <v>663</v>
      </c>
      <c r="C152" s="55" t="s">
        <v>20</v>
      </c>
      <c r="D152" s="22">
        <v>9</v>
      </c>
      <c r="E152" s="22">
        <v>18</v>
      </c>
      <c r="F152" s="22">
        <v>66</v>
      </c>
      <c r="G152" s="22">
        <v>128</v>
      </c>
      <c r="H152" s="55">
        <v>-50</v>
      </c>
      <c r="I152" s="55">
        <v>-48.44</v>
      </c>
      <c r="J152" s="55">
        <v>0.05</v>
      </c>
      <c r="K152" s="55">
        <v>0.08</v>
      </c>
      <c r="L152" s="55">
        <v>0.13</v>
      </c>
      <c r="M152" s="55">
        <v>0.17</v>
      </c>
      <c r="N152" s="55"/>
      <c r="O152" s="55"/>
    </row>
    <row r="153" spans="1:15">
      <c r="A153" s="55">
        <v>112</v>
      </c>
      <c r="B153" s="55" t="s">
        <v>70</v>
      </c>
      <c r="C153" s="55" t="s">
        <v>19</v>
      </c>
      <c r="D153" s="22">
        <v>15</v>
      </c>
      <c r="E153" s="22">
        <v>103</v>
      </c>
      <c r="F153" s="22">
        <v>61</v>
      </c>
      <c r="G153" s="22">
        <v>729</v>
      </c>
      <c r="H153" s="62">
        <v>-85.44</v>
      </c>
      <c r="I153" s="62">
        <v>-91.63</v>
      </c>
      <c r="J153" s="55">
        <v>0.09</v>
      </c>
      <c r="K153" s="55">
        <v>7.0000000000000007E-2</v>
      </c>
      <c r="L153" s="55">
        <v>0.72</v>
      </c>
      <c r="M153" s="55">
        <v>0.97</v>
      </c>
      <c r="N153" s="55"/>
      <c r="O153" s="55"/>
    </row>
    <row r="154" spans="1:15" hidden="1">
      <c r="A154" s="55">
        <v>113</v>
      </c>
      <c r="B154" s="55" t="s">
        <v>641</v>
      </c>
      <c r="C154" s="55" t="s">
        <v>20</v>
      </c>
      <c r="D154" s="22">
        <v>7</v>
      </c>
      <c r="E154" s="22">
        <v>171</v>
      </c>
      <c r="F154" s="22">
        <v>61</v>
      </c>
      <c r="G154" s="22">
        <v>613</v>
      </c>
      <c r="H154" s="55">
        <v>-95.91</v>
      </c>
      <c r="I154" s="55">
        <v>-90.05</v>
      </c>
      <c r="J154" s="55">
        <v>0.04</v>
      </c>
      <c r="K154" s="55">
        <v>7.0000000000000007E-2</v>
      </c>
      <c r="L154" s="55">
        <v>1.19</v>
      </c>
      <c r="M154" s="55">
        <v>0.82</v>
      </c>
      <c r="N154" s="55"/>
      <c r="O154" s="55"/>
    </row>
    <row r="155" spans="1:15">
      <c r="A155" s="55">
        <v>114</v>
      </c>
      <c r="B155" s="55" t="s">
        <v>1064</v>
      </c>
      <c r="C155" s="55" t="s">
        <v>19</v>
      </c>
      <c r="D155" s="22">
        <v>43</v>
      </c>
      <c r="E155" s="22">
        <v>0</v>
      </c>
      <c r="F155" s="22">
        <v>61</v>
      </c>
      <c r="G155" s="22">
        <v>0</v>
      </c>
      <c r="H155" s="55">
        <v>0</v>
      </c>
      <c r="I155" s="55">
        <v>0</v>
      </c>
      <c r="J155" s="55">
        <v>0.26</v>
      </c>
      <c r="K155" s="55">
        <v>7.0000000000000007E-2</v>
      </c>
      <c r="L155" s="55">
        <v>0</v>
      </c>
      <c r="M155" s="55">
        <v>0</v>
      </c>
      <c r="N155" s="55"/>
      <c r="O155" s="55"/>
    </row>
    <row r="156" spans="1:15" hidden="1">
      <c r="A156" s="55">
        <v>115</v>
      </c>
      <c r="B156" s="55" t="s">
        <v>1039</v>
      </c>
      <c r="C156" s="55" t="s">
        <v>20</v>
      </c>
      <c r="D156" s="22">
        <v>29</v>
      </c>
      <c r="E156" s="22">
        <v>0</v>
      </c>
      <c r="F156" s="22">
        <v>60</v>
      </c>
      <c r="G156" s="22">
        <v>0</v>
      </c>
      <c r="H156" s="55">
        <v>0</v>
      </c>
      <c r="I156" s="55">
        <v>0</v>
      </c>
      <c r="J156" s="55">
        <v>0.17</v>
      </c>
      <c r="K156" s="55">
        <v>7.0000000000000007E-2</v>
      </c>
      <c r="L156" s="55">
        <v>0</v>
      </c>
      <c r="M156" s="55">
        <v>0</v>
      </c>
      <c r="N156" s="55"/>
      <c r="O156" s="55"/>
    </row>
    <row r="157" spans="1:15" hidden="1">
      <c r="A157" s="55">
        <v>116</v>
      </c>
      <c r="B157" s="55" t="s">
        <v>1042</v>
      </c>
      <c r="C157" s="55" t="s">
        <v>20</v>
      </c>
      <c r="D157" s="22">
        <v>6</v>
      </c>
      <c r="E157" s="22">
        <v>0</v>
      </c>
      <c r="F157" s="22">
        <v>60</v>
      </c>
      <c r="G157" s="22">
        <v>0</v>
      </c>
      <c r="H157" s="55">
        <v>0</v>
      </c>
      <c r="I157" s="55">
        <v>0</v>
      </c>
      <c r="J157" s="55">
        <v>0.04</v>
      </c>
      <c r="K157" s="55">
        <v>7.0000000000000007E-2</v>
      </c>
      <c r="L157" s="55">
        <v>0</v>
      </c>
      <c r="M157" s="55">
        <v>0</v>
      </c>
      <c r="N157" s="55"/>
      <c r="O157" s="55"/>
    </row>
    <row r="158" spans="1:15">
      <c r="A158" s="55">
        <v>117</v>
      </c>
      <c r="B158" s="55" t="s">
        <v>599</v>
      </c>
      <c r="C158" s="55" t="s">
        <v>19</v>
      </c>
      <c r="D158" s="22">
        <v>4</v>
      </c>
      <c r="E158" s="22">
        <v>18</v>
      </c>
      <c r="F158" s="22">
        <v>56</v>
      </c>
      <c r="G158" s="22">
        <v>60</v>
      </c>
      <c r="H158" s="55">
        <v>-77.78</v>
      </c>
      <c r="I158" s="55">
        <v>-6.67</v>
      </c>
      <c r="J158" s="55">
        <v>0.02</v>
      </c>
      <c r="K158" s="55">
        <v>7.0000000000000007E-2</v>
      </c>
      <c r="L158" s="55">
        <v>0.13</v>
      </c>
      <c r="M158" s="55">
        <v>0.08</v>
      </c>
      <c r="N158" s="55"/>
      <c r="O158" s="55"/>
    </row>
    <row r="159" spans="1:15" hidden="1">
      <c r="A159" s="55">
        <v>118</v>
      </c>
      <c r="B159" s="55" t="s">
        <v>656</v>
      </c>
      <c r="C159" s="55" t="s">
        <v>20</v>
      </c>
      <c r="D159" s="22">
        <v>2</v>
      </c>
      <c r="E159" s="22">
        <v>24</v>
      </c>
      <c r="F159" s="22">
        <v>52</v>
      </c>
      <c r="G159" s="22">
        <v>47</v>
      </c>
      <c r="H159" s="55">
        <v>-91.67</v>
      </c>
      <c r="I159" s="55">
        <v>10.64</v>
      </c>
      <c r="J159" s="55">
        <v>0.01</v>
      </c>
      <c r="K159" s="55">
        <v>0.06</v>
      </c>
      <c r="L159" s="55">
        <v>0.17</v>
      </c>
      <c r="M159" s="55">
        <v>0.06</v>
      </c>
      <c r="N159" s="55"/>
      <c r="O159" s="55"/>
    </row>
    <row r="160" spans="1:15">
      <c r="A160" s="55">
        <v>119</v>
      </c>
      <c r="B160" s="55" t="s">
        <v>597</v>
      </c>
      <c r="C160" s="55" t="s">
        <v>19</v>
      </c>
      <c r="D160" s="22">
        <v>11</v>
      </c>
      <c r="E160" s="22">
        <v>2</v>
      </c>
      <c r="F160" s="22">
        <v>51</v>
      </c>
      <c r="G160" s="22">
        <v>142</v>
      </c>
      <c r="H160" s="55">
        <v>450</v>
      </c>
      <c r="I160" s="55">
        <v>-64.08</v>
      </c>
      <c r="J160" s="55">
        <v>7.0000000000000007E-2</v>
      </c>
      <c r="K160" s="55">
        <v>0.06</v>
      </c>
      <c r="L160" s="55">
        <v>0.01</v>
      </c>
      <c r="M160" s="55">
        <v>0.19</v>
      </c>
      <c r="N160" s="55"/>
      <c r="O160" s="55"/>
    </row>
    <row r="161" spans="1:15" hidden="1">
      <c r="A161" s="55">
        <v>120</v>
      </c>
      <c r="B161" s="55" t="s">
        <v>1063</v>
      </c>
      <c r="C161" s="55" t="s">
        <v>20</v>
      </c>
      <c r="D161" s="22">
        <v>15</v>
      </c>
      <c r="E161" s="22">
        <v>0</v>
      </c>
      <c r="F161" s="22">
        <v>51</v>
      </c>
      <c r="G161" s="22">
        <v>0</v>
      </c>
      <c r="H161" s="55">
        <v>0</v>
      </c>
      <c r="I161" s="55">
        <v>0</v>
      </c>
      <c r="J161" s="55">
        <v>0.09</v>
      </c>
      <c r="K161" s="55">
        <v>0.06</v>
      </c>
      <c r="L161" s="55">
        <v>0</v>
      </c>
      <c r="M161" s="55">
        <v>0</v>
      </c>
      <c r="N161" s="55"/>
      <c r="O161" s="55"/>
    </row>
    <row r="162" spans="1:15">
      <c r="A162" s="55">
        <v>121</v>
      </c>
      <c r="B162" s="55" t="s">
        <v>1059</v>
      </c>
      <c r="C162" s="55" t="s">
        <v>19</v>
      </c>
      <c r="D162" s="22">
        <v>11</v>
      </c>
      <c r="E162" s="22">
        <v>0</v>
      </c>
      <c r="F162" s="22">
        <v>50</v>
      </c>
      <c r="G162" s="22">
        <v>0</v>
      </c>
      <c r="H162" s="55">
        <v>0</v>
      </c>
      <c r="I162" s="55">
        <v>0</v>
      </c>
      <c r="J162" s="55">
        <v>7.0000000000000007E-2</v>
      </c>
      <c r="K162" s="55">
        <v>0.06</v>
      </c>
      <c r="L162" s="55">
        <v>0</v>
      </c>
      <c r="M162" s="55">
        <v>0</v>
      </c>
      <c r="N162" s="55"/>
      <c r="O162" s="55"/>
    </row>
    <row r="163" spans="1:15" hidden="1">
      <c r="A163" s="55">
        <v>122</v>
      </c>
      <c r="B163" s="55" t="s">
        <v>1028</v>
      </c>
      <c r="C163" s="55" t="s">
        <v>20</v>
      </c>
      <c r="D163" s="22">
        <v>5</v>
      </c>
      <c r="E163" s="22">
        <v>0</v>
      </c>
      <c r="F163" s="22">
        <v>50</v>
      </c>
      <c r="G163" s="22">
        <v>0</v>
      </c>
      <c r="H163" s="55">
        <v>0</v>
      </c>
      <c r="I163" s="55">
        <v>0</v>
      </c>
      <c r="J163" s="55">
        <v>0.03</v>
      </c>
      <c r="K163" s="55">
        <v>0.06</v>
      </c>
      <c r="L163" s="55">
        <v>0</v>
      </c>
      <c r="M163" s="55">
        <v>0</v>
      </c>
      <c r="N163" s="55"/>
      <c r="O163" s="55"/>
    </row>
    <row r="164" spans="1:15">
      <c r="A164" s="55">
        <v>123</v>
      </c>
      <c r="B164" s="55" t="s">
        <v>553</v>
      </c>
      <c r="C164" s="55" t="s">
        <v>19</v>
      </c>
      <c r="D164" s="22">
        <v>1</v>
      </c>
      <c r="E164" s="22">
        <v>20</v>
      </c>
      <c r="F164" s="22">
        <v>49</v>
      </c>
      <c r="G164" s="22">
        <v>98</v>
      </c>
      <c r="H164" s="55">
        <v>-95</v>
      </c>
      <c r="I164" s="55">
        <v>-50</v>
      </c>
      <c r="J164" s="55">
        <v>0.01</v>
      </c>
      <c r="K164" s="55">
        <v>0.06</v>
      </c>
      <c r="L164" s="55">
        <v>0.14000000000000001</v>
      </c>
      <c r="M164" s="55">
        <v>0.13</v>
      </c>
      <c r="N164" s="55"/>
      <c r="O164" s="55"/>
    </row>
    <row r="165" spans="1:15">
      <c r="A165" s="55">
        <v>124</v>
      </c>
      <c r="B165" s="55" t="s">
        <v>1135</v>
      </c>
      <c r="C165" s="55" t="s">
        <v>19</v>
      </c>
      <c r="D165" s="22">
        <v>1</v>
      </c>
      <c r="E165" s="22">
        <v>0</v>
      </c>
      <c r="F165" s="22">
        <v>48</v>
      </c>
      <c r="G165" s="22">
        <v>0</v>
      </c>
      <c r="H165" s="55">
        <v>0</v>
      </c>
      <c r="I165" s="55">
        <v>0</v>
      </c>
      <c r="J165" s="55">
        <v>0.01</v>
      </c>
      <c r="K165" s="55">
        <v>0.06</v>
      </c>
      <c r="L165" s="55">
        <v>0</v>
      </c>
      <c r="M165" s="55">
        <v>0</v>
      </c>
      <c r="N165" s="55"/>
      <c r="O165" s="55"/>
    </row>
    <row r="166" spans="1:15">
      <c r="A166" s="55">
        <v>125</v>
      </c>
      <c r="B166" s="55" t="s">
        <v>239</v>
      </c>
      <c r="C166" s="55" t="s">
        <v>19</v>
      </c>
      <c r="D166" s="22">
        <v>21</v>
      </c>
      <c r="E166" s="22">
        <v>1</v>
      </c>
      <c r="F166" s="22">
        <v>47</v>
      </c>
      <c r="G166" s="22">
        <v>29</v>
      </c>
      <c r="H166" s="55">
        <v>2000</v>
      </c>
      <c r="I166" s="55">
        <v>62.07</v>
      </c>
      <c r="J166" s="55">
        <v>0.13</v>
      </c>
      <c r="K166" s="55">
        <v>0.06</v>
      </c>
      <c r="L166" s="55">
        <v>0.01</v>
      </c>
      <c r="M166" s="55">
        <v>0.04</v>
      </c>
      <c r="N166" s="55"/>
      <c r="O166" s="55"/>
    </row>
    <row r="167" spans="1:15">
      <c r="A167" s="55">
        <v>126</v>
      </c>
      <c r="B167" s="55" t="s">
        <v>649</v>
      </c>
      <c r="C167" s="55" t="s">
        <v>19</v>
      </c>
      <c r="D167" s="22">
        <v>12</v>
      </c>
      <c r="E167" s="22">
        <v>3</v>
      </c>
      <c r="F167" s="22">
        <v>46</v>
      </c>
      <c r="G167" s="22">
        <v>71</v>
      </c>
      <c r="H167" s="55">
        <v>300</v>
      </c>
      <c r="I167" s="55">
        <v>-35.21</v>
      </c>
      <c r="J167" s="55">
        <v>7.0000000000000007E-2</v>
      </c>
      <c r="K167" s="55">
        <v>0.06</v>
      </c>
      <c r="L167" s="55">
        <v>0.02</v>
      </c>
      <c r="M167" s="55">
        <v>0.09</v>
      </c>
      <c r="N167" s="55"/>
      <c r="O167" s="55"/>
    </row>
    <row r="168" spans="1:15" hidden="1">
      <c r="A168" s="55">
        <v>127</v>
      </c>
      <c r="B168" s="55" t="s">
        <v>1161</v>
      </c>
      <c r="C168" s="55" t="s">
        <v>20</v>
      </c>
      <c r="D168" s="22">
        <v>18</v>
      </c>
      <c r="E168" s="22">
        <v>0</v>
      </c>
      <c r="F168" s="22">
        <v>46</v>
      </c>
      <c r="G168" s="22">
        <v>0</v>
      </c>
      <c r="H168" s="55">
        <v>0</v>
      </c>
      <c r="I168" s="55">
        <v>0</v>
      </c>
      <c r="J168" s="55">
        <v>0.11</v>
      </c>
      <c r="K168" s="55">
        <v>0.06</v>
      </c>
      <c r="L168" s="55">
        <v>0</v>
      </c>
      <c r="M168" s="55">
        <v>0</v>
      </c>
      <c r="N168" s="55"/>
      <c r="O168" s="55"/>
    </row>
    <row r="169" spans="1:15">
      <c r="A169" s="55">
        <v>128</v>
      </c>
      <c r="B169" s="55" t="s">
        <v>431</v>
      </c>
      <c r="C169" s="55" t="s">
        <v>19</v>
      </c>
      <c r="D169" s="22">
        <v>14</v>
      </c>
      <c r="E169" s="22">
        <v>17</v>
      </c>
      <c r="F169" s="22">
        <v>44</v>
      </c>
      <c r="G169" s="22">
        <v>56</v>
      </c>
      <c r="H169" s="55">
        <v>-17.649999999999999</v>
      </c>
      <c r="I169" s="55">
        <v>-21.43</v>
      </c>
      <c r="J169" s="55">
        <v>0.08</v>
      </c>
      <c r="K169" s="55">
        <v>0.05</v>
      </c>
      <c r="L169" s="55">
        <v>0.12</v>
      </c>
      <c r="M169" s="55">
        <v>7.0000000000000007E-2</v>
      </c>
      <c r="N169" s="55"/>
      <c r="O169" s="55"/>
    </row>
    <row r="170" spans="1:15">
      <c r="A170" s="55">
        <v>129</v>
      </c>
      <c r="B170" s="55" t="s">
        <v>430</v>
      </c>
      <c r="C170" s="55" t="s">
        <v>19</v>
      </c>
      <c r="D170" s="22">
        <v>4</v>
      </c>
      <c r="E170" s="22">
        <v>12</v>
      </c>
      <c r="F170" s="22">
        <v>42</v>
      </c>
      <c r="G170" s="22">
        <v>56</v>
      </c>
      <c r="H170" s="55">
        <v>-66.67</v>
      </c>
      <c r="I170" s="55">
        <v>-25</v>
      </c>
      <c r="J170" s="55">
        <v>0.02</v>
      </c>
      <c r="K170" s="55">
        <v>0.05</v>
      </c>
      <c r="L170" s="55">
        <v>0.08</v>
      </c>
      <c r="M170" s="55">
        <v>7.0000000000000007E-2</v>
      </c>
      <c r="N170" s="55"/>
      <c r="O170" s="55"/>
    </row>
    <row r="171" spans="1:15">
      <c r="A171" s="55">
        <v>130</v>
      </c>
      <c r="B171" s="55" t="s">
        <v>612</v>
      </c>
      <c r="C171" s="55" t="s">
        <v>19</v>
      </c>
      <c r="D171" s="22">
        <v>5</v>
      </c>
      <c r="E171" s="22">
        <v>9</v>
      </c>
      <c r="F171" s="22">
        <v>42</v>
      </c>
      <c r="G171" s="22">
        <v>35</v>
      </c>
      <c r="H171" s="55">
        <v>-44.44</v>
      </c>
      <c r="I171" s="55">
        <v>20</v>
      </c>
      <c r="J171" s="55">
        <v>0.03</v>
      </c>
      <c r="K171" s="55">
        <v>0.05</v>
      </c>
      <c r="L171" s="55">
        <v>0.06</v>
      </c>
      <c r="M171" s="55">
        <v>0.05</v>
      </c>
      <c r="N171" s="55"/>
      <c r="O171" s="55"/>
    </row>
    <row r="172" spans="1:15">
      <c r="A172" s="55">
        <v>131</v>
      </c>
      <c r="B172" s="55" t="s">
        <v>1238</v>
      </c>
      <c r="C172" s="55" t="s">
        <v>19</v>
      </c>
      <c r="D172" s="22">
        <v>41</v>
      </c>
      <c r="E172" s="22">
        <v>0</v>
      </c>
      <c r="F172" s="22">
        <v>41</v>
      </c>
      <c r="G172" s="22">
        <v>0</v>
      </c>
      <c r="H172" s="55">
        <v>0</v>
      </c>
      <c r="I172" s="55">
        <v>0</v>
      </c>
      <c r="J172" s="55">
        <v>0.24</v>
      </c>
      <c r="K172" s="55">
        <v>0.05</v>
      </c>
      <c r="L172" s="55">
        <v>0</v>
      </c>
      <c r="M172" s="55">
        <v>0</v>
      </c>
      <c r="N172" s="55"/>
      <c r="O172" s="55"/>
    </row>
    <row r="173" spans="1:15" hidden="1">
      <c r="A173" s="55">
        <v>132</v>
      </c>
      <c r="B173" s="55" t="s">
        <v>1083</v>
      </c>
      <c r="C173" s="55" t="s">
        <v>20</v>
      </c>
      <c r="D173" s="22">
        <v>11</v>
      </c>
      <c r="E173" s="22">
        <v>0</v>
      </c>
      <c r="F173" s="22">
        <v>40</v>
      </c>
      <c r="G173" s="22">
        <v>0</v>
      </c>
      <c r="H173" s="55">
        <v>0</v>
      </c>
      <c r="I173" s="55">
        <v>0</v>
      </c>
      <c r="J173" s="55">
        <v>7.0000000000000007E-2</v>
      </c>
      <c r="K173" s="55">
        <v>0.05</v>
      </c>
      <c r="L173" s="55">
        <v>0</v>
      </c>
      <c r="M173" s="55">
        <v>0</v>
      </c>
      <c r="N173" s="55"/>
      <c r="O173" s="55"/>
    </row>
    <row r="174" spans="1:15">
      <c r="A174" s="55">
        <v>133</v>
      </c>
      <c r="B174" s="55" t="s">
        <v>438</v>
      </c>
      <c r="C174" s="55" t="s">
        <v>19</v>
      </c>
      <c r="D174" s="22">
        <v>2</v>
      </c>
      <c r="E174" s="22">
        <v>0</v>
      </c>
      <c r="F174" s="22">
        <v>38</v>
      </c>
      <c r="G174" s="22">
        <v>23</v>
      </c>
      <c r="H174" s="55">
        <v>0</v>
      </c>
      <c r="I174" s="55">
        <v>65.22</v>
      </c>
      <c r="J174" s="55">
        <v>0.01</v>
      </c>
      <c r="K174" s="55">
        <v>0.05</v>
      </c>
      <c r="L174" s="55">
        <v>0</v>
      </c>
      <c r="M174" s="55">
        <v>0.03</v>
      </c>
      <c r="N174" s="55"/>
      <c r="O174" s="55"/>
    </row>
    <row r="175" spans="1:15" hidden="1">
      <c r="A175" s="55">
        <v>134</v>
      </c>
      <c r="B175" s="55" t="s">
        <v>1060</v>
      </c>
      <c r="C175" s="55" t="s">
        <v>20</v>
      </c>
      <c r="D175" s="22">
        <v>3</v>
      </c>
      <c r="E175" s="22">
        <v>0</v>
      </c>
      <c r="F175" s="22">
        <v>38</v>
      </c>
      <c r="G175" s="22">
        <v>0</v>
      </c>
      <c r="H175" s="55">
        <v>0</v>
      </c>
      <c r="I175" s="55">
        <v>0</v>
      </c>
      <c r="J175" s="55">
        <v>0.02</v>
      </c>
      <c r="K175" s="55">
        <v>0.05</v>
      </c>
      <c r="L175" s="55">
        <v>0</v>
      </c>
      <c r="M175" s="55">
        <v>0</v>
      </c>
      <c r="N175" s="55"/>
      <c r="O175" s="55"/>
    </row>
    <row r="176" spans="1:15" hidden="1">
      <c r="A176" s="55">
        <v>135</v>
      </c>
      <c r="B176" s="55" t="s">
        <v>498</v>
      </c>
      <c r="C176" s="55" t="s">
        <v>20</v>
      </c>
      <c r="D176" s="22">
        <v>20</v>
      </c>
      <c r="E176" s="22">
        <v>21</v>
      </c>
      <c r="F176" s="22">
        <v>35</v>
      </c>
      <c r="G176" s="22">
        <v>70</v>
      </c>
      <c r="H176" s="62">
        <v>-4.76</v>
      </c>
      <c r="I176" s="62">
        <v>-50</v>
      </c>
      <c r="J176" s="55">
        <v>0.12</v>
      </c>
      <c r="K176" s="55">
        <v>0.04</v>
      </c>
      <c r="L176" s="55">
        <v>0.15</v>
      </c>
      <c r="M176" s="55">
        <v>0.09</v>
      </c>
      <c r="N176" s="55"/>
      <c r="O176" s="55"/>
    </row>
    <row r="177" spans="1:15">
      <c r="A177" s="55">
        <v>136</v>
      </c>
      <c r="B177" s="55" t="s">
        <v>429</v>
      </c>
      <c r="C177" s="55" t="s">
        <v>19</v>
      </c>
      <c r="D177" s="22">
        <v>1</v>
      </c>
      <c r="E177" s="22">
        <v>6</v>
      </c>
      <c r="F177" s="22">
        <v>35</v>
      </c>
      <c r="G177" s="22">
        <v>30</v>
      </c>
      <c r="H177" s="55">
        <v>-83.33</v>
      </c>
      <c r="I177" s="55">
        <v>16.670000000000002</v>
      </c>
      <c r="J177" s="55">
        <v>0.01</v>
      </c>
      <c r="K177" s="55">
        <v>0.04</v>
      </c>
      <c r="L177" s="55">
        <v>0.04</v>
      </c>
      <c r="M177" s="55">
        <v>0.04</v>
      </c>
      <c r="N177" s="55"/>
      <c r="O177" s="55"/>
    </row>
    <row r="178" spans="1:15" hidden="1">
      <c r="A178" s="55">
        <v>137</v>
      </c>
      <c r="B178" s="55" t="s">
        <v>559</v>
      </c>
      <c r="C178" s="55" t="s">
        <v>20</v>
      </c>
      <c r="D178" s="22">
        <v>14</v>
      </c>
      <c r="E178" s="22">
        <v>31</v>
      </c>
      <c r="F178" s="22">
        <v>34</v>
      </c>
      <c r="G178" s="22">
        <v>113</v>
      </c>
      <c r="H178" s="55">
        <v>-54.84</v>
      </c>
      <c r="I178" s="55">
        <v>-69.91</v>
      </c>
      <c r="J178" s="55">
        <v>0.08</v>
      </c>
      <c r="K178" s="55">
        <v>0.04</v>
      </c>
      <c r="L178" s="55">
        <v>0.22</v>
      </c>
      <c r="M178" s="55">
        <v>0.15</v>
      </c>
      <c r="N178" s="55"/>
      <c r="O178" s="55"/>
    </row>
    <row r="179" spans="1:15" hidden="1">
      <c r="A179" s="55">
        <v>138</v>
      </c>
      <c r="B179" s="55" t="s">
        <v>1096</v>
      </c>
      <c r="C179" s="55" t="s">
        <v>20</v>
      </c>
      <c r="D179" s="22">
        <v>6</v>
      </c>
      <c r="E179" s="22">
        <v>4</v>
      </c>
      <c r="F179" s="22">
        <v>34</v>
      </c>
      <c r="G179" s="22">
        <v>38</v>
      </c>
      <c r="H179" s="62">
        <v>50</v>
      </c>
      <c r="I179" s="62">
        <v>-10.53</v>
      </c>
      <c r="J179" s="55">
        <v>0.04</v>
      </c>
      <c r="K179" s="55">
        <v>0.04</v>
      </c>
      <c r="L179" s="55">
        <v>0.03</v>
      </c>
      <c r="M179" s="55">
        <v>0.05</v>
      </c>
      <c r="N179" s="55"/>
      <c r="O179" s="55"/>
    </row>
    <row r="180" spans="1:15">
      <c r="A180" s="55">
        <v>139</v>
      </c>
      <c r="B180" s="55" t="s">
        <v>493</v>
      </c>
      <c r="C180" s="55" t="s">
        <v>19</v>
      </c>
      <c r="D180" s="22">
        <v>13</v>
      </c>
      <c r="E180" s="22">
        <v>0</v>
      </c>
      <c r="F180" s="22">
        <v>33</v>
      </c>
      <c r="G180" s="22">
        <v>40</v>
      </c>
      <c r="H180" s="55">
        <v>0</v>
      </c>
      <c r="I180" s="55">
        <v>-17.5</v>
      </c>
      <c r="J180" s="55">
        <v>0.08</v>
      </c>
      <c r="K180" s="55">
        <v>0.04</v>
      </c>
      <c r="L180" s="55">
        <v>0</v>
      </c>
      <c r="M180" s="55">
        <v>0.05</v>
      </c>
      <c r="N180" s="55"/>
      <c r="O180" s="55"/>
    </row>
    <row r="181" spans="1:15" hidden="1">
      <c r="A181" s="55">
        <v>140</v>
      </c>
      <c r="B181" s="55" t="s">
        <v>707</v>
      </c>
      <c r="C181" s="55" t="s">
        <v>20</v>
      </c>
      <c r="D181" s="22">
        <v>7</v>
      </c>
      <c r="E181" s="22">
        <v>0</v>
      </c>
      <c r="F181" s="22">
        <v>33</v>
      </c>
      <c r="G181" s="22">
        <v>2</v>
      </c>
      <c r="H181" s="55">
        <v>0</v>
      </c>
      <c r="I181" s="55">
        <v>1550</v>
      </c>
      <c r="J181" s="55">
        <v>0.04</v>
      </c>
      <c r="K181" s="55">
        <v>0.04</v>
      </c>
      <c r="L181" s="55">
        <v>0</v>
      </c>
      <c r="M181" s="55">
        <v>0</v>
      </c>
      <c r="N181" s="55"/>
      <c r="O181" s="55"/>
    </row>
    <row r="182" spans="1:15" hidden="1">
      <c r="A182" s="55">
        <v>141</v>
      </c>
      <c r="B182" s="55" t="s">
        <v>501</v>
      </c>
      <c r="C182" s="55" t="s">
        <v>20</v>
      </c>
      <c r="D182" s="22">
        <v>2</v>
      </c>
      <c r="E182" s="22">
        <v>16</v>
      </c>
      <c r="F182" s="22">
        <v>32</v>
      </c>
      <c r="G182" s="22">
        <v>57</v>
      </c>
      <c r="H182" s="55">
        <v>-87.5</v>
      </c>
      <c r="I182" s="55">
        <v>-43.86</v>
      </c>
      <c r="J182" s="55">
        <v>0.01</v>
      </c>
      <c r="K182" s="55">
        <v>0.04</v>
      </c>
      <c r="L182" s="55">
        <v>0.11</v>
      </c>
      <c r="M182" s="55">
        <v>0.08</v>
      </c>
      <c r="N182" s="55"/>
      <c r="O182" s="55"/>
    </row>
    <row r="183" spans="1:15" hidden="1">
      <c r="A183" s="55">
        <v>142</v>
      </c>
      <c r="B183" s="55" t="s">
        <v>650</v>
      </c>
      <c r="C183" s="55" t="s">
        <v>20</v>
      </c>
      <c r="D183" s="22">
        <v>6</v>
      </c>
      <c r="E183" s="22">
        <v>2</v>
      </c>
      <c r="F183" s="22">
        <v>32</v>
      </c>
      <c r="G183" s="22">
        <v>20</v>
      </c>
      <c r="H183" s="55">
        <v>200</v>
      </c>
      <c r="I183" s="55">
        <v>60</v>
      </c>
      <c r="J183" s="55">
        <v>0.04</v>
      </c>
      <c r="K183" s="55">
        <v>0.04</v>
      </c>
      <c r="L183" s="55">
        <v>0.01</v>
      </c>
      <c r="M183" s="55">
        <v>0.03</v>
      </c>
      <c r="N183" s="55"/>
      <c r="O183" s="55"/>
    </row>
    <row r="184" spans="1:15">
      <c r="A184" s="55">
        <v>143</v>
      </c>
      <c r="B184" s="55" t="s">
        <v>1154</v>
      </c>
      <c r="C184" s="55" t="s">
        <v>19</v>
      </c>
      <c r="D184" s="22">
        <v>13</v>
      </c>
      <c r="E184" s="22">
        <v>0</v>
      </c>
      <c r="F184" s="22">
        <v>32</v>
      </c>
      <c r="G184" s="22">
        <v>0</v>
      </c>
      <c r="H184" s="55">
        <v>0</v>
      </c>
      <c r="I184" s="55">
        <v>0</v>
      </c>
      <c r="J184" s="55">
        <v>0.08</v>
      </c>
      <c r="K184" s="55">
        <v>0.04</v>
      </c>
      <c r="L184" s="55">
        <v>0</v>
      </c>
      <c r="M184" s="55">
        <v>0</v>
      </c>
      <c r="N184" s="55"/>
      <c r="O184" s="55"/>
    </row>
    <row r="185" spans="1:15">
      <c r="A185" s="55">
        <v>144</v>
      </c>
      <c r="B185" s="55" t="s">
        <v>1082</v>
      </c>
      <c r="C185" s="55" t="s">
        <v>19</v>
      </c>
      <c r="D185" s="22">
        <v>3</v>
      </c>
      <c r="E185" s="22">
        <v>0</v>
      </c>
      <c r="F185" s="22">
        <v>31</v>
      </c>
      <c r="G185" s="22">
        <v>0</v>
      </c>
      <c r="H185" s="55">
        <v>0</v>
      </c>
      <c r="I185" s="55">
        <v>0</v>
      </c>
      <c r="J185" s="55">
        <v>0.02</v>
      </c>
      <c r="K185" s="55">
        <v>0.04</v>
      </c>
      <c r="L185" s="55">
        <v>0</v>
      </c>
      <c r="M185" s="55">
        <v>0</v>
      </c>
      <c r="N185" s="55"/>
      <c r="O185" s="55"/>
    </row>
    <row r="186" spans="1:15" hidden="1">
      <c r="A186" s="55">
        <v>145</v>
      </c>
      <c r="B186" s="55" t="s">
        <v>1080</v>
      </c>
      <c r="C186" s="55" t="s">
        <v>20</v>
      </c>
      <c r="D186" s="22">
        <v>6</v>
      </c>
      <c r="E186" s="22">
        <v>0</v>
      </c>
      <c r="F186" s="22">
        <v>31</v>
      </c>
      <c r="G186" s="22">
        <v>0</v>
      </c>
      <c r="H186" s="55">
        <v>0</v>
      </c>
      <c r="I186" s="55">
        <v>0</v>
      </c>
      <c r="J186" s="55">
        <v>0.04</v>
      </c>
      <c r="K186" s="55">
        <v>0.04</v>
      </c>
      <c r="L186" s="55">
        <v>0</v>
      </c>
      <c r="M186" s="55">
        <v>0</v>
      </c>
      <c r="N186" s="55"/>
      <c r="O186" s="55"/>
    </row>
    <row r="187" spans="1:15">
      <c r="A187" s="55">
        <v>146</v>
      </c>
      <c r="B187" s="55" t="s">
        <v>140</v>
      </c>
      <c r="C187" s="55" t="s">
        <v>19</v>
      </c>
      <c r="D187" s="22">
        <v>1</v>
      </c>
      <c r="E187" s="22">
        <v>43</v>
      </c>
      <c r="F187" s="22">
        <v>30</v>
      </c>
      <c r="G187" s="22">
        <v>102</v>
      </c>
      <c r="H187" s="55">
        <v>-97.67</v>
      </c>
      <c r="I187" s="55">
        <v>-70.59</v>
      </c>
      <c r="J187" s="55">
        <v>0.01</v>
      </c>
      <c r="K187" s="55">
        <v>0.04</v>
      </c>
      <c r="L187" s="55">
        <v>0.3</v>
      </c>
      <c r="M187" s="55">
        <v>0.14000000000000001</v>
      </c>
      <c r="N187" s="55"/>
      <c r="O187" s="55"/>
    </row>
    <row r="188" spans="1:15">
      <c r="A188" s="55">
        <v>147</v>
      </c>
      <c r="B188" s="55" t="s">
        <v>991</v>
      </c>
      <c r="C188" s="55" t="s">
        <v>19</v>
      </c>
      <c r="D188" s="22">
        <v>1</v>
      </c>
      <c r="E188" s="22">
        <v>0</v>
      </c>
      <c r="F188" s="22">
        <v>30</v>
      </c>
      <c r="G188" s="22">
        <v>0</v>
      </c>
      <c r="H188" s="55">
        <v>0</v>
      </c>
      <c r="I188" s="55">
        <v>0</v>
      </c>
      <c r="J188" s="55">
        <v>0.01</v>
      </c>
      <c r="K188" s="55">
        <v>0.04</v>
      </c>
      <c r="L188" s="55">
        <v>0</v>
      </c>
      <c r="M188" s="55">
        <v>0</v>
      </c>
      <c r="N188" s="55"/>
      <c r="O188" s="55"/>
    </row>
    <row r="189" spans="1:15">
      <c r="A189" s="55">
        <v>148</v>
      </c>
      <c r="B189" s="55" t="s">
        <v>191</v>
      </c>
      <c r="C189" s="55" t="s">
        <v>19</v>
      </c>
      <c r="D189" s="22">
        <v>8</v>
      </c>
      <c r="E189" s="22">
        <v>0</v>
      </c>
      <c r="F189" s="22">
        <v>30</v>
      </c>
      <c r="G189" s="22">
        <v>0</v>
      </c>
      <c r="H189" s="55">
        <v>0</v>
      </c>
      <c r="I189" s="55">
        <v>0</v>
      </c>
      <c r="J189" s="55">
        <v>0.05</v>
      </c>
      <c r="K189" s="55">
        <v>0.04</v>
      </c>
      <c r="L189" s="55">
        <v>0</v>
      </c>
      <c r="M189" s="55">
        <v>0</v>
      </c>
      <c r="N189" s="55"/>
      <c r="O189" s="55"/>
    </row>
    <row r="190" spans="1:15">
      <c r="A190" s="55">
        <v>149</v>
      </c>
      <c r="B190" s="55" t="s">
        <v>420</v>
      </c>
      <c r="C190" s="55" t="s">
        <v>19</v>
      </c>
      <c r="D190" s="22">
        <v>2</v>
      </c>
      <c r="E190" s="22">
        <v>2</v>
      </c>
      <c r="F190" s="22">
        <v>26</v>
      </c>
      <c r="G190" s="22">
        <v>47</v>
      </c>
      <c r="H190" s="55">
        <v>0</v>
      </c>
      <c r="I190" s="55">
        <v>-44.68</v>
      </c>
      <c r="J190" s="55">
        <v>0.01</v>
      </c>
      <c r="K190" s="55">
        <v>0.03</v>
      </c>
      <c r="L190" s="55">
        <v>0.01</v>
      </c>
      <c r="M190" s="55">
        <v>0.06</v>
      </c>
      <c r="N190" s="55"/>
      <c r="O190" s="55"/>
    </row>
    <row r="191" spans="1:15" hidden="1">
      <c r="A191" s="55">
        <v>150</v>
      </c>
      <c r="B191" s="55" t="s">
        <v>576</v>
      </c>
      <c r="C191" s="55" t="s">
        <v>20</v>
      </c>
      <c r="D191" s="22">
        <v>4</v>
      </c>
      <c r="E191" s="22">
        <v>1</v>
      </c>
      <c r="F191" s="22">
        <v>24</v>
      </c>
      <c r="G191" s="22">
        <v>26</v>
      </c>
      <c r="H191" s="55">
        <v>300</v>
      </c>
      <c r="I191" s="55">
        <v>-7.69</v>
      </c>
      <c r="J191" s="55">
        <v>0.02</v>
      </c>
      <c r="K191" s="55">
        <v>0.03</v>
      </c>
      <c r="L191" s="55">
        <v>0.01</v>
      </c>
      <c r="M191" s="55">
        <v>0.03</v>
      </c>
      <c r="N191" s="55"/>
      <c r="O191" s="55"/>
    </row>
    <row r="192" spans="1:15" hidden="1">
      <c r="A192" s="55">
        <v>151</v>
      </c>
      <c r="B192" s="55" t="s">
        <v>613</v>
      </c>
      <c r="C192" s="55" t="s">
        <v>20</v>
      </c>
      <c r="D192" s="22">
        <v>7</v>
      </c>
      <c r="E192" s="22">
        <v>1</v>
      </c>
      <c r="F192" s="22">
        <v>24</v>
      </c>
      <c r="G192" s="22">
        <v>15</v>
      </c>
      <c r="H192" s="55">
        <v>600</v>
      </c>
      <c r="I192" s="55">
        <v>60</v>
      </c>
      <c r="J192" s="55">
        <v>0.04</v>
      </c>
      <c r="K192" s="55">
        <v>0.03</v>
      </c>
      <c r="L192" s="55">
        <v>0.01</v>
      </c>
      <c r="M192" s="55">
        <v>0.02</v>
      </c>
      <c r="N192" s="55"/>
      <c r="O192" s="55"/>
    </row>
    <row r="193" spans="1:15" hidden="1">
      <c r="A193" s="55">
        <v>152</v>
      </c>
      <c r="B193" s="55" t="s">
        <v>401</v>
      </c>
      <c r="C193" s="55" t="s">
        <v>20</v>
      </c>
      <c r="D193" s="22">
        <v>2</v>
      </c>
      <c r="E193" s="22">
        <v>17</v>
      </c>
      <c r="F193" s="22">
        <v>23</v>
      </c>
      <c r="G193" s="22">
        <v>94</v>
      </c>
      <c r="H193" s="55">
        <v>-88.24</v>
      </c>
      <c r="I193" s="55">
        <v>-75.53</v>
      </c>
      <c r="J193" s="55">
        <v>0.01</v>
      </c>
      <c r="K193" s="55">
        <v>0.03</v>
      </c>
      <c r="L193" s="55">
        <v>0.12</v>
      </c>
      <c r="M193" s="55">
        <v>0.13</v>
      </c>
      <c r="N193" s="55"/>
      <c r="O193" s="55"/>
    </row>
    <row r="194" spans="1:15" hidden="1">
      <c r="A194" s="55">
        <v>153</v>
      </c>
      <c r="B194" s="55" t="s">
        <v>440</v>
      </c>
      <c r="C194" s="55" t="s">
        <v>20</v>
      </c>
      <c r="D194" s="22">
        <v>7</v>
      </c>
      <c r="E194" s="22">
        <v>6</v>
      </c>
      <c r="F194" s="22">
        <v>23</v>
      </c>
      <c r="G194" s="22">
        <v>15</v>
      </c>
      <c r="H194" s="55">
        <v>16.670000000000002</v>
      </c>
      <c r="I194" s="55">
        <v>53.33</v>
      </c>
      <c r="J194" s="55">
        <v>0.04</v>
      </c>
      <c r="K194" s="55">
        <v>0.03</v>
      </c>
      <c r="L194" s="55">
        <v>0.04</v>
      </c>
      <c r="M194" s="55">
        <v>0.02</v>
      </c>
      <c r="N194" s="55"/>
      <c r="O194" s="55"/>
    </row>
    <row r="195" spans="1:15" hidden="1">
      <c r="A195" s="55">
        <v>154</v>
      </c>
      <c r="B195" s="55" t="s">
        <v>647</v>
      </c>
      <c r="C195" s="55" t="s">
        <v>20</v>
      </c>
      <c r="D195" s="22">
        <v>5</v>
      </c>
      <c r="E195" s="22">
        <v>3</v>
      </c>
      <c r="F195" s="22">
        <v>21</v>
      </c>
      <c r="G195" s="22">
        <v>40</v>
      </c>
      <c r="H195" s="62">
        <v>66.67</v>
      </c>
      <c r="I195" s="62">
        <v>-47.5</v>
      </c>
      <c r="J195" s="62">
        <v>0.03</v>
      </c>
      <c r="K195" s="62">
        <v>0.03</v>
      </c>
      <c r="L195" s="62">
        <v>0.02</v>
      </c>
      <c r="M195" s="62">
        <v>0.05</v>
      </c>
      <c r="N195" s="55"/>
      <c r="O195" s="55"/>
    </row>
    <row r="196" spans="1:15" hidden="1">
      <c r="A196" s="55">
        <v>155</v>
      </c>
      <c r="B196" s="55" t="s">
        <v>432</v>
      </c>
      <c r="C196" s="55" t="s">
        <v>20</v>
      </c>
      <c r="D196" s="22">
        <v>2</v>
      </c>
      <c r="E196" s="22">
        <v>5</v>
      </c>
      <c r="F196" s="22">
        <v>21</v>
      </c>
      <c r="G196" s="22">
        <v>22</v>
      </c>
      <c r="H196" s="55">
        <v>-60</v>
      </c>
      <c r="I196" s="55">
        <v>-4.55</v>
      </c>
      <c r="J196" s="55">
        <v>0.01</v>
      </c>
      <c r="K196" s="55">
        <v>0.03</v>
      </c>
      <c r="L196" s="55">
        <v>0.03</v>
      </c>
      <c r="M196" s="55">
        <v>0.03</v>
      </c>
      <c r="N196" s="55"/>
      <c r="O196" s="55"/>
    </row>
    <row r="197" spans="1:15">
      <c r="A197" s="55">
        <v>156</v>
      </c>
      <c r="B197" s="55" t="s">
        <v>437</v>
      </c>
      <c r="C197" s="55" t="s">
        <v>19</v>
      </c>
      <c r="D197" s="22">
        <v>3</v>
      </c>
      <c r="E197" s="22">
        <v>18</v>
      </c>
      <c r="F197" s="22">
        <v>20</v>
      </c>
      <c r="G197" s="22">
        <v>67</v>
      </c>
      <c r="H197" s="55">
        <v>-83.33</v>
      </c>
      <c r="I197" s="55">
        <v>-70.150000000000006</v>
      </c>
      <c r="J197" s="55">
        <v>0.02</v>
      </c>
      <c r="K197" s="55">
        <v>0.02</v>
      </c>
      <c r="L197" s="55">
        <v>0.13</v>
      </c>
      <c r="M197" s="55">
        <v>0.09</v>
      </c>
      <c r="N197" s="55"/>
      <c r="O197" s="55"/>
    </row>
    <row r="198" spans="1:15">
      <c r="A198" s="55">
        <v>157</v>
      </c>
      <c r="B198" s="55" t="s">
        <v>705</v>
      </c>
      <c r="C198" s="55" t="s">
        <v>19</v>
      </c>
      <c r="D198" s="22">
        <v>2</v>
      </c>
      <c r="E198" s="22">
        <v>3</v>
      </c>
      <c r="F198" s="22">
        <v>19</v>
      </c>
      <c r="G198" s="22">
        <v>48</v>
      </c>
      <c r="H198" s="55">
        <v>-33.33</v>
      </c>
      <c r="I198" s="55">
        <v>-60.42</v>
      </c>
      <c r="J198" s="55">
        <v>0.01</v>
      </c>
      <c r="K198" s="55">
        <v>0.02</v>
      </c>
      <c r="L198" s="55">
        <v>0.02</v>
      </c>
      <c r="M198" s="55">
        <v>0.06</v>
      </c>
      <c r="N198" s="55"/>
      <c r="O198" s="55"/>
    </row>
    <row r="199" spans="1:15">
      <c r="A199" s="55">
        <v>158</v>
      </c>
      <c r="B199" s="55" t="s">
        <v>130</v>
      </c>
      <c r="C199" s="55" t="s">
        <v>19</v>
      </c>
      <c r="D199" s="22">
        <v>6</v>
      </c>
      <c r="E199" s="22">
        <v>9</v>
      </c>
      <c r="F199" s="22">
        <v>18</v>
      </c>
      <c r="G199" s="22">
        <v>72</v>
      </c>
      <c r="H199" s="55">
        <v>-33.33</v>
      </c>
      <c r="I199" s="55">
        <v>-75</v>
      </c>
      <c r="J199" s="55">
        <v>0.04</v>
      </c>
      <c r="K199" s="55">
        <v>0.02</v>
      </c>
      <c r="L199" s="55">
        <v>0.06</v>
      </c>
      <c r="M199" s="55">
        <v>0.1</v>
      </c>
      <c r="N199" s="55"/>
      <c r="O199" s="55"/>
    </row>
    <row r="200" spans="1:15">
      <c r="A200" s="55">
        <v>159</v>
      </c>
      <c r="B200" s="55" t="s">
        <v>598</v>
      </c>
      <c r="C200" s="55" t="s">
        <v>19</v>
      </c>
      <c r="D200" s="22">
        <v>7</v>
      </c>
      <c r="E200" s="22">
        <v>1</v>
      </c>
      <c r="F200" s="22">
        <v>17</v>
      </c>
      <c r="G200" s="22">
        <v>45</v>
      </c>
      <c r="H200" s="55">
        <v>600</v>
      </c>
      <c r="I200" s="55">
        <v>-62.22</v>
      </c>
      <c r="J200" s="55">
        <v>0.04</v>
      </c>
      <c r="K200" s="55">
        <v>0.02</v>
      </c>
      <c r="L200" s="55">
        <v>0.01</v>
      </c>
      <c r="M200" s="55">
        <v>0.06</v>
      </c>
      <c r="N200" s="55"/>
      <c r="O200" s="55"/>
    </row>
    <row r="201" spans="1:15">
      <c r="A201" s="55">
        <v>160</v>
      </c>
      <c r="B201" s="55" t="s">
        <v>693</v>
      </c>
      <c r="C201" s="55" t="s">
        <v>19</v>
      </c>
      <c r="D201" s="22">
        <v>1</v>
      </c>
      <c r="E201" s="22">
        <v>3</v>
      </c>
      <c r="F201" s="22">
        <v>17</v>
      </c>
      <c r="G201" s="22">
        <v>7</v>
      </c>
      <c r="H201" s="55">
        <v>-66.67</v>
      </c>
      <c r="I201" s="55">
        <v>142.86000000000001</v>
      </c>
      <c r="J201" s="55">
        <v>0.01</v>
      </c>
      <c r="K201" s="55">
        <v>0.02</v>
      </c>
      <c r="L201" s="55">
        <v>0.02</v>
      </c>
      <c r="M201" s="55">
        <v>0.01</v>
      </c>
      <c r="N201" s="55"/>
      <c r="O201" s="55"/>
    </row>
    <row r="202" spans="1:15">
      <c r="A202" s="55">
        <v>161</v>
      </c>
      <c r="B202" s="55" t="s">
        <v>701</v>
      </c>
      <c r="C202" s="55" t="s">
        <v>19</v>
      </c>
      <c r="D202" s="22">
        <v>0</v>
      </c>
      <c r="E202" s="22">
        <v>3</v>
      </c>
      <c r="F202" s="22">
        <v>17</v>
      </c>
      <c r="G202" s="22">
        <v>5</v>
      </c>
      <c r="H202" s="55">
        <v>-100</v>
      </c>
      <c r="I202" s="55">
        <v>240</v>
      </c>
      <c r="J202" s="55">
        <v>0</v>
      </c>
      <c r="K202" s="55">
        <v>0.02</v>
      </c>
      <c r="L202" s="55">
        <v>0.02</v>
      </c>
      <c r="M202" s="55">
        <v>0.01</v>
      </c>
      <c r="N202" s="55"/>
      <c r="O202" s="55"/>
    </row>
    <row r="203" spans="1:15" hidden="1">
      <c r="A203" s="55">
        <v>162</v>
      </c>
      <c r="B203" s="55" t="s">
        <v>1133</v>
      </c>
      <c r="C203" s="55" t="s">
        <v>20</v>
      </c>
      <c r="D203" s="22">
        <v>3</v>
      </c>
      <c r="E203" s="22">
        <v>0</v>
      </c>
      <c r="F203" s="22">
        <v>17</v>
      </c>
      <c r="G203" s="22">
        <v>0</v>
      </c>
      <c r="H203" s="55">
        <v>0</v>
      </c>
      <c r="I203" s="55">
        <v>0</v>
      </c>
      <c r="J203" s="55">
        <v>0.02</v>
      </c>
      <c r="K203" s="55">
        <v>0.02</v>
      </c>
      <c r="L203" s="55">
        <v>0</v>
      </c>
      <c r="M203" s="55">
        <v>0</v>
      </c>
      <c r="N203" s="55"/>
      <c r="O203" s="55"/>
    </row>
    <row r="204" spans="1:15">
      <c r="A204" s="55">
        <v>163</v>
      </c>
      <c r="B204" s="55" t="s">
        <v>495</v>
      </c>
      <c r="C204" s="55" t="s">
        <v>19</v>
      </c>
      <c r="D204" s="22">
        <v>3</v>
      </c>
      <c r="E204" s="22">
        <v>0</v>
      </c>
      <c r="F204" s="22">
        <v>16</v>
      </c>
      <c r="G204" s="22">
        <v>6</v>
      </c>
      <c r="H204" s="55">
        <v>0</v>
      </c>
      <c r="I204" s="55">
        <v>166.67</v>
      </c>
      <c r="J204" s="55">
        <v>0.02</v>
      </c>
      <c r="K204" s="55">
        <v>0.02</v>
      </c>
      <c r="L204" s="55">
        <v>0</v>
      </c>
      <c r="M204" s="55">
        <v>0.01</v>
      </c>
      <c r="N204" s="55"/>
      <c r="O204" s="55"/>
    </row>
    <row r="205" spans="1:15" hidden="1">
      <c r="A205" s="135">
        <v>164</v>
      </c>
      <c r="B205" s="135" t="s">
        <v>1040</v>
      </c>
      <c r="C205" s="135" t="s">
        <v>20</v>
      </c>
      <c r="D205" s="142">
        <v>0</v>
      </c>
      <c r="E205" s="142">
        <v>0</v>
      </c>
      <c r="F205" s="142">
        <v>16</v>
      </c>
      <c r="G205" s="142">
        <v>0</v>
      </c>
      <c r="H205" s="135">
        <v>0</v>
      </c>
      <c r="I205" s="135">
        <v>0</v>
      </c>
      <c r="J205" s="135">
        <v>0</v>
      </c>
      <c r="K205" s="135">
        <v>0.02</v>
      </c>
      <c r="L205" s="135">
        <v>0</v>
      </c>
      <c r="M205" s="135">
        <v>0</v>
      </c>
      <c r="N205" s="55"/>
      <c r="O205" s="55"/>
    </row>
    <row r="206" spans="1:15">
      <c r="A206" s="135">
        <v>165</v>
      </c>
      <c r="B206" s="135" t="s">
        <v>492</v>
      </c>
      <c r="C206" s="135" t="s">
        <v>19</v>
      </c>
      <c r="D206" s="142">
        <v>8</v>
      </c>
      <c r="E206" s="142">
        <v>1</v>
      </c>
      <c r="F206" s="142">
        <v>15</v>
      </c>
      <c r="G206" s="142">
        <v>27</v>
      </c>
      <c r="H206" s="135">
        <v>700</v>
      </c>
      <c r="I206" s="135">
        <v>-44.44</v>
      </c>
      <c r="J206" s="135">
        <v>0.05</v>
      </c>
      <c r="K206" s="135">
        <v>0.02</v>
      </c>
      <c r="L206" s="135">
        <v>0.01</v>
      </c>
      <c r="M206" s="135">
        <v>0.04</v>
      </c>
      <c r="N206" s="55"/>
      <c r="O206" s="55"/>
    </row>
    <row r="207" spans="1:15" hidden="1">
      <c r="A207" s="135">
        <v>166</v>
      </c>
      <c r="B207" s="135" t="s">
        <v>1103</v>
      </c>
      <c r="C207" s="135" t="s">
        <v>20</v>
      </c>
      <c r="D207" s="142">
        <v>4</v>
      </c>
      <c r="E207" s="142">
        <v>1</v>
      </c>
      <c r="F207" s="142">
        <v>13</v>
      </c>
      <c r="G207" s="142">
        <v>10</v>
      </c>
      <c r="H207" s="135">
        <v>300</v>
      </c>
      <c r="I207" s="135">
        <v>30</v>
      </c>
      <c r="J207" s="135">
        <v>0.02</v>
      </c>
      <c r="K207" s="135">
        <v>0.02</v>
      </c>
      <c r="L207" s="135">
        <v>0.01</v>
      </c>
      <c r="M207" s="135">
        <v>0.01</v>
      </c>
      <c r="N207" s="55"/>
      <c r="O207" s="55"/>
    </row>
    <row r="208" spans="1:15" hidden="1">
      <c r="A208" s="135">
        <v>167</v>
      </c>
      <c r="B208" s="135" t="s">
        <v>1088</v>
      </c>
      <c r="C208" s="135" t="s">
        <v>20</v>
      </c>
      <c r="D208" s="142">
        <v>4</v>
      </c>
      <c r="E208" s="142">
        <v>0</v>
      </c>
      <c r="F208" s="142">
        <v>13</v>
      </c>
      <c r="G208" s="142">
        <v>0</v>
      </c>
      <c r="H208" s="135">
        <v>0</v>
      </c>
      <c r="I208" s="135">
        <v>0</v>
      </c>
      <c r="J208" s="135">
        <v>0.02</v>
      </c>
      <c r="K208" s="135">
        <v>0.02</v>
      </c>
      <c r="L208" s="135">
        <v>0</v>
      </c>
      <c r="M208" s="135">
        <v>0</v>
      </c>
      <c r="N208" s="55"/>
      <c r="O208" s="55"/>
    </row>
    <row r="209" spans="1:15">
      <c r="A209" s="135">
        <v>168</v>
      </c>
      <c r="B209" s="135" t="s">
        <v>172</v>
      </c>
      <c r="C209" s="135" t="s">
        <v>19</v>
      </c>
      <c r="D209" s="142">
        <v>1</v>
      </c>
      <c r="E209" s="142">
        <v>10</v>
      </c>
      <c r="F209" s="142">
        <v>11</v>
      </c>
      <c r="G209" s="142">
        <v>26</v>
      </c>
      <c r="H209" s="135">
        <v>-90</v>
      </c>
      <c r="I209" s="135">
        <v>-57.69</v>
      </c>
      <c r="J209" s="135">
        <v>0.01</v>
      </c>
      <c r="K209" s="135">
        <v>0.01</v>
      </c>
      <c r="L209" s="135">
        <v>7.0000000000000007E-2</v>
      </c>
      <c r="M209" s="135">
        <v>0.03</v>
      </c>
      <c r="N209" s="55"/>
      <c r="O209" s="55"/>
    </row>
    <row r="210" spans="1:15">
      <c r="A210" s="135">
        <v>169</v>
      </c>
      <c r="B210" s="135" t="s">
        <v>500</v>
      </c>
      <c r="C210" s="135" t="s">
        <v>19</v>
      </c>
      <c r="D210" s="142">
        <v>4</v>
      </c>
      <c r="E210" s="142">
        <v>1</v>
      </c>
      <c r="F210" s="142">
        <v>11</v>
      </c>
      <c r="G210" s="142">
        <v>21</v>
      </c>
      <c r="H210" s="135">
        <v>300</v>
      </c>
      <c r="I210" s="135">
        <v>-47.62</v>
      </c>
      <c r="J210" s="135">
        <v>0.02</v>
      </c>
      <c r="K210" s="135">
        <v>0.01</v>
      </c>
      <c r="L210" s="135">
        <v>0.01</v>
      </c>
      <c r="M210" s="135">
        <v>0.03</v>
      </c>
      <c r="N210" s="55"/>
      <c r="O210" s="55"/>
    </row>
    <row r="211" spans="1:15">
      <c r="A211" s="135">
        <v>170</v>
      </c>
      <c r="B211" s="135" t="s">
        <v>422</v>
      </c>
      <c r="C211" s="135" t="s">
        <v>19</v>
      </c>
      <c r="D211" s="142">
        <v>2</v>
      </c>
      <c r="E211" s="142">
        <v>4</v>
      </c>
      <c r="F211" s="142">
        <v>10</v>
      </c>
      <c r="G211" s="142">
        <v>27</v>
      </c>
      <c r="H211" s="135">
        <v>-50</v>
      </c>
      <c r="I211" s="135">
        <v>-62.96</v>
      </c>
      <c r="J211" s="135">
        <v>0.01</v>
      </c>
      <c r="K211" s="135">
        <v>0.01</v>
      </c>
      <c r="L211" s="135">
        <v>0.03</v>
      </c>
      <c r="M211" s="135">
        <v>0.04</v>
      </c>
      <c r="N211" s="55"/>
      <c r="O211" s="55"/>
    </row>
    <row r="212" spans="1:15">
      <c r="A212" s="135">
        <v>171</v>
      </c>
      <c r="B212" s="135" t="s">
        <v>238</v>
      </c>
      <c r="C212" s="135" t="s">
        <v>19</v>
      </c>
      <c r="D212" s="142">
        <v>10</v>
      </c>
      <c r="E212" s="142">
        <v>2</v>
      </c>
      <c r="F212" s="142">
        <v>10</v>
      </c>
      <c r="G212" s="142">
        <v>13</v>
      </c>
      <c r="H212" s="135">
        <v>400</v>
      </c>
      <c r="I212" s="135">
        <v>-23.08</v>
      </c>
      <c r="J212" s="135">
        <v>0.06</v>
      </c>
      <c r="K212" s="135">
        <v>0.01</v>
      </c>
      <c r="L212" s="135">
        <v>0.01</v>
      </c>
      <c r="M212" s="135">
        <v>0.02</v>
      </c>
      <c r="N212" s="55"/>
      <c r="O212" s="55"/>
    </row>
    <row r="213" spans="1:15" hidden="1">
      <c r="A213" s="135">
        <v>172</v>
      </c>
      <c r="B213" s="135" t="s">
        <v>389</v>
      </c>
      <c r="C213" s="135" t="s">
        <v>20</v>
      </c>
      <c r="D213" s="142">
        <v>3</v>
      </c>
      <c r="E213" s="142">
        <v>11</v>
      </c>
      <c r="F213" s="142">
        <v>9</v>
      </c>
      <c r="G213" s="142">
        <v>79</v>
      </c>
      <c r="H213" s="135">
        <v>-72.73</v>
      </c>
      <c r="I213" s="135">
        <v>-88.61</v>
      </c>
      <c r="J213" s="135">
        <v>0.02</v>
      </c>
      <c r="K213" s="135">
        <v>0.01</v>
      </c>
      <c r="L213" s="135">
        <v>0.08</v>
      </c>
      <c r="M213" s="135">
        <v>0.11</v>
      </c>
      <c r="N213" s="55"/>
      <c r="O213" s="55"/>
    </row>
    <row r="214" spans="1:15">
      <c r="A214" s="135">
        <v>173</v>
      </c>
      <c r="B214" s="135" t="s">
        <v>233</v>
      </c>
      <c r="C214" s="135" t="s">
        <v>19</v>
      </c>
      <c r="D214" s="142">
        <v>2</v>
      </c>
      <c r="E214" s="142">
        <v>0</v>
      </c>
      <c r="F214" s="142">
        <v>9</v>
      </c>
      <c r="G214" s="142">
        <v>16</v>
      </c>
      <c r="H214" s="137">
        <v>0</v>
      </c>
      <c r="I214" s="137">
        <v>-43.75</v>
      </c>
      <c r="J214" s="137">
        <v>0.01</v>
      </c>
      <c r="K214" s="137">
        <v>0.01</v>
      </c>
      <c r="L214" s="137">
        <v>0</v>
      </c>
      <c r="M214" s="137">
        <v>0.02</v>
      </c>
      <c r="N214" s="55"/>
      <c r="O214" s="55"/>
    </row>
    <row r="215" spans="1:15" hidden="1">
      <c r="A215" s="135">
        <v>174</v>
      </c>
      <c r="B215" s="135" t="s">
        <v>1015</v>
      </c>
      <c r="C215" s="135" t="s">
        <v>20</v>
      </c>
      <c r="D215" s="142">
        <v>2</v>
      </c>
      <c r="E215" s="142">
        <v>0</v>
      </c>
      <c r="F215" s="142">
        <v>9</v>
      </c>
      <c r="G215" s="142">
        <v>0</v>
      </c>
      <c r="H215" s="135">
        <v>0</v>
      </c>
      <c r="I215" s="135">
        <v>0</v>
      </c>
      <c r="J215" s="135">
        <v>0.01</v>
      </c>
      <c r="K215" s="135">
        <v>0.01</v>
      </c>
      <c r="L215" s="135">
        <v>0</v>
      </c>
      <c r="M215" s="135">
        <v>0</v>
      </c>
      <c r="N215" s="55"/>
      <c r="O215" s="55"/>
    </row>
    <row r="216" spans="1:15">
      <c r="A216" s="135">
        <v>175</v>
      </c>
      <c r="B216" s="135" t="s">
        <v>424</v>
      </c>
      <c r="C216" s="135" t="s">
        <v>19</v>
      </c>
      <c r="D216" s="142">
        <v>3</v>
      </c>
      <c r="E216" s="142">
        <v>2</v>
      </c>
      <c r="F216" s="142">
        <v>8</v>
      </c>
      <c r="G216" s="142">
        <v>29</v>
      </c>
      <c r="H216" s="135">
        <v>50</v>
      </c>
      <c r="I216" s="135">
        <v>-72.41</v>
      </c>
      <c r="J216" s="135">
        <v>0.02</v>
      </c>
      <c r="K216" s="135">
        <v>0.01</v>
      </c>
      <c r="L216" s="135">
        <v>0.01</v>
      </c>
      <c r="M216" s="135">
        <v>0.04</v>
      </c>
      <c r="N216" s="55"/>
      <c r="O216" s="55"/>
    </row>
    <row r="217" spans="1:15">
      <c r="A217" s="135">
        <v>176</v>
      </c>
      <c r="B217" s="135" t="s">
        <v>360</v>
      </c>
      <c r="C217" s="135" t="s">
        <v>19</v>
      </c>
      <c r="D217" s="142">
        <v>0</v>
      </c>
      <c r="E217" s="142">
        <v>3</v>
      </c>
      <c r="F217" s="142">
        <v>8</v>
      </c>
      <c r="G217" s="142">
        <v>8</v>
      </c>
      <c r="H217" s="135">
        <v>-100</v>
      </c>
      <c r="I217" s="135">
        <v>0</v>
      </c>
      <c r="J217" s="135">
        <v>0</v>
      </c>
      <c r="K217" s="135">
        <v>0.01</v>
      </c>
      <c r="L217" s="135">
        <v>0.02</v>
      </c>
      <c r="M217" s="135">
        <v>0.01</v>
      </c>
      <c r="N217" s="55"/>
      <c r="O217" s="55"/>
    </row>
    <row r="218" spans="1:15" hidden="1">
      <c r="A218" s="135">
        <v>177</v>
      </c>
      <c r="B218" s="135" t="s">
        <v>1139</v>
      </c>
      <c r="C218" s="135" t="s">
        <v>20</v>
      </c>
      <c r="D218" s="142">
        <v>3</v>
      </c>
      <c r="E218" s="142">
        <v>0</v>
      </c>
      <c r="F218" s="142">
        <v>7</v>
      </c>
      <c r="G218" s="142">
        <v>0</v>
      </c>
      <c r="H218" s="135">
        <v>0</v>
      </c>
      <c r="I218" s="135">
        <v>0</v>
      </c>
      <c r="J218" s="135">
        <v>0.02</v>
      </c>
      <c r="K218" s="135">
        <v>0.01</v>
      </c>
      <c r="L218" s="135">
        <v>0</v>
      </c>
      <c r="M218" s="135">
        <v>0</v>
      </c>
      <c r="N218" s="55"/>
      <c r="O218" s="55"/>
    </row>
    <row r="219" spans="1:15">
      <c r="A219" s="135">
        <v>178</v>
      </c>
      <c r="B219" s="135" t="s">
        <v>392</v>
      </c>
      <c r="C219" s="135" t="s">
        <v>19</v>
      </c>
      <c r="D219" s="142">
        <v>0</v>
      </c>
      <c r="E219" s="142">
        <v>0</v>
      </c>
      <c r="F219" s="142">
        <v>7</v>
      </c>
      <c r="G219" s="142">
        <v>0</v>
      </c>
      <c r="H219" s="135">
        <v>0</v>
      </c>
      <c r="I219" s="135">
        <v>0</v>
      </c>
      <c r="J219" s="135">
        <v>0</v>
      </c>
      <c r="K219" s="135">
        <v>0.01</v>
      </c>
      <c r="L219" s="135">
        <v>0</v>
      </c>
      <c r="M219" s="135">
        <v>0</v>
      </c>
      <c r="N219" s="55"/>
      <c r="O219" s="55"/>
    </row>
    <row r="220" spans="1:15">
      <c r="A220" s="135">
        <v>179</v>
      </c>
      <c r="B220" s="135" t="s">
        <v>378</v>
      </c>
      <c r="C220" s="135" t="s">
        <v>19</v>
      </c>
      <c r="D220" s="142">
        <v>0</v>
      </c>
      <c r="E220" s="142">
        <v>8</v>
      </c>
      <c r="F220" s="142">
        <v>6</v>
      </c>
      <c r="G220" s="142">
        <v>63</v>
      </c>
      <c r="H220" s="135">
        <v>-100</v>
      </c>
      <c r="I220" s="135">
        <v>-90.48</v>
      </c>
      <c r="J220" s="135">
        <v>0</v>
      </c>
      <c r="K220" s="135">
        <v>0.01</v>
      </c>
      <c r="L220" s="135">
        <v>0.06</v>
      </c>
      <c r="M220" s="135">
        <v>0.08</v>
      </c>
      <c r="N220" s="55"/>
      <c r="O220" s="55"/>
    </row>
    <row r="221" spans="1:15" hidden="1">
      <c r="A221" s="135">
        <v>180</v>
      </c>
      <c r="B221" s="135" t="s">
        <v>1085</v>
      </c>
      <c r="C221" s="135" t="s">
        <v>20</v>
      </c>
      <c r="D221" s="142">
        <v>0</v>
      </c>
      <c r="E221" s="142">
        <v>1</v>
      </c>
      <c r="F221" s="142">
        <v>6</v>
      </c>
      <c r="G221" s="142">
        <v>14</v>
      </c>
      <c r="H221" s="135">
        <v>-100</v>
      </c>
      <c r="I221" s="135">
        <v>-57.14</v>
      </c>
      <c r="J221" s="135">
        <v>0</v>
      </c>
      <c r="K221" s="135">
        <v>0.01</v>
      </c>
      <c r="L221" s="135">
        <v>0.01</v>
      </c>
      <c r="M221" s="135">
        <v>0.02</v>
      </c>
      <c r="N221" s="55"/>
      <c r="O221" s="55"/>
    </row>
    <row r="222" spans="1:15">
      <c r="A222" s="135">
        <v>181</v>
      </c>
      <c r="B222" s="135" t="s">
        <v>1100</v>
      </c>
      <c r="C222" s="135" t="s">
        <v>19</v>
      </c>
      <c r="D222" s="142">
        <v>0</v>
      </c>
      <c r="E222" s="142">
        <v>0</v>
      </c>
      <c r="F222" s="142">
        <v>5</v>
      </c>
      <c r="G222" s="142">
        <v>0</v>
      </c>
      <c r="H222" s="135">
        <v>0</v>
      </c>
      <c r="I222" s="135">
        <v>0</v>
      </c>
      <c r="J222" s="135">
        <v>0</v>
      </c>
      <c r="K222" s="135">
        <v>0.01</v>
      </c>
      <c r="L222" s="135">
        <v>0</v>
      </c>
      <c r="M222" s="135">
        <v>0</v>
      </c>
      <c r="N222" s="55"/>
      <c r="O222" s="55"/>
    </row>
    <row r="223" spans="1:15">
      <c r="A223" s="135">
        <v>182</v>
      </c>
      <c r="B223" s="135" t="s">
        <v>1239</v>
      </c>
      <c r="C223" s="135" t="s">
        <v>19</v>
      </c>
      <c r="D223" s="142">
        <v>5</v>
      </c>
      <c r="E223" s="142">
        <v>0</v>
      </c>
      <c r="F223" s="142">
        <v>5</v>
      </c>
      <c r="G223" s="142">
        <v>0</v>
      </c>
      <c r="H223" s="135">
        <v>0</v>
      </c>
      <c r="I223" s="135">
        <v>0</v>
      </c>
      <c r="J223" s="135">
        <v>0.03</v>
      </c>
      <c r="K223" s="135">
        <v>0.01</v>
      </c>
      <c r="L223" s="135">
        <v>0</v>
      </c>
      <c r="M223" s="135">
        <v>0</v>
      </c>
      <c r="N223" s="55"/>
      <c r="O223" s="55"/>
    </row>
    <row r="224" spans="1:15">
      <c r="A224" s="135">
        <v>183</v>
      </c>
      <c r="B224" s="135" t="s">
        <v>436</v>
      </c>
      <c r="C224" s="135" t="s">
        <v>19</v>
      </c>
      <c r="D224" s="142">
        <v>4</v>
      </c>
      <c r="E224" s="142">
        <v>2</v>
      </c>
      <c r="F224" s="142">
        <v>4</v>
      </c>
      <c r="G224" s="142">
        <v>5</v>
      </c>
      <c r="H224" s="135">
        <v>100</v>
      </c>
      <c r="I224" s="135">
        <v>-20</v>
      </c>
      <c r="J224" s="135">
        <v>0.02</v>
      </c>
      <c r="K224" s="135">
        <v>0</v>
      </c>
      <c r="L224" s="135">
        <v>0.01</v>
      </c>
      <c r="M224" s="135">
        <v>0.01</v>
      </c>
      <c r="N224" s="55"/>
      <c r="O224" s="55"/>
    </row>
    <row r="225" spans="1:15">
      <c r="A225" s="135">
        <v>184</v>
      </c>
      <c r="B225" s="135" t="s">
        <v>1099</v>
      </c>
      <c r="C225" s="135" t="s">
        <v>19</v>
      </c>
      <c r="D225" s="142">
        <v>1</v>
      </c>
      <c r="E225" s="142">
        <v>1</v>
      </c>
      <c r="F225" s="142">
        <v>4</v>
      </c>
      <c r="G225" s="142">
        <v>3</v>
      </c>
      <c r="H225" s="135">
        <v>0</v>
      </c>
      <c r="I225" s="135">
        <v>33.33</v>
      </c>
      <c r="J225" s="135">
        <v>0.01</v>
      </c>
      <c r="K225" s="135">
        <v>0</v>
      </c>
      <c r="L225" s="135">
        <v>0.01</v>
      </c>
      <c r="M225" s="135">
        <v>0</v>
      </c>
      <c r="N225" s="55"/>
      <c r="O225" s="55"/>
    </row>
    <row r="226" spans="1:15">
      <c r="A226" s="135">
        <v>185</v>
      </c>
      <c r="B226" s="135" t="s">
        <v>1164</v>
      </c>
      <c r="C226" s="135" t="s">
        <v>19</v>
      </c>
      <c r="D226" s="142">
        <v>1</v>
      </c>
      <c r="E226" s="142">
        <v>0</v>
      </c>
      <c r="F226" s="142">
        <v>4</v>
      </c>
      <c r="G226" s="142">
        <v>0</v>
      </c>
      <c r="H226" s="135">
        <v>0</v>
      </c>
      <c r="I226" s="135">
        <v>0</v>
      </c>
      <c r="J226" s="135">
        <v>0.01</v>
      </c>
      <c r="K226" s="135">
        <v>0</v>
      </c>
      <c r="L226" s="135">
        <v>0</v>
      </c>
      <c r="M226" s="135">
        <v>0</v>
      </c>
      <c r="N226" s="55"/>
      <c r="O226" s="55"/>
    </row>
    <row r="227" spans="1:15">
      <c r="A227" s="135">
        <v>186</v>
      </c>
      <c r="B227" s="135" t="s">
        <v>1166</v>
      </c>
      <c r="C227" s="135" t="s">
        <v>19</v>
      </c>
      <c r="D227" s="142">
        <v>2</v>
      </c>
      <c r="E227" s="142">
        <v>0</v>
      </c>
      <c r="F227" s="142">
        <v>4</v>
      </c>
      <c r="G227" s="142">
        <v>0</v>
      </c>
      <c r="H227" s="135">
        <v>0</v>
      </c>
      <c r="I227" s="135">
        <v>0</v>
      </c>
      <c r="J227" s="135">
        <v>0.01</v>
      </c>
      <c r="K227" s="135">
        <v>0</v>
      </c>
      <c r="L227" s="135">
        <v>0</v>
      </c>
      <c r="M227" s="135">
        <v>0</v>
      </c>
      <c r="N227" s="55"/>
      <c r="O227" s="55"/>
    </row>
    <row r="228" spans="1:15">
      <c r="A228" s="135">
        <v>187</v>
      </c>
      <c r="B228" s="135" t="s">
        <v>141</v>
      </c>
      <c r="C228" s="135" t="s">
        <v>19</v>
      </c>
      <c r="D228" s="142">
        <v>0</v>
      </c>
      <c r="E228" s="142">
        <v>9</v>
      </c>
      <c r="F228" s="142">
        <v>3</v>
      </c>
      <c r="G228" s="142">
        <v>95</v>
      </c>
      <c r="H228" s="135">
        <v>-100</v>
      </c>
      <c r="I228" s="135">
        <v>-96.84</v>
      </c>
      <c r="J228" s="135">
        <v>0</v>
      </c>
      <c r="K228" s="135">
        <v>0</v>
      </c>
      <c r="L228" s="135">
        <v>0.06</v>
      </c>
      <c r="M228" s="135">
        <v>0.13</v>
      </c>
      <c r="N228" s="55"/>
      <c r="O228" s="55"/>
    </row>
    <row r="229" spans="1:15" hidden="1">
      <c r="A229" s="135">
        <v>188</v>
      </c>
      <c r="B229" s="135" t="s">
        <v>1162</v>
      </c>
      <c r="C229" s="135" t="s">
        <v>1163</v>
      </c>
      <c r="D229" s="142">
        <v>0</v>
      </c>
      <c r="E229" s="142">
        <v>0</v>
      </c>
      <c r="F229" s="142">
        <v>3</v>
      </c>
      <c r="G229" s="142">
        <v>0</v>
      </c>
      <c r="H229" s="135">
        <v>0</v>
      </c>
      <c r="I229" s="135">
        <v>0</v>
      </c>
      <c r="J229" s="135">
        <v>0</v>
      </c>
      <c r="K229" s="135">
        <v>0</v>
      </c>
      <c r="L229" s="135">
        <v>0</v>
      </c>
      <c r="M229" s="135">
        <v>0</v>
      </c>
    </row>
    <row r="230" spans="1:15">
      <c r="A230" s="135">
        <v>189</v>
      </c>
      <c r="B230" s="135" t="s">
        <v>1065</v>
      </c>
      <c r="C230" s="135" t="s">
        <v>19</v>
      </c>
      <c r="D230" s="142">
        <v>0</v>
      </c>
      <c r="E230" s="142">
        <v>0</v>
      </c>
      <c r="F230" s="142">
        <v>3</v>
      </c>
      <c r="G230" s="142">
        <v>0</v>
      </c>
      <c r="H230" s="135">
        <v>0</v>
      </c>
      <c r="I230" s="135">
        <v>0</v>
      </c>
      <c r="J230" s="135">
        <v>0</v>
      </c>
      <c r="K230" s="135">
        <v>0</v>
      </c>
      <c r="L230" s="135">
        <v>0</v>
      </c>
      <c r="M230" s="135">
        <v>0</v>
      </c>
    </row>
    <row r="231" spans="1:15" hidden="1">
      <c r="A231" s="135">
        <v>190</v>
      </c>
      <c r="B231" s="135" t="s">
        <v>231</v>
      </c>
      <c r="C231" s="135" t="s">
        <v>20</v>
      </c>
      <c r="D231" s="142">
        <v>0</v>
      </c>
      <c r="E231" s="142">
        <v>29</v>
      </c>
      <c r="F231" s="142">
        <v>2</v>
      </c>
      <c r="G231" s="142">
        <v>1308</v>
      </c>
      <c r="H231" s="135">
        <v>-100</v>
      </c>
      <c r="I231" s="135">
        <v>-99.85</v>
      </c>
      <c r="J231" s="135">
        <v>0</v>
      </c>
      <c r="K231" s="135">
        <v>0</v>
      </c>
      <c r="L231" s="135">
        <v>0.2</v>
      </c>
      <c r="M231" s="135">
        <v>1.75</v>
      </c>
    </row>
    <row r="232" spans="1:15">
      <c r="A232" s="135">
        <v>191</v>
      </c>
      <c r="B232" s="135" t="s">
        <v>497</v>
      </c>
      <c r="C232" s="135" t="s">
        <v>19</v>
      </c>
      <c r="D232" s="142">
        <v>1</v>
      </c>
      <c r="E232" s="142">
        <v>5</v>
      </c>
      <c r="F232" s="142">
        <v>2</v>
      </c>
      <c r="G232" s="142">
        <v>33</v>
      </c>
      <c r="H232" s="135">
        <v>-80</v>
      </c>
      <c r="I232" s="135">
        <v>-93.94</v>
      </c>
      <c r="J232" s="135">
        <v>0.01</v>
      </c>
      <c r="K232" s="135">
        <v>0</v>
      </c>
      <c r="L232" s="135">
        <v>0.03</v>
      </c>
      <c r="M232" s="135">
        <v>0.04</v>
      </c>
    </row>
    <row r="233" spans="1:15">
      <c r="A233" s="135">
        <v>192</v>
      </c>
      <c r="B233" s="135" t="s">
        <v>673</v>
      </c>
      <c r="C233" s="135" t="s">
        <v>19</v>
      </c>
      <c r="D233" s="142">
        <v>0</v>
      </c>
      <c r="E233" s="142">
        <v>6</v>
      </c>
      <c r="F233" s="142">
        <v>2</v>
      </c>
      <c r="G233" s="142">
        <v>8</v>
      </c>
      <c r="H233" s="135">
        <v>-100</v>
      </c>
      <c r="I233" s="135">
        <v>-75</v>
      </c>
      <c r="J233" s="135">
        <v>0</v>
      </c>
      <c r="K233" s="135">
        <v>0</v>
      </c>
      <c r="L233" s="135">
        <v>0.04</v>
      </c>
      <c r="M233" s="135">
        <v>0.01</v>
      </c>
    </row>
    <row r="234" spans="1:15">
      <c r="A234" s="135">
        <v>193</v>
      </c>
      <c r="B234" s="135" t="s">
        <v>554</v>
      </c>
      <c r="C234" s="135" t="s">
        <v>19</v>
      </c>
      <c r="D234" s="142">
        <v>0</v>
      </c>
      <c r="E234" s="142">
        <v>2</v>
      </c>
      <c r="F234" s="142">
        <v>2</v>
      </c>
      <c r="G234" s="142">
        <v>4</v>
      </c>
      <c r="H234" s="135">
        <v>-100</v>
      </c>
      <c r="I234" s="135">
        <v>-50</v>
      </c>
      <c r="J234" s="135">
        <v>0</v>
      </c>
      <c r="K234" s="135">
        <v>0</v>
      </c>
      <c r="L234" s="135">
        <v>0.01</v>
      </c>
      <c r="M234" s="135">
        <v>0.01</v>
      </c>
    </row>
    <row r="235" spans="1:15">
      <c r="A235" s="135">
        <v>194</v>
      </c>
      <c r="B235" s="135" t="s">
        <v>1102</v>
      </c>
      <c r="C235" s="135" t="s">
        <v>19</v>
      </c>
      <c r="D235" s="142">
        <v>0</v>
      </c>
      <c r="E235" s="142">
        <v>0</v>
      </c>
      <c r="F235" s="142">
        <v>2</v>
      </c>
      <c r="G235" s="142">
        <v>2</v>
      </c>
      <c r="H235" s="135">
        <v>0</v>
      </c>
      <c r="I235" s="135">
        <v>0</v>
      </c>
      <c r="J235" s="135">
        <v>0</v>
      </c>
      <c r="K235" s="135">
        <v>0</v>
      </c>
      <c r="L235" s="135">
        <v>0</v>
      </c>
      <c r="M235" s="135">
        <v>0</v>
      </c>
    </row>
    <row r="236" spans="1:15" hidden="1">
      <c r="A236" s="135">
        <v>195</v>
      </c>
      <c r="B236" s="135" t="s">
        <v>489</v>
      </c>
      <c r="C236" s="135" t="s">
        <v>993</v>
      </c>
      <c r="D236" s="142">
        <v>0</v>
      </c>
      <c r="E236" s="142">
        <v>0</v>
      </c>
      <c r="F236" s="142">
        <v>2</v>
      </c>
      <c r="G236" s="142">
        <v>2</v>
      </c>
      <c r="H236" s="135">
        <v>0</v>
      </c>
      <c r="I236" s="135">
        <v>0</v>
      </c>
      <c r="J236" s="135">
        <v>0</v>
      </c>
      <c r="K236" s="135">
        <v>0</v>
      </c>
      <c r="L236" s="135">
        <v>0</v>
      </c>
      <c r="M236" s="135">
        <v>0</v>
      </c>
    </row>
    <row r="237" spans="1:15">
      <c r="A237" s="135">
        <v>196</v>
      </c>
      <c r="B237" s="135" t="s">
        <v>1106</v>
      </c>
      <c r="C237" s="135" t="s">
        <v>19</v>
      </c>
      <c r="D237" s="142">
        <v>0</v>
      </c>
      <c r="E237" s="142">
        <v>0</v>
      </c>
      <c r="F237" s="142">
        <v>2</v>
      </c>
      <c r="G237" s="142">
        <v>2</v>
      </c>
      <c r="H237" s="135">
        <v>0</v>
      </c>
      <c r="I237" s="135">
        <v>0</v>
      </c>
      <c r="J237" s="135">
        <v>0</v>
      </c>
      <c r="K237" s="135">
        <v>0</v>
      </c>
      <c r="L237" s="135">
        <v>0</v>
      </c>
      <c r="M237" s="135">
        <v>0</v>
      </c>
    </row>
    <row r="238" spans="1:15" hidden="1">
      <c r="A238" s="135">
        <v>197</v>
      </c>
      <c r="B238" s="135" t="s">
        <v>1165</v>
      </c>
      <c r="C238" s="135" t="s">
        <v>20</v>
      </c>
      <c r="D238" s="142">
        <v>0</v>
      </c>
      <c r="E238" s="142">
        <v>0</v>
      </c>
      <c r="F238" s="142">
        <v>2</v>
      </c>
      <c r="G238" s="142">
        <v>1</v>
      </c>
      <c r="H238" s="135">
        <v>0</v>
      </c>
      <c r="I238" s="135">
        <v>100</v>
      </c>
      <c r="J238" s="135">
        <v>0</v>
      </c>
      <c r="K238" s="135">
        <v>0</v>
      </c>
      <c r="L238" s="135">
        <v>0</v>
      </c>
      <c r="M238" s="135">
        <v>0</v>
      </c>
    </row>
    <row r="239" spans="1:15">
      <c r="A239" s="135">
        <v>198</v>
      </c>
      <c r="B239" s="135" t="s">
        <v>1199</v>
      </c>
      <c r="C239" s="135" t="s">
        <v>19</v>
      </c>
      <c r="D239" s="142">
        <v>1</v>
      </c>
      <c r="E239" s="142">
        <v>0</v>
      </c>
      <c r="F239" s="142">
        <v>2</v>
      </c>
      <c r="G239" s="142">
        <v>0</v>
      </c>
      <c r="H239" s="135">
        <v>0</v>
      </c>
      <c r="I239" s="135">
        <v>0</v>
      </c>
      <c r="J239" s="135">
        <v>0.01</v>
      </c>
      <c r="K239" s="135">
        <v>0</v>
      </c>
      <c r="L239" s="135">
        <v>0</v>
      </c>
      <c r="M239" s="135">
        <v>0</v>
      </c>
    </row>
    <row r="240" spans="1:15" hidden="1">
      <c r="A240" s="135">
        <v>199</v>
      </c>
      <c r="B240" s="135" t="s">
        <v>1155</v>
      </c>
      <c r="C240" s="135" t="s">
        <v>20</v>
      </c>
      <c r="D240" s="142">
        <v>0</v>
      </c>
      <c r="E240" s="142">
        <v>0</v>
      </c>
      <c r="F240" s="142">
        <v>2</v>
      </c>
      <c r="G240" s="142">
        <v>0</v>
      </c>
      <c r="H240" s="135">
        <v>0</v>
      </c>
      <c r="I240" s="135">
        <v>0</v>
      </c>
      <c r="J240" s="135">
        <v>0</v>
      </c>
      <c r="K240" s="135">
        <v>0</v>
      </c>
      <c r="L240" s="135">
        <v>0</v>
      </c>
      <c r="M240" s="135">
        <v>0</v>
      </c>
    </row>
    <row r="241" spans="1:13">
      <c r="A241" s="135">
        <v>200</v>
      </c>
      <c r="B241" s="135" t="s">
        <v>423</v>
      </c>
      <c r="C241" s="135" t="s">
        <v>19</v>
      </c>
      <c r="D241" s="142">
        <v>0</v>
      </c>
      <c r="E241" s="142">
        <v>46</v>
      </c>
      <c r="F241" s="142">
        <v>1</v>
      </c>
      <c r="G241" s="142">
        <v>158</v>
      </c>
      <c r="H241" s="135">
        <v>-100</v>
      </c>
      <c r="I241" s="135">
        <v>-99.37</v>
      </c>
      <c r="J241" s="135">
        <v>0</v>
      </c>
      <c r="K241" s="135">
        <v>0</v>
      </c>
      <c r="L241" s="135">
        <v>0.32</v>
      </c>
      <c r="M241" s="135">
        <v>0.21</v>
      </c>
    </row>
    <row r="242" spans="1:13">
      <c r="A242" s="135">
        <v>201</v>
      </c>
      <c r="B242" s="135" t="s">
        <v>1104</v>
      </c>
      <c r="C242" s="135" t="s">
        <v>19</v>
      </c>
      <c r="D242" s="142">
        <v>0</v>
      </c>
      <c r="E242" s="142">
        <v>2</v>
      </c>
      <c r="F242" s="142">
        <v>1</v>
      </c>
      <c r="G242" s="142">
        <v>34</v>
      </c>
      <c r="H242" s="135">
        <v>-100</v>
      </c>
      <c r="I242" s="135">
        <v>-97.06</v>
      </c>
      <c r="J242" s="135">
        <v>0</v>
      </c>
      <c r="K242" s="135">
        <v>0</v>
      </c>
      <c r="L242" s="135">
        <v>0.01</v>
      </c>
      <c r="M242" s="135">
        <v>0.05</v>
      </c>
    </row>
    <row r="243" spans="1:13">
      <c r="A243" s="135">
        <v>202</v>
      </c>
      <c r="B243" s="135" t="s">
        <v>1101</v>
      </c>
      <c r="C243" s="135" t="s">
        <v>19</v>
      </c>
      <c r="D243" s="142">
        <v>0</v>
      </c>
      <c r="E243" s="142">
        <v>22</v>
      </c>
      <c r="F243" s="142">
        <v>1</v>
      </c>
      <c r="G243" s="142">
        <v>30</v>
      </c>
      <c r="H243" s="135">
        <v>-100</v>
      </c>
      <c r="I243" s="135">
        <v>-96.67</v>
      </c>
      <c r="J243" s="135">
        <v>0</v>
      </c>
      <c r="K243" s="135">
        <v>0</v>
      </c>
      <c r="L243" s="135">
        <v>0.15</v>
      </c>
      <c r="M243" s="135">
        <v>0.04</v>
      </c>
    </row>
    <row r="244" spans="1:13">
      <c r="A244" s="135">
        <v>203</v>
      </c>
      <c r="B244" s="135" t="s">
        <v>171</v>
      </c>
      <c r="C244" s="135" t="s">
        <v>19</v>
      </c>
      <c r="D244" s="142">
        <v>0</v>
      </c>
      <c r="E244" s="142">
        <v>0</v>
      </c>
      <c r="F244" s="142">
        <v>1</v>
      </c>
      <c r="G244" s="142">
        <v>2</v>
      </c>
      <c r="H244" s="135">
        <v>0</v>
      </c>
      <c r="I244" s="135">
        <v>-50</v>
      </c>
      <c r="J244" s="135">
        <v>0</v>
      </c>
      <c r="K244" s="135">
        <v>0</v>
      </c>
      <c r="L244" s="135">
        <v>0</v>
      </c>
      <c r="M244" s="135">
        <v>0</v>
      </c>
    </row>
    <row r="245" spans="1:13">
      <c r="A245" s="135">
        <v>204</v>
      </c>
      <c r="B245" s="135" t="s">
        <v>1140</v>
      </c>
      <c r="C245" s="135" t="s">
        <v>19</v>
      </c>
      <c r="D245" s="142">
        <v>0</v>
      </c>
      <c r="E245" s="142">
        <v>0</v>
      </c>
      <c r="F245" s="142">
        <v>1</v>
      </c>
      <c r="G245" s="142">
        <v>0</v>
      </c>
      <c r="H245" s="135">
        <v>0</v>
      </c>
      <c r="I245" s="135">
        <v>0</v>
      </c>
      <c r="J245" s="135">
        <v>0</v>
      </c>
      <c r="K245" s="135">
        <v>0</v>
      </c>
      <c r="L245" s="135">
        <v>0</v>
      </c>
      <c r="M245" s="135">
        <v>0</v>
      </c>
    </row>
    <row r="246" spans="1:13">
      <c r="A246" s="135">
        <v>205</v>
      </c>
      <c r="B246" s="135" t="s">
        <v>1240</v>
      </c>
      <c r="C246" s="135" t="s">
        <v>19</v>
      </c>
      <c r="D246" s="142">
        <v>1</v>
      </c>
      <c r="E246" s="142">
        <v>0</v>
      </c>
      <c r="F246" s="142">
        <v>1</v>
      </c>
      <c r="G246" s="142">
        <v>0</v>
      </c>
      <c r="H246" s="135">
        <v>0</v>
      </c>
      <c r="I246" s="135">
        <v>0</v>
      </c>
      <c r="J246" s="135">
        <v>0.01</v>
      </c>
      <c r="K246" s="135">
        <v>0</v>
      </c>
      <c r="L246" s="135">
        <v>0</v>
      </c>
      <c r="M246" s="135">
        <v>0</v>
      </c>
    </row>
    <row r="247" spans="1:13" hidden="1">
      <c r="A247" s="135">
        <v>206</v>
      </c>
      <c r="B247" s="135" t="s">
        <v>562</v>
      </c>
      <c r="C247" s="135" t="s">
        <v>20</v>
      </c>
      <c r="D247" s="142">
        <v>0</v>
      </c>
      <c r="E247" s="142">
        <v>8</v>
      </c>
      <c r="F247" s="142">
        <v>0</v>
      </c>
      <c r="G247" s="142">
        <v>41</v>
      </c>
      <c r="H247" s="135">
        <v>-100</v>
      </c>
      <c r="I247" s="135">
        <v>-100</v>
      </c>
      <c r="J247" s="135">
        <v>0</v>
      </c>
      <c r="K247" s="135">
        <v>0</v>
      </c>
      <c r="L247" s="135">
        <v>0.06</v>
      </c>
      <c r="M247" s="135">
        <v>0.05</v>
      </c>
    </row>
    <row r="248" spans="1:13">
      <c r="A248" s="135">
        <v>207</v>
      </c>
      <c r="B248" s="135" t="s">
        <v>234</v>
      </c>
      <c r="C248" s="135" t="s">
        <v>19</v>
      </c>
      <c r="D248" s="142">
        <v>0</v>
      </c>
      <c r="E248" s="142">
        <v>7</v>
      </c>
      <c r="F248" s="142">
        <v>0</v>
      </c>
      <c r="G248" s="142">
        <v>31</v>
      </c>
      <c r="H248" s="135">
        <v>-100</v>
      </c>
      <c r="I248" s="135">
        <v>-100</v>
      </c>
      <c r="J248" s="135">
        <v>0</v>
      </c>
      <c r="K248" s="135">
        <v>0</v>
      </c>
      <c r="L248" s="135">
        <v>0.05</v>
      </c>
      <c r="M248" s="135">
        <v>0.04</v>
      </c>
    </row>
    <row r="249" spans="1:13">
      <c r="A249" s="135">
        <v>208</v>
      </c>
      <c r="B249" s="135" t="s">
        <v>354</v>
      </c>
      <c r="C249" s="135" t="s">
        <v>19</v>
      </c>
      <c r="D249" s="142">
        <v>0</v>
      </c>
      <c r="E249" s="142">
        <v>0</v>
      </c>
      <c r="F249" s="142">
        <v>0</v>
      </c>
      <c r="G249" s="142">
        <v>18</v>
      </c>
      <c r="H249" s="135">
        <v>0</v>
      </c>
      <c r="I249" s="135">
        <v>-100</v>
      </c>
      <c r="J249" s="135">
        <v>0</v>
      </c>
      <c r="K249" s="135">
        <v>0</v>
      </c>
      <c r="L249" s="135">
        <v>0</v>
      </c>
      <c r="M249" s="135">
        <v>0.02</v>
      </c>
    </row>
    <row r="250" spans="1:13">
      <c r="A250" s="135">
        <v>209</v>
      </c>
      <c r="B250" s="135" t="s">
        <v>350</v>
      </c>
      <c r="C250" s="135" t="s">
        <v>19</v>
      </c>
      <c r="D250" s="142">
        <v>0</v>
      </c>
      <c r="E250" s="142">
        <v>0</v>
      </c>
      <c r="F250" s="142">
        <v>0</v>
      </c>
      <c r="G250" s="142">
        <v>11</v>
      </c>
      <c r="H250" s="135">
        <v>0</v>
      </c>
      <c r="I250" s="135">
        <v>-100</v>
      </c>
      <c r="J250" s="135">
        <v>0</v>
      </c>
      <c r="K250" s="135">
        <v>0</v>
      </c>
      <c r="L250" s="135">
        <v>0</v>
      </c>
      <c r="M250" s="135">
        <v>0.01</v>
      </c>
    </row>
    <row r="251" spans="1:13">
      <c r="A251" s="135">
        <v>210</v>
      </c>
      <c r="B251" s="135" t="s">
        <v>384</v>
      </c>
      <c r="C251" s="135" t="s">
        <v>19</v>
      </c>
      <c r="D251" s="142">
        <v>0</v>
      </c>
      <c r="E251" s="142">
        <v>1</v>
      </c>
      <c r="F251" s="142">
        <v>0</v>
      </c>
      <c r="G251" s="142">
        <v>10</v>
      </c>
      <c r="H251" s="135">
        <v>-100</v>
      </c>
      <c r="I251" s="135">
        <v>-100</v>
      </c>
      <c r="J251" s="135">
        <v>0</v>
      </c>
      <c r="K251" s="135">
        <v>0</v>
      </c>
      <c r="L251" s="135">
        <v>0.01</v>
      </c>
      <c r="M251" s="135">
        <v>0.01</v>
      </c>
    </row>
    <row r="252" spans="1:13" hidden="1">
      <c r="A252" s="135">
        <v>211</v>
      </c>
      <c r="B252" s="135" t="s">
        <v>405</v>
      </c>
      <c r="C252" s="135" t="s">
        <v>1066</v>
      </c>
      <c r="D252" s="142">
        <v>0</v>
      </c>
      <c r="E252" s="142">
        <v>2</v>
      </c>
      <c r="F252" s="142">
        <v>0</v>
      </c>
      <c r="G252" s="142">
        <v>7</v>
      </c>
      <c r="H252" s="135">
        <v>-100</v>
      </c>
      <c r="I252" s="135">
        <v>-100</v>
      </c>
      <c r="J252" s="135">
        <v>0</v>
      </c>
      <c r="K252" s="135">
        <v>0</v>
      </c>
      <c r="L252" s="135">
        <v>0.01</v>
      </c>
      <c r="M252" s="135">
        <v>0.01</v>
      </c>
    </row>
    <row r="253" spans="1:13" hidden="1">
      <c r="A253" s="135">
        <v>212</v>
      </c>
      <c r="B253" s="135" t="s">
        <v>1157</v>
      </c>
      <c r="C253" s="135" t="s">
        <v>20</v>
      </c>
      <c r="D253" s="142">
        <v>0</v>
      </c>
      <c r="E253" s="142">
        <v>2</v>
      </c>
      <c r="F253" s="142">
        <v>0</v>
      </c>
      <c r="G253" s="142">
        <v>7</v>
      </c>
      <c r="H253" s="135">
        <v>-100</v>
      </c>
      <c r="I253" s="135">
        <v>-100</v>
      </c>
      <c r="J253" s="135">
        <v>0</v>
      </c>
      <c r="K253" s="135">
        <v>0</v>
      </c>
      <c r="L253" s="135">
        <v>0.01</v>
      </c>
      <c r="M253" s="135">
        <v>0.01</v>
      </c>
    </row>
    <row r="254" spans="1:13">
      <c r="A254" s="135">
        <v>213</v>
      </c>
      <c r="B254" s="135" t="s">
        <v>205</v>
      </c>
      <c r="C254" s="135" t="s">
        <v>19</v>
      </c>
      <c r="D254" s="142">
        <v>0</v>
      </c>
      <c r="E254" s="142">
        <v>4</v>
      </c>
      <c r="F254" s="142">
        <v>0</v>
      </c>
      <c r="G254" s="142">
        <v>6</v>
      </c>
      <c r="H254" s="135">
        <v>-100</v>
      </c>
      <c r="I254" s="135">
        <v>-100</v>
      </c>
      <c r="J254" s="135">
        <v>0</v>
      </c>
      <c r="K254" s="135">
        <v>0</v>
      </c>
      <c r="L254" s="135">
        <v>0.03</v>
      </c>
      <c r="M254" s="135">
        <v>0.01</v>
      </c>
    </row>
    <row r="255" spans="1:13">
      <c r="A255" s="135">
        <v>214</v>
      </c>
      <c r="B255" s="135" t="s">
        <v>1167</v>
      </c>
      <c r="C255" s="135" t="s">
        <v>19</v>
      </c>
      <c r="D255" s="142">
        <v>0</v>
      </c>
      <c r="E255" s="142">
        <v>2</v>
      </c>
      <c r="F255" s="142">
        <v>0</v>
      </c>
      <c r="G255" s="142">
        <v>5</v>
      </c>
      <c r="H255" s="135">
        <v>-100</v>
      </c>
      <c r="I255" s="135">
        <v>-100</v>
      </c>
      <c r="J255" s="135">
        <v>0</v>
      </c>
      <c r="K255" s="135">
        <v>0</v>
      </c>
      <c r="L255" s="135">
        <v>0.01</v>
      </c>
      <c r="M255" s="135">
        <v>0.01</v>
      </c>
    </row>
    <row r="256" spans="1:13">
      <c r="A256" s="135">
        <v>215</v>
      </c>
      <c r="B256" s="135" t="s">
        <v>1141</v>
      </c>
      <c r="C256" s="135" t="s">
        <v>19</v>
      </c>
      <c r="D256" s="142">
        <v>0</v>
      </c>
      <c r="E256" s="142">
        <v>0</v>
      </c>
      <c r="F256" s="142">
        <v>0</v>
      </c>
      <c r="G256" s="142">
        <v>3</v>
      </c>
      <c r="H256" s="135">
        <v>0</v>
      </c>
      <c r="I256" s="135">
        <v>-100</v>
      </c>
      <c r="J256" s="135">
        <v>0</v>
      </c>
      <c r="K256" s="135">
        <v>0</v>
      </c>
      <c r="L256" s="135">
        <v>0</v>
      </c>
      <c r="M256" s="135">
        <v>0</v>
      </c>
    </row>
    <row r="257" spans="1:13" hidden="1">
      <c r="A257" s="135">
        <v>216</v>
      </c>
      <c r="B257" s="135" t="s">
        <v>1158</v>
      </c>
      <c r="C257" s="135" t="s">
        <v>20</v>
      </c>
      <c r="D257" s="142">
        <v>0</v>
      </c>
      <c r="E257" s="142">
        <v>1</v>
      </c>
      <c r="F257" s="142">
        <v>0</v>
      </c>
      <c r="G257" s="142">
        <v>3</v>
      </c>
      <c r="H257" s="135">
        <v>-100</v>
      </c>
      <c r="I257" s="135">
        <v>-100</v>
      </c>
      <c r="J257" s="135">
        <v>0</v>
      </c>
      <c r="K257" s="135">
        <v>0</v>
      </c>
      <c r="L257" s="135">
        <v>0.01</v>
      </c>
      <c r="M257" s="135">
        <v>0</v>
      </c>
    </row>
    <row r="258" spans="1:13">
      <c r="A258" s="135">
        <v>217</v>
      </c>
      <c r="B258" s="135" t="s">
        <v>1105</v>
      </c>
      <c r="C258" s="135" t="s">
        <v>19</v>
      </c>
      <c r="D258" s="142">
        <v>0</v>
      </c>
      <c r="E258" s="142">
        <v>1</v>
      </c>
      <c r="F258" s="142">
        <v>0</v>
      </c>
      <c r="G258" s="142">
        <v>2</v>
      </c>
      <c r="H258" s="135">
        <v>-100</v>
      </c>
      <c r="I258" s="135">
        <v>-100</v>
      </c>
      <c r="J258" s="135">
        <v>0</v>
      </c>
      <c r="K258" s="135">
        <v>0</v>
      </c>
      <c r="L258" s="135">
        <v>0.01</v>
      </c>
      <c r="M258" s="135">
        <v>0</v>
      </c>
    </row>
    <row r="259" spans="1:13" hidden="1">
      <c r="A259" s="135">
        <v>218</v>
      </c>
      <c r="B259" s="135" t="s">
        <v>1241</v>
      </c>
      <c r="C259" s="135" t="s">
        <v>240</v>
      </c>
      <c r="D259" s="142">
        <v>0</v>
      </c>
      <c r="E259" s="142">
        <v>2</v>
      </c>
      <c r="F259" s="142">
        <v>0</v>
      </c>
      <c r="G259" s="142">
        <v>2</v>
      </c>
      <c r="H259" s="135">
        <v>-100</v>
      </c>
      <c r="I259" s="135">
        <v>-100</v>
      </c>
      <c r="J259" s="135">
        <v>0</v>
      </c>
      <c r="K259" s="135">
        <v>0</v>
      </c>
      <c r="L259" s="135">
        <v>0.01</v>
      </c>
      <c r="M259" s="135">
        <v>0</v>
      </c>
    </row>
    <row r="260" spans="1:13">
      <c r="A260" s="135"/>
      <c r="B260" s="135" t="s">
        <v>457</v>
      </c>
      <c r="C260" s="135"/>
      <c r="D260" s="142">
        <f>SUBTOTAL(109,getAggRechargeModels619[antalPerioden])</f>
        <v>5798</v>
      </c>
      <c r="E260" s="142">
        <f>SUBTOTAL(109,getAggRechargeModels619[antalFGPeriod])</f>
        <v>6133</v>
      </c>
      <c r="F260" s="142">
        <f>SUBTOTAL(109,getAggRechargeModels619[antalÅret])</f>
        <v>29129</v>
      </c>
      <c r="G260" s="142">
        <f>SUBTOTAL(109,getAggRechargeModels619[antalFGAr])</f>
        <v>35079</v>
      </c>
      <c r="H260" s="137">
        <f>IF(getAggRechargeModels619[[#Totals],[antalFGPeriod]] &gt;0,(getAggRechargeModels619[[#Totals],[antalPerioden]] - getAggRechargeModels619[[#Totals],[antalFGPeriod]] ) / getAggRechargeModels619[[#Totals],[antalFGPeriod]] *100,0)</f>
        <v>-5.4622533833360505</v>
      </c>
      <c r="I260" s="137">
        <f>IF(getAggRechargeModels619[[#Totals],[antalFGAr]] &gt; 0,( getAggRechargeModels619[[#Totals],[antalÅret]] - getAggRechargeModels619[[#Totals],[antalFGAr]] ) / getAggRechargeModels619[[#Totals],[antalFGAr]] * 100,0)</f>
        <v>-16.961714986174066</v>
      </c>
      <c r="J260" s="143">
        <f>IF(getAggModelsPB[[#Totals],[antalPerioden]] &gt; 0,getAggRechargeModels619[[#Totals],[antalPerioden]]  / getAggModelsPB[[#Totals],[antalPerioden]] * 100,0)</f>
        <v>20.499946964607716</v>
      </c>
      <c r="K260" s="143">
        <f>IF(getAggModelsPB[[#Totals],[antalÅret]] &gt; 0,getAggRechargeModels619[[#Totals],[antalÅret]]  / getAggModelsPB[[#Totals],[antalÅret]] * 100,0)</f>
        <v>20.70835969657977</v>
      </c>
      <c r="L260" s="143">
        <f>IF(getAggModelsPB[[#Totals],[antalFGPeriod]] &gt; 0,getAggRechargeModels619[[#Totals],[antalFGPeriod]]  / getAggModelsPB[[#Totals],[antalFGPeriod]] * 100,0)</f>
        <v>23.508892977614231</v>
      </c>
      <c r="M260" s="143">
        <f>IF(getAggModelsPB[[#Totals],[antalFGAr]] &gt; 0,getAggRechargeModels619[[#Totals],[antalFGAr]]  / getAggModelsPB[[#Totals],[antalFGAr]] * 100,0)</f>
        <v>24.329666671290454</v>
      </c>
    </row>
    <row r="263" spans="1:13">
      <c r="A263" t="s">
        <v>681</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81</vt:i4>
      </vt:variant>
    </vt:vector>
  </HeadingPairs>
  <TitlesOfParts>
    <vt:vector size="101"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2022-09-06T10:01:43Z</cp:lastPrinted>
  <dcterms:created xsi:type="dcterms:W3CDTF">2020-01-13T13:32:32Z</dcterms:created>
  <dcterms:modified xsi:type="dcterms:W3CDTF">2023-07-04T08:16:44Z</dcterms:modified>
</cp:coreProperties>
</file>