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1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drawings/drawing1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pivotTables/pivotTable2.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drawings/drawing23.xml" ContentType="application/vnd.openxmlformats-officedocument.drawingml.chartshapes+xml"/>
  <Override PartName="/xl/charts/chart11.xml" ContentType="application/vnd.openxmlformats-officedocument.drawingml.chart+xml"/>
  <Override PartName="/xl/theme/themeOverride10.xml" ContentType="application/vnd.openxmlformats-officedocument.themeOverride+xml"/>
  <Override PartName="/xl/drawings/drawing24.xml" ContentType="application/vnd.openxmlformats-officedocument.drawingml.chartshapes+xml"/>
  <Override PartName="/xl/drawings/drawing25.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6.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drawings/drawing28.xml" ContentType="application/vnd.openxmlformats-officedocument.drawingml.chartshapes+xml"/>
  <Override PartName="/xl/charts/chart13.xml" ContentType="application/vnd.openxmlformats-officedocument.drawingml.chart+xml"/>
  <Override PartName="/xl/theme/themeOverride12.xml" ContentType="application/vnd.openxmlformats-officedocument.themeOverride+xml"/>
  <Override PartName="/xl/drawings/drawing29.xml" ContentType="application/vnd.openxmlformats-officedocument.drawingml.chartshapes+xml"/>
  <Override PartName="/xl/drawings/drawing30.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3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drawings/drawing32.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pivotTables/pivotTable3.xml" ContentType="application/vnd.openxmlformats-officedocument.spreadsheetml.pivotTable+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hidePivotFieldList="1"/>
  <mc:AlternateContent xmlns:mc="http://schemas.openxmlformats.org/markup-compatibility/2006">
    <mc:Choice Requires="x15">
      <x15ac:absPath xmlns:x15ac="http://schemas.microsoft.com/office/spreadsheetml/2010/11/ac" url="/Users/bilslr/Desktop/"/>
    </mc:Choice>
  </mc:AlternateContent>
  <xr:revisionPtr revIDLastSave="0" documentId="13_ncr:1_{DB701F6A-1739-EF48-A593-34B888AA4F32}" xr6:coauthVersionLast="47" xr6:coauthVersionMax="47" xr10:uidLastSave="{00000000-0000-0000-0000-000000000000}"/>
  <bookViews>
    <workbookView xWindow="30520" yWindow="500" windowWidth="32300" windowHeight="20160" tabRatio="773" xr2:uid="{00000000-000D-0000-FFFF-FFFF00000000}"/>
  </bookViews>
  <sheets>
    <sheet name="Innehåll" sheetId="1" r:id="rId1"/>
    <sheet name="A. Personbilar" sheetId="2" r:id="rId2"/>
    <sheet name="A.1 Rankinglista PB" sheetId="8" r:id="rId3"/>
    <sheet name="A.2 Fabrikat och modeller PB" sheetId="48"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LLB'!$A$7:$L$34</definedName>
    <definedName name="bdsql12_BDmodell_getAggRechargeModels_1" localSheetId="6" hidden="1">'A.5 Laddbara PB'!$A$41:$M$254</definedName>
    <definedName name="bdsql12_BDmodell_getAggRechargeModels_1" localSheetId="7" hidden="1">'A.51 Elbilar PB'!$A$39:$M$252</definedName>
    <definedName name="bdsql12_BDmodell_getAggRechargeModels_1" localSheetId="8" hidden="1">'A.52 Laddhybrider PB'!$A$40:$M$253</definedName>
    <definedName name="bdsql12_BDmodell_PB" localSheetId="2" hidden="1">'A.1 Rankinglista PB'!$A$7:$L$331</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Fysiska-Juridiska'!$A$8:$Q$64</definedName>
    <definedName name="bdsql12_BDnewRegistrations_getAggMakes" localSheetId="13" hidden="1">'B.2 Fabrikat LLB'!$A$7:$I$28</definedName>
    <definedName name="bdsql12_BDnewRegistrations_getAggPBCO2Emissions" localSheetId="9" hidden="1">'A.7 Koldioxidutsläpp PB'!$B$7:$G$14</definedName>
    <definedName name="bdsql12_BDnewRegistrations_getAggTotalCO2" localSheetId="9" hidden="1">'A.7 Koldioxidutsläpp PB'!$A$152:$B$154</definedName>
    <definedName name="bdsql12_BDnewRegistrationsgetAggPBCO2EmissionsWLTP" localSheetId="9" hidden="1">'A.7 Koldioxidutsläpp PB'!$A$27:$G$35</definedName>
    <definedName name="bdsql12_Transportstyrelsen_sumPrelNyregImportPBTotaler_1" localSheetId="1" hidden="1">'A. Personbilar'!$Q$26:$T$29</definedName>
    <definedName name="CalcAvgCO2Man">'A.7 Koldioxidutsläpp PB'!$B$153</definedName>
    <definedName name="CalcAvgCO2Sum">'A.7 Koldioxidutsläpp PB'!$Q$122</definedName>
    <definedName name="CalcAvgCO2YTD">'A.7 Koldioxidutsläpp PB'!$B$154</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PB'!$E$392</definedName>
    <definedName name="CntPeriod">#REF!</definedName>
    <definedName name="CntPeriodPrevYear" localSheetId="3">'A.2 Fabrikat och modeller PB'!$F$392</definedName>
    <definedName name="CntPeriodPrevYear">#REF!</definedName>
    <definedName name="CntPrevYear" localSheetId="3">'A.2 Fabrikat och modeller PB'!#REF!</definedName>
    <definedName name="CntPrevYear">#REF!</definedName>
    <definedName name="CntPrevYearAck" localSheetId="3">'A.2 Fabrikat och modeller PB'!$K$392</definedName>
    <definedName name="CntPrevYearAck">#REF!</definedName>
    <definedName name="CntYearAck" localSheetId="3">'A.2 Fabrikat och modeller PB'!$J$392</definedName>
    <definedName name="CntYearAck">#REF!</definedName>
    <definedName name="ExternalData_1" localSheetId="5" hidden="1">'A.4 Drivmedel PB'!$A$7:$G$14</definedName>
    <definedName name="ExternalData_1" localSheetId="16" hidden="1">'B.5 Fabrikatlista TLB'!$A$7:$I$15</definedName>
    <definedName name="ExternalData_1" localSheetId="17" hidden="1">'C. Bussar'!$A$31:$I$41</definedName>
    <definedName name="ExternalData_2" localSheetId="17" hidden="1">'C. Bussar'!$A$8:$I$20</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PB'!$B$393</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44" r:id="rId21"/>
    <pivotCache cacheId="45" r:id="rId22"/>
    <pivotCache cacheId="46"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2" i="48" l="1"/>
  <c r="N390" i="48" s="1"/>
  <c r="J392" i="48"/>
  <c r="J393" i="48" s="1"/>
  <c r="F392" i="48"/>
  <c r="E392" i="48"/>
  <c r="L390" i="48"/>
  <c r="H390" i="48"/>
  <c r="G390" i="48"/>
  <c r="C390" i="48"/>
  <c r="L389" i="48"/>
  <c r="I389" i="48"/>
  <c r="G389" i="48"/>
  <c r="C389" i="48"/>
  <c r="M388" i="48"/>
  <c r="L388" i="48"/>
  <c r="I388" i="48"/>
  <c r="H388" i="48"/>
  <c r="G388" i="48"/>
  <c r="C388" i="48"/>
  <c r="M387" i="48"/>
  <c r="L387" i="48"/>
  <c r="I387" i="48"/>
  <c r="H387" i="48"/>
  <c r="G387" i="48"/>
  <c r="C387" i="48"/>
  <c r="N386" i="48"/>
  <c r="M386" i="48"/>
  <c r="L386" i="48"/>
  <c r="H386" i="48"/>
  <c r="G386" i="48"/>
  <c r="C386" i="48"/>
  <c r="M385" i="48"/>
  <c r="L385" i="48"/>
  <c r="I385" i="48"/>
  <c r="H385" i="48"/>
  <c r="G385" i="48"/>
  <c r="C385" i="48"/>
  <c r="N384" i="48"/>
  <c r="M384" i="48"/>
  <c r="L384" i="48"/>
  <c r="H384" i="48"/>
  <c r="G384" i="48"/>
  <c r="C384" i="48"/>
  <c r="M383" i="48"/>
  <c r="L383" i="48"/>
  <c r="I383" i="48"/>
  <c r="H383" i="48"/>
  <c r="G383" i="48"/>
  <c r="C383" i="48"/>
  <c r="N382" i="48"/>
  <c r="L382" i="48"/>
  <c r="H382" i="48"/>
  <c r="G382" i="48"/>
  <c r="C382" i="48"/>
  <c r="N381" i="48"/>
  <c r="L381" i="48"/>
  <c r="I381" i="48"/>
  <c r="H381" i="48"/>
  <c r="G381" i="48"/>
  <c r="C381" i="48"/>
  <c r="N380" i="48"/>
  <c r="M380" i="48"/>
  <c r="L380" i="48"/>
  <c r="G380" i="48"/>
  <c r="C380" i="48"/>
  <c r="N379" i="48"/>
  <c r="M379" i="48"/>
  <c r="L379" i="48"/>
  <c r="I379" i="48"/>
  <c r="G379" i="48"/>
  <c r="C379" i="48"/>
  <c r="N378" i="48"/>
  <c r="L378" i="48"/>
  <c r="G378" i="48"/>
  <c r="C378" i="48"/>
  <c r="N377" i="48"/>
  <c r="L377" i="48"/>
  <c r="I377" i="48"/>
  <c r="G377" i="48"/>
  <c r="C377" i="48"/>
  <c r="N376" i="48"/>
  <c r="L376" i="48"/>
  <c r="I376" i="48"/>
  <c r="G376" i="48"/>
  <c r="C376" i="48"/>
  <c r="N375" i="48"/>
  <c r="L375" i="48"/>
  <c r="I375" i="48"/>
  <c r="H375" i="48"/>
  <c r="G375" i="48"/>
  <c r="C375" i="48"/>
  <c r="N374" i="48"/>
  <c r="M374" i="48"/>
  <c r="L374" i="48"/>
  <c r="I374" i="48"/>
  <c r="H374" i="48"/>
  <c r="G374" i="48"/>
  <c r="C374" i="48"/>
  <c r="N373" i="48"/>
  <c r="L373" i="48"/>
  <c r="I373" i="48"/>
  <c r="G373" i="48"/>
  <c r="C373" i="48"/>
  <c r="N372" i="48"/>
  <c r="M372" i="48"/>
  <c r="L372" i="48"/>
  <c r="I372" i="48"/>
  <c r="G372" i="48"/>
  <c r="C372" i="48"/>
  <c r="N371" i="48"/>
  <c r="M371" i="48"/>
  <c r="L371" i="48"/>
  <c r="I371" i="48"/>
  <c r="H371" i="48"/>
  <c r="G371" i="48"/>
  <c r="C371" i="48"/>
  <c r="N370" i="48"/>
  <c r="M370" i="48"/>
  <c r="L370" i="48"/>
  <c r="I370" i="48"/>
  <c r="G370" i="48"/>
  <c r="C370" i="48"/>
  <c r="N369" i="48"/>
  <c r="L369" i="48"/>
  <c r="I369" i="48"/>
  <c r="H369" i="48"/>
  <c r="G369" i="48"/>
  <c r="C369" i="48"/>
  <c r="N368" i="48"/>
  <c r="M368" i="48"/>
  <c r="L368" i="48"/>
  <c r="I368" i="48"/>
  <c r="G368" i="48"/>
  <c r="C368" i="48"/>
  <c r="N367" i="48"/>
  <c r="L367" i="48"/>
  <c r="I367" i="48"/>
  <c r="H367" i="48"/>
  <c r="G367" i="48"/>
  <c r="C367" i="48"/>
  <c r="N366" i="48"/>
  <c r="M366" i="48"/>
  <c r="L366" i="48"/>
  <c r="I366" i="48"/>
  <c r="G366" i="48"/>
  <c r="C366" i="48"/>
  <c r="N365" i="48"/>
  <c r="L365" i="48"/>
  <c r="I365" i="48"/>
  <c r="G365" i="48"/>
  <c r="C365" i="48"/>
  <c r="N364" i="48"/>
  <c r="M364" i="48"/>
  <c r="L364" i="48"/>
  <c r="I364" i="48"/>
  <c r="G364" i="48"/>
  <c r="C364" i="48"/>
  <c r="N363" i="48"/>
  <c r="M363" i="48"/>
  <c r="L363" i="48"/>
  <c r="I363" i="48"/>
  <c r="H363" i="48"/>
  <c r="G363" i="48"/>
  <c r="C363" i="48"/>
  <c r="N362" i="48"/>
  <c r="M362" i="48"/>
  <c r="L362" i="48"/>
  <c r="I362" i="48"/>
  <c r="H362" i="48"/>
  <c r="G362" i="48"/>
  <c r="C362" i="48"/>
  <c r="N361" i="48"/>
  <c r="L361" i="48"/>
  <c r="I361" i="48"/>
  <c r="H361" i="48"/>
  <c r="G361" i="48"/>
  <c r="C361" i="48"/>
  <c r="N360" i="48"/>
  <c r="M360" i="48"/>
  <c r="L360" i="48"/>
  <c r="I360" i="48"/>
  <c r="G360" i="48"/>
  <c r="C360" i="48"/>
  <c r="N359" i="48"/>
  <c r="L359" i="48"/>
  <c r="I359" i="48"/>
  <c r="H359" i="48"/>
  <c r="G359" i="48"/>
  <c r="C359" i="48"/>
  <c r="N358" i="48"/>
  <c r="M358" i="48"/>
  <c r="L358" i="48"/>
  <c r="I358" i="48"/>
  <c r="G358" i="48"/>
  <c r="C358" i="48"/>
  <c r="N357" i="48"/>
  <c r="M357" i="48"/>
  <c r="L357" i="48"/>
  <c r="I357" i="48"/>
  <c r="G357" i="48"/>
  <c r="C357" i="48"/>
  <c r="N356" i="48"/>
  <c r="M356" i="48"/>
  <c r="L356" i="48"/>
  <c r="I356" i="48"/>
  <c r="G356" i="48"/>
  <c r="C356" i="48"/>
  <c r="N355" i="48"/>
  <c r="M355" i="48"/>
  <c r="L355" i="48"/>
  <c r="I355" i="48"/>
  <c r="H355" i="48"/>
  <c r="G355" i="48"/>
  <c r="C355" i="48"/>
  <c r="N354" i="48"/>
  <c r="M354" i="48"/>
  <c r="L354" i="48"/>
  <c r="I354" i="48"/>
  <c r="H354" i="48"/>
  <c r="G354" i="48"/>
  <c r="C354" i="48"/>
  <c r="N353" i="48"/>
  <c r="L353" i="48"/>
  <c r="I353" i="48"/>
  <c r="H353" i="48"/>
  <c r="G353" i="48"/>
  <c r="C353" i="48"/>
  <c r="N352" i="48"/>
  <c r="M352" i="48"/>
  <c r="L352" i="48"/>
  <c r="I352" i="48"/>
  <c r="H352" i="48"/>
  <c r="G352" i="48"/>
  <c r="C352" i="48"/>
  <c r="N351" i="48"/>
  <c r="L351" i="48"/>
  <c r="I351" i="48"/>
  <c r="H351" i="48"/>
  <c r="G351" i="48"/>
  <c r="C351" i="48"/>
  <c r="N350" i="48"/>
  <c r="M350" i="48"/>
  <c r="L350" i="48"/>
  <c r="I350" i="48"/>
  <c r="H350" i="48"/>
  <c r="G350" i="48"/>
  <c r="C350" i="48"/>
  <c r="N349" i="48"/>
  <c r="M349" i="48"/>
  <c r="L349" i="48"/>
  <c r="I349" i="48"/>
  <c r="H349" i="48"/>
  <c r="G349" i="48"/>
  <c r="C349" i="48"/>
  <c r="N348" i="48"/>
  <c r="M348" i="48"/>
  <c r="L348" i="48"/>
  <c r="I348" i="48"/>
  <c r="H348" i="48"/>
  <c r="G348" i="48"/>
  <c r="C348" i="48"/>
  <c r="N347" i="48"/>
  <c r="M347" i="48"/>
  <c r="L347" i="48"/>
  <c r="I347" i="48"/>
  <c r="H347" i="48"/>
  <c r="G347" i="48"/>
  <c r="C347" i="48"/>
  <c r="N346" i="48"/>
  <c r="M346" i="48"/>
  <c r="L346" i="48"/>
  <c r="I346" i="48"/>
  <c r="G346" i="48"/>
  <c r="C346" i="48"/>
  <c r="N345" i="48"/>
  <c r="M345" i="48"/>
  <c r="L345" i="48"/>
  <c r="I345" i="48"/>
  <c r="H345" i="48"/>
  <c r="G345" i="48"/>
  <c r="C345" i="48"/>
  <c r="N344" i="48"/>
  <c r="M344" i="48"/>
  <c r="L344" i="48"/>
  <c r="I344" i="48"/>
  <c r="H344" i="48"/>
  <c r="G344" i="48"/>
  <c r="C344" i="48"/>
  <c r="N343" i="48"/>
  <c r="M343" i="48"/>
  <c r="L343" i="48"/>
  <c r="I343" i="48"/>
  <c r="H343" i="48"/>
  <c r="G343" i="48"/>
  <c r="C343" i="48"/>
  <c r="N342" i="48"/>
  <c r="M342" i="48"/>
  <c r="L342" i="48"/>
  <c r="I342" i="48"/>
  <c r="G342" i="48"/>
  <c r="C342" i="48"/>
  <c r="N341" i="48"/>
  <c r="M341" i="48"/>
  <c r="L341" i="48"/>
  <c r="I341" i="48"/>
  <c r="H341" i="48"/>
  <c r="G341" i="48"/>
  <c r="C341" i="48"/>
  <c r="N340" i="48"/>
  <c r="M340" i="48"/>
  <c r="L340" i="48"/>
  <c r="I340" i="48"/>
  <c r="G340" i="48"/>
  <c r="C340" i="48"/>
  <c r="N339" i="48"/>
  <c r="M339" i="48"/>
  <c r="L339" i="48"/>
  <c r="I339" i="48"/>
  <c r="H339" i="48"/>
  <c r="G339" i="48"/>
  <c r="C339" i="48"/>
  <c r="N338" i="48"/>
  <c r="M338" i="48"/>
  <c r="L338" i="48"/>
  <c r="I338" i="48"/>
  <c r="H338" i="48"/>
  <c r="G338" i="48"/>
  <c r="C338" i="48"/>
  <c r="N337" i="48"/>
  <c r="M337" i="48"/>
  <c r="L337" i="48"/>
  <c r="I337" i="48"/>
  <c r="H337" i="48"/>
  <c r="G337" i="48"/>
  <c r="C337" i="48"/>
  <c r="N336" i="48"/>
  <c r="M336" i="48"/>
  <c r="L336" i="48"/>
  <c r="I336" i="48"/>
  <c r="H336" i="48"/>
  <c r="G336" i="48"/>
  <c r="C336" i="48"/>
  <c r="N335" i="48"/>
  <c r="M335" i="48"/>
  <c r="L335" i="48"/>
  <c r="I335" i="48"/>
  <c r="H335" i="48"/>
  <c r="G335" i="48"/>
  <c r="C335" i="48"/>
  <c r="N334" i="48"/>
  <c r="M334" i="48"/>
  <c r="L334" i="48"/>
  <c r="I334" i="48"/>
  <c r="G334" i="48"/>
  <c r="C334" i="48"/>
  <c r="N333" i="48"/>
  <c r="M333" i="48"/>
  <c r="L333" i="48"/>
  <c r="I333" i="48"/>
  <c r="H333" i="48"/>
  <c r="G333" i="48"/>
  <c r="C333" i="48"/>
  <c r="N332" i="48"/>
  <c r="M332" i="48"/>
  <c r="L332" i="48"/>
  <c r="I332" i="48"/>
  <c r="H332" i="48"/>
  <c r="G332" i="48"/>
  <c r="C332" i="48"/>
  <c r="N331" i="48"/>
  <c r="M331" i="48"/>
  <c r="L331" i="48"/>
  <c r="I331" i="48"/>
  <c r="H331" i="48"/>
  <c r="G331" i="48"/>
  <c r="C331" i="48"/>
  <c r="N330" i="48"/>
  <c r="M330" i="48"/>
  <c r="L330" i="48"/>
  <c r="I330" i="48"/>
  <c r="H330" i="48"/>
  <c r="G330" i="48"/>
  <c r="C330" i="48"/>
  <c r="N329" i="48"/>
  <c r="M329" i="48"/>
  <c r="L329" i="48"/>
  <c r="I329" i="48"/>
  <c r="H329" i="48"/>
  <c r="G329" i="48"/>
  <c r="C329" i="48"/>
  <c r="N328" i="48"/>
  <c r="M328" i="48"/>
  <c r="L328" i="48"/>
  <c r="I328" i="48"/>
  <c r="H328" i="48"/>
  <c r="G328" i="48"/>
  <c r="C328" i="48"/>
  <c r="N327" i="48"/>
  <c r="M327" i="48"/>
  <c r="L327" i="48"/>
  <c r="I327" i="48"/>
  <c r="H327" i="48"/>
  <c r="G327" i="48"/>
  <c r="C327" i="48"/>
  <c r="N326" i="48"/>
  <c r="M326" i="48"/>
  <c r="L326" i="48"/>
  <c r="I326" i="48"/>
  <c r="H326" i="48"/>
  <c r="G326" i="48"/>
  <c r="C326" i="48"/>
  <c r="N325" i="48"/>
  <c r="M325" i="48"/>
  <c r="L325" i="48"/>
  <c r="I325" i="48"/>
  <c r="H325" i="48"/>
  <c r="G325" i="48"/>
  <c r="C325" i="48"/>
  <c r="N324" i="48"/>
  <c r="M324" i="48"/>
  <c r="L324" i="48"/>
  <c r="I324" i="48"/>
  <c r="H324" i="48"/>
  <c r="G324" i="48"/>
  <c r="C324" i="48"/>
  <c r="N323" i="48"/>
  <c r="M323" i="48"/>
  <c r="L323" i="48"/>
  <c r="I323" i="48"/>
  <c r="H323" i="48"/>
  <c r="G323" i="48"/>
  <c r="C323" i="48"/>
  <c r="N322" i="48"/>
  <c r="M322" i="48"/>
  <c r="L322" i="48"/>
  <c r="I322" i="48"/>
  <c r="H322" i="48"/>
  <c r="G322" i="48"/>
  <c r="C322" i="48"/>
  <c r="N321" i="48"/>
  <c r="M321" i="48"/>
  <c r="L321" i="48"/>
  <c r="I321" i="48"/>
  <c r="H321" i="48"/>
  <c r="G321" i="48"/>
  <c r="C321" i="48"/>
  <c r="N320" i="48"/>
  <c r="M320" i="48"/>
  <c r="L320" i="48"/>
  <c r="I320" i="48"/>
  <c r="H320" i="48"/>
  <c r="G320" i="48"/>
  <c r="C320" i="48"/>
  <c r="N319" i="48"/>
  <c r="M319" i="48"/>
  <c r="L319" i="48"/>
  <c r="I319" i="48"/>
  <c r="H319" i="48"/>
  <c r="G319" i="48"/>
  <c r="C319" i="48"/>
  <c r="N318" i="48"/>
  <c r="M318" i="48"/>
  <c r="L318" i="48"/>
  <c r="I318" i="48"/>
  <c r="H318" i="48"/>
  <c r="G318" i="48"/>
  <c r="C318" i="48"/>
  <c r="N317" i="48"/>
  <c r="M317" i="48"/>
  <c r="L317" i="48"/>
  <c r="I317" i="48"/>
  <c r="H317" i="48"/>
  <c r="G317" i="48"/>
  <c r="C317" i="48"/>
  <c r="N316" i="48"/>
  <c r="M316" i="48"/>
  <c r="L316" i="48"/>
  <c r="I316" i="48"/>
  <c r="H316" i="48"/>
  <c r="G316" i="48"/>
  <c r="C316" i="48"/>
  <c r="N315" i="48"/>
  <c r="M315" i="48"/>
  <c r="L315" i="48"/>
  <c r="I315" i="48"/>
  <c r="H315" i="48"/>
  <c r="G315" i="48"/>
  <c r="C315" i="48"/>
  <c r="N314" i="48"/>
  <c r="M314" i="48"/>
  <c r="L314" i="48"/>
  <c r="I314" i="48"/>
  <c r="H314" i="48"/>
  <c r="G314" i="48"/>
  <c r="C314" i="48"/>
  <c r="N313" i="48"/>
  <c r="M313" i="48"/>
  <c r="L313" i="48"/>
  <c r="I313" i="48"/>
  <c r="H313" i="48"/>
  <c r="G313" i="48"/>
  <c r="C313" i="48"/>
  <c r="N312" i="48"/>
  <c r="M312" i="48"/>
  <c r="L312" i="48"/>
  <c r="I312" i="48"/>
  <c r="H312" i="48"/>
  <c r="G312" i="48"/>
  <c r="C312" i="48"/>
  <c r="N311" i="48"/>
  <c r="M311" i="48"/>
  <c r="L311" i="48"/>
  <c r="I311" i="48"/>
  <c r="H311" i="48"/>
  <c r="G311" i="48"/>
  <c r="C311" i="48"/>
  <c r="N310" i="48"/>
  <c r="M310" i="48"/>
  <c r="L310" i="48"/>
  <c r="I310" i="48"/>
  <c r="H310" i="48"/>
  <c r="G310" i="48"/>
  <c r="C310" i="48"/>
  <c r="N309" i="48"/>
  <c r="M309" i="48"/>
  <c r="L309" i="48"/>
  <c r="I309" i="48"/>
  <c r="H309" i="48"/>
  <c r="G309" i="48"/>
  <c r="C309" i="48"/>
  <c r="N308" i="48"/>
  <c r="M308" i="48"/>
  <c r="L308" i="48"/>
  <c r="I308" i="48"/>
  <c r="H308" i="48"/>
  <c r="G308" i="48"/>
  <c r="C308" i="48"/>
  <c r="N307" i="48"/>
  <c r="M307" i="48"/>
  <c r="L307" i="48"/>
  <c r="I307" i="48"/>
  <c r="H307" i="48"/>
  <c r="G307" i="48"/>
  <c r="C307" i="48"/>
  <c r="N306" i="48"/>
  <c r="M306" i="48"/>
  <c r="L306" i="48"/>
  <c r="I306" i="48"/>
  <c r="H306" i="48"/>
  <c r="G306" i="48"/>
  <c r="C306" i="48"/>
  <c r="N305" i="48"/>
  <c r="M305" i="48"/>
  <c r="L305" i="48"/>
  <c r="I305" i="48"/>
  <c r="H305" i="48"/>
  <c r="G305" i="48"/>
  <c r="C305" i="48"/>
  <c r="N304" i="48"/>
  <c r="M304" i="48"/>
  <c r="L304" i="48"/>
  <c r="I304" i="48"/>
  <c r="H304" i="48"/>
  <c r="G304" i="48"/>
  <c r="C304" i="48"/>
  <c r="N303" i="48"/>
  <c r="M303" i="48"/>
  <c r="L303" i="48"/>
  <c r="I303" i="48"/>
  <c r="H303" i="48"/>
  <c r="G303" i="48"/>
  <c r="C303" i="48"/>
  <c r="N302" i="48"/>
  <c r="M302" i="48"/>
  <c r="L302" i="48"/>
  <c r="I302" i="48"/>
  <c r="H302" i="48"/>
  <c r="G302" i="48"/>
  <c r="C302" i="48"/>
  <c r="N301" i="48"/>
  <c r="M301" i="48"/>
  <c r="L301" i="48"/>
  <c r="I301" i="48"/>
  <c r="H301" i="48"/>
  <c r="G301" i="48"/>
  <c r="C301" i="48"/>
  <c r="N300" i="48"/>
  <c r="M300" i="48"/>
  <c r="L300" i="48"/>
  <c r="I300" i="48"/>
  <c r="H300" i="48"/>
  <c r="G300" i="48"/>
  <c r="C300" i="48"/>
  <c r="N299" i="48"/>
  <c r="M299" i="48"/>
  <c r="L299" i="48"/>
  <c r="I299" i="48"/>
  <c r="H299" i="48"/>
  <c r="G299" i="48"/>
  <c r="C299" i="48"/>
  <c r="N298" i="48"/>
  <c r="M298" i="48"/>
  <c r="L298" i="48"/>
  <c r="I298" i="48"/>
  <c r="H298" i="48"/>
  <c r="G298" i="48"/>
  <c r="C298" i="48"/>
  <c r="N297" i="48"/>
  <c r="M297" i="48"/>
  <c r="L297" i="48"/>
  <c r="I297" i="48"/>
  <c r="H297" i="48"/>
  <c r="G297" i="48"/>
  <c r="C297" i="48"/>
  <c r="N296" i="48"/>
  <c r="M296" i="48"/>
  <c r="L296" i="48"/>
  <c r="I296" i="48"/>
  <c r="H296" i="48"/>
  <c r="G296" i="48"/>
  <c r="C296" i="48"/>
  <c r="N295" i="48"/>
  <c r="M295" i="48"/>
  <c r="L295" i="48"/>
  <c r="I295" i="48"/>
  <c r="H295" i="48"/>
  <c r="G295" i="48"/>
  <c r="C295" i="48"/>
  <c r="N294" i="48"/>
  <c r="M294" i="48"/>
  <c r="L294" i="48"/>
  <c r="I294" i="48"/>
  <c r="H294" i="48"/>
  <c r="G294" i="48"/>
  <c r="C294" i="48"/>
  <c r="N293" i="48"/>
  <c r="M293" i="48"/>
  <c r="L293" i="48"/>
  <c r="I293" i="48"/>
  <c r="H293" i="48"/>
  <c r="G293" i="48"/>
  <c r="C293" i="48"/>
  <c r="N292" i="48"/>
  <c r="M292" i="48"/>
  <c r="L292" i="48"/>
  <c r="I292" i="48"/>
  <c r="H292" i="48"/>
  <c r="G292" i="48"/>
  <c r="C292" i="48"/>
  <c r="N291" i="48"/>
  <c r="M291" i="48"/>
  <c r="L291" i="48"/>
  <c r="I291" i="48"/>
  <c r="H291" i="48"/>
  <c r="G291" i="48"/>
  <c r="C291" i="48"/>
  <c r="N290" i="48"/>
  <c r="M290" i="48"/>
  <c r="L290" i="48"/>
  <c r="I290" i="48"/>
  <c r="H290" i="48"/>
  <c r="G290" i="48"/>
  <c r="C290" i="48"/>
  <c r="N289" i="48"/>
  <c r="M289" i="48"/>
  <c r="L289" i="48"/>
  <c r="I289" i="48"/>
  <c r="H289" i="48"/>
  <c r="G289" i="48"/>
  <c r="C289" i="48"/>
  <c r="N288" i="48"/>
  <c r="M288" i="48"/>
  <c r="L288" i="48"/>
  <c r="I288" i="48"/>
  <c r="H288" i="48"/>
  <c r="G288" i="48"/>
  <c r="C288" i="48"/>
  <c r="N287" i="48"/>
  <c r="M287" i="48"/>
  <c r="L287" i="48"/>
  <c r="I287" i="48"/>
  <c r="H287" i="48"/>
  <c r="G287" i="48"/>
  <c r="C287" i="48"/>
  <c r="N286" i="48"/>
  <c r="M286" i="48"/>
  <c r="L286" i="48"/>
  <c r="I286" i="48"/>
  <c r="H286" i="48"/>
  <c r="G286" i="48"/>
  <c r="C286" i="48"/>
  <c r="N285" i="48"/>
  <c r="M285" i="48"/>
  <c r="L285" i="48"/>
  <c r="I285" i="48"/>
  <c r="H285" i="48"/>
  <c r="G285" i="48"/>
  <c r="C285" i="48"/>
  <c r="N284" i="48"/>
  <c r="M284" i="48"/>
  <c r="L284" i="48"/>
  <c r="I284" i="48"/>
  <c r="H284" i="48"/>
  <c r="G284" i="48"/>
  <c r="C284" i="48"/>
  <c r="N283" i="48"/>
  <c r="M283" i="48"/>
  <c r="L283" i="48"/>
  <c r="I283" i="48"/>
  <c r="H283" i="48"/>
  <c r="G283" i="48"/>
  <c r="C283" i="48"/>
  <c r="N282" i="48"/>
  <c r="M282" i="48"/>
  <c r="L282" i="48"/>
  <c r="I282" i="48"/>
  <c r="H282" i="48"/>
  <c r="G282" i="48"/>
  <c r="C282" i="48"/>
  <c r="N281" i="48"/>
  <c r="M281" i="48"/>
  <c r="L281" i="48"/>
  <c r="I281" i="48"/>
  <c r="H281" i="48"/>
  <c r="G281" i="48"/>
  <c r="C281" i="48"/>
  <c r="N280" i="48"/>
  <c r="M280" i="48"/>
  <c r="L280" i="48"/>
  <c r="I280" i="48"/>
  <c r="H280" i="48"/>
  <c r="G280" i="48"/>
  <c r="C280" i="48"/>
  <c r="N279" i="48"/>
  <c r="M279" i="48"/>
  <c r="L279" i="48"/>
  <c r="I279" i="48"/>
  <c r="H279" i="48"/>
  <c r="G279" i="48"/>
  <c r="C279" i="48"/>
  <c r="N278" i="48"/>
  <c r="M278" i="48"/>
  <c r="L278" i="48"/>
  <c r="I278" i="48"/>
  <c r="H278" i="48"/>
  <c r="G278" i="48"/>
  <c r="C278" i="48"/>
  <c r="N277" i="48"/>
  <c r="M277" i="48"/>
  <c r="L277" i="48"/>
  <c r="I277" i="48"/>
  <c r="H277" i="48"/>
  <c r="G277" i="48"/>
  <c r="C277" i="48"/>
  <c r="N276" i="48"/>
  <c r="M276" i="48"/>
  <c r="L276" i="48"/>
  <c r="I276" i="48"/>
  <c r="H276" i="48"/>
  <c r="G276" i="48"/>
  <c r="C276" i="48"/>
  <c r="N275" i="48"/>
  <c r="M275" i="48"/>
  <c r="L275" i="48"/>
  <c r="I275" i="48"/>
  <c r="H275" i="48"/>
  <c r="G275" i="48"/>
  <c r="C275" i="48"/>
  <c r="N274" i="48"/>
  <c r="M274" i="48"/>
  <c r="L274" i="48"/>
  <c r="I274" i="48"/>
  <c r="H274" i="48"/>
  <c r="G274" i="48"/>
  <c r="C274" i="48"/>
  <c r="N273" i="48"/>
  <c r="M273" i="48"/>
  <c r="L273" i="48"/>
  <c r="I273" i="48"/>
  <c r="H273" i="48"/>
  <c r="G273" i="48"/>
  <c r="C273" i="48"/>
  <c r="N272" i="48"/>
  <c r="M272" i="48"/>
  <c r="L272" i="48"/>
  <c r="I272" i="48"/>
  <c r="H272" i="48"/>
  <c r="G272" i="48"/>
  <c r="C272" i="48"/>
  <c r="N271" i="48"/>
  <c r="M271" i="48"/>
  <c r="L271" i="48"/>
  <c r="I271" i="48"/>
  <c r="H271" i="48"/>
  <c r="G271" i="48"/>
  <c r="C271" i="48"/>
  <c r="N270" i="48"/>
  <c r="M270" i="48"/>
  <c r="L270" i="48"/>
  <c r="I270" i="48"/>
  <c r="H270" i="48"/>
  <c r="G270" i="48"/>
  <c r="C270" i="48"/>
  <c r="N269" i="48"/>
  <c r="M269" i="48"/>
  <c r="L269" i="48"/>
  <c r="I269" i="48"/>
  <c r="H269" i="48"/>
  <c r="G269" i="48"/>
  <c r="C269" i="48"/>
  <c r="N268" i="48"/>
  <c r="M268" i="48"/>
  <c r="L268" i="48"/>
  <c r="I268" i="48"/>
  <c r="H268" i="48"/>
  <c r="G268" i="48"/>
  <c r="C268" i="48"/>
  <c r="N267" i="48"/>
  <c r="M267" i="48"/>
  <c r="L267" i="48"/>
  <c r="I267" i="48"/>
  <c r="H267" i="48"/>
  <c r="G267" i="48"/>
  <c r="C267" i="48"/>
  <c r="N266" i="48"/>
  <c r="M266" i="48"/>
  <c r="L266" i="48"/>
  <c r="I266" i="48"/>
  <c r="H266" i="48"/>
  <c r="G266" i="48"/>
  <c r="C266" i="48"/>
  <c r="N265" i="48"/>
  <c r="M265" i="48"/>
  <c r="L265" i="48"/>
  <c r="I265" i="48"/>
  <c r="H265" i="48"/>
  <c r="G265" i="48"/>
  <c r="C265" i="48"/>
  <c r="N264" i="48"/>
  <c r="M264" i="48"/>
  <c r="L264" i="48"/>
  <c r="I264" i="48"/>
  <c r="H264" i="48"/>
  <c r="G264" i="48"/>
  <c r="C264" i="48"/>
  <c r="N263" i="48"/>
  <c r="M263" i="48"/>
  <c r="L263" i="48"/>
  <c r="I263" i="48"/>
  <c r="H263" i="48"/>
  <c r="G263" i="48"/>
  <c r="C263" i="48"/>
  <c r="N262" i="48"/>
  <c r="M262" i="48"/>
  <c r="L262" i="48"/>
  <c r="I262" i="48"/>
  <c r="H262" i="48"/>
  <c r="G262" i="48"/>
  <c r="C262" i="48"/>
  <c r="N261" i="48"/>
  <c r="M261" i="48"/>
  <c r="L261" i="48"/>
  <c r="I261" i="48"/>
  <c r="H261" i="48"/>
  <c r="G261" i="48"/>
  <c r="C261" i="48"/>
  <c r="N260" i="48"/>
  <c r="M260" i="48"/>
  <c r="L260" i="48"/>
  <c r="I260" i="48"/>
  <c r="H260" i="48"/>
  <c r="G260" i="48"/>
  <c r="C260" i="48"/>
  <c r="N259" i="48"/>
  <c r="M259" i="48"/>
  <c r="L259" i="48"/>
  <c r="I259" i="48"/>
  <c r="H259" i="48"/>
  <c r="G259" i="48"/>
  <c r="C259" i="48"/>
  <c r="N258" i="48"/>
  <c r="M258" i="48"/>
  <c r="L258" i="48"/>
  <c r="I258" i="48"/>
  <c r="H258" i="48"/>
  <c r="G258" i="48"/>
  <c r="C258" i="48"/>
  <c r="N257" i="48"/>
  <c r="M257" i="48"/>
  <c r="L257" i="48"/>
  <c r="I257" i="48"/>
  <c r="H257" i="48"/>
  <c r="G257" i="48"/>
  <c r="C257" i="48"/>
  <c r="N256" i="48"/>
  <c r="M256" i="48"/>
  <c r="L256" i="48"/>
  <c r="I256" i="48"/>
  <c r="H256" i="48"/>
  <c r="G256" i="48"/>
  <c r="C256" i="48"/>
  <c r="N255" i="48"/>
  <c r="M255" i="48"/>
  <c r="L255" i="48"/>
  <c r="I255" i="48"/>
  <c r="H255" i="48"/>
  <c r="G255" i="48"/>
  <c r="C255" i="48"/>
  <c r="N254" i="48"/>
  <c r="M254" i="48"/>
  <c r="L254" i="48"/>
  <c r="I254" i="48"/>
  <c r="H254" i="48"/>
  <c r="G254" i="48"/>
  <c r="C254" i="48"/>
  <c r="N253" i="48"/>
  <c r="M253" i="48"/>
  <c r="L253" i="48"/>
  <c r="I253" i="48"/>
  <c r="H253" i="48"/>
  <c r="G253" i="48"/>
  <c r="C253" i="48"/>
  <c r="N252" i="48"/>
  <c r="M252" i="48"/>
  <c r="L252" i="48"/>
  <c r="I252" i="48"/>
  <c r="H252" i="48"/>
  <c r="G252" i="48"/>
  <c r="C252" i="48"/>
  <c r="N251" i="48"/>
  <c r="M251" i="48"/>
  <c r="L251" i="48"/>
  <c r="I251" i="48"/>
  <c r="H251" i="48"/>
  <c r="G251" i="48"/>
  <c r="C251" i="48"/>
  <c r="N250" i="48"/>
  <c r="M250" i="48"/>
  <c r="L250" i="48"/>
  <c r="I250" i="48"/>
  <c r="H250" i="48"/>
  <c r="G250" i="48"/>
  <c r="C250" i="48"/>
  <c r="N249" i="48"/>
  <c r="M249" i="48"/>
  <c r="L249" i="48"/>
  <c r="I249" i="48"/>
  <c r="H249" i="48"/>
  <c r="G249" i="48"/>
  <c r="C249" i="48"/>
  <c r="N248" i="48"/>
  <c r="M248" i="48"/>
  <c r="L248" i="48"/>
  <c r="I248" i="48"/>
  <c r="H248" i="48"/>
  <c r="G248" i="48"/>
  <c r="C248" i="48"/>
  <c r="N247" i="48"/>
  <c r="M247" i="48"/>
  <c r="L247" i="48"/>
  <c r="I247" i="48"/>
  <c r="H247" i="48"/>
  <c r="G247" i="48"/>
  <c r="C247" i="48"/>
  <c r="N246" i="48"/>
  <c r="M246" i="48"/>
  <c r="L246" i="48"/>
  <c r="I246" i="48"/>
  <c r="H246" i="48"/>
  <c r="G246" i="48"/>
  <c r="C246" i="48"/>
  <c r="N245" i="48"/>
  <c r="M245" i="48"/>
  <c r="L245" i="48"/>
  <c r="I245" i="48"/>
  <c r="H245" i="48"/>
  <c r="G245" i="48"/>
  <c r="C245" i="48"/>
  <c r="N244" i="48"/>
  <c r="M244" i="48"/>
  <c r="L244" i="48"/>
  <c r="I244" i="48"/>
  <c r="H244" i="48"/>
  <c r="G244" i="48"/>
  <c r="C244" i="48"/>
  <c r="N243" i="48"/>
  <c r="M243" i="48"/>
  <c r="L243" i="48"/>
  <c r="I243" i="48"/>
  <c r="H243" i="48"/>
  <c r="G243" i="48"/>
  <c r="C243" i="48"/>
  <c r="N242" i="48"/>
  <c r="M242" i="48"/>
  <c r="L242" i="48"/>
  <c r="I242" i="48"/>
  <c r="H242" i="48"/>
  <c r="G242" i="48"/>
  <c r="C242" i="48"/>
  <c r="N241" i="48"/>
  <c r="M241" i="48"/>
  <c r="L241" i="48"/>
  <c r="I241" i="48"/>
  <c r="H241" i="48"/>
  <c r="G241" i="48"/>
  <c r="C241" i="48"/>
  <c r="N240" i="48"/>
  <c r="M240" i="48"/>
  <c r="L240" i="48"/>
  <c r="I240" i="48"/>
  <c r="H240" i="48"/>
  <c r="G240" i="48"/>
  <c r="C240" i="48"/>
  <c r="N239" i="48"/>
  <c r="M239" i="48"/>
  <c r="L239" i="48"/>
  <c r="I239" i="48"/>
  <c r="H239" i="48"/>
  <c r="G239" i="48"/>
  <c r="C239" i="48"/>
  <c r="N238" i="48"/>
  <c r="M238" i="48"/>
  <c r="L238" i="48"/>
  <c r="I238" i="48"/>
  <c r="H238" i="48"/>
  <c r="G238" i="48"/>
  <c r="C238" i="48"/>
  <c r="N237" i="48"/>
  <c r="M237" i="48"/>
  <c r="L237" i="48"/>
  <c r="I237" i="48"/>
  <c r="H237" i="48"/>
  <c r="G237" i="48"/>
  <c r="C237" i="48"/>
  <c r="N236" i="48"/>
  <c r="M236" i="48"/>
  <c r="L236" i="48"/>
  <c r="I236" i="48"/>
  <c r="H236" i="48"/>
  <c r="G236" i="48"/>
  <c r="C236" i="48"/>
  <c r="N235" i="48"/>
  <c r="M235" i="48"/>
  <c r="L235" i="48"/>
  <c r="I235" i="48"/>
  <c r="H235" i="48"/>
  <c r="G235" i="48"/>
  <c r="C235" i="48"/>
  <c r="N234" i="48"/>
  <c r="M234" i="48"/>
  <c r="L234" i="48"/>
  <c r="I234" i="48"/>
  <c r="H234" i="48"/>
  <c r="G234" i="48"/>
  <c r="C234" i="48"/>
  <c r="N233" i="48"/>
  <c r="M233" i="48"/>
  <c r="L233" i="48"/>
  <c r="I233" i="48"/>
  <c r="H233" i="48"/>
  <c r="G233" i="48"/>
  <c r="C233" i="48"/>
  <c r="N232" i="48"/>
  <c r="M232" i="48"/>
  <c r="L232" i="48"/>
  <c r="I232" i="48"/>
  <c r="H232" i="48"/>
  <c r="G232" i="48"/>
  <c r="C232" i="48"/>
  <c r="N231" i="48"/>
  <c r="M231" i="48"/>
  <c r="L231" i="48"/>
  <c r="I231" i="48"/>
  <c r="H231" i="48"/>
  <c r="G231" i="48"/>
  <c r="C231" i="48"/>
  <c r="N230" i="48"/>
  <c r="M230" i="48"/>
  <c r="L230" i="48"/>
  <c r="I230" i="48"/>
  <c r="H230" i="48"/>
  <c r="G230" i="48"/>
  <c r="C230" i="48"/>
  <c r="N229" i="48"/>
  <c r="M229" i="48"/>
  <c r="L229" i="48"/>
  <c r="I229" i="48"/>
  <c r="H229" i="48"/>
  <c r="G229" i="48"/>
  <c r="C229" i="48"/>
  <c r="N228" i="48"/>
  <c r="M228" i="48"/>
  <c r="L228" i="48"/>
  <c r="I228" i="48"/>
  <c r="H228" i="48"/>
  <c r="G228" i="48"/>
  <c r="C228" i="48"/>
  <c r="N227" i="48"/>
  <c r="M227" i="48"/>
  <c r="L227" i="48"/>
  <c r="I227" i="48"/>
  <c r="H227" i="48"/>
  <c r="G227" i="48"/>
  <c r="C227" i="48"/>
  <c r="N226" i="48"/>
  <c r="M226" i="48"/>
  <c r="L226" i="48"/>
  <c r="I226" i="48"/>
  <c r="H226" i="48"/>
  <c r="G226" i="48"/>
  <c r="C226" i="48"/>
  <c r="N225" i="48"/>
  <c r="M225" i="48"/>
  <c r="L225" i="48"/>
  <c r="I225" i="48"/>
  <c r="H225" i="48"/>
  <c r="G225" i="48"/>
  <c r="C225" i="48"/>
  <c r="N224" i="48"/>
  <c r="M224" i="48"/>
  <c r="L224" i="48"/>
  <c r="I224" i="48"/>
  <c r="H224" i="48"/>
  <c r="G224" i="48"/>
  <c r="C224" i="48"/>
  <c r="N223" i="48"/>
  <c r="M223" i="48"/>
  <c r="L223" i="48"/>
  <c r="I223" i="48"/>
  <c r="H223" i="48"/>
  <c r="G223" i="48"/>
  <c r="C223" i="48"/>
  <c r="N222" i="48"/>
  <c r="M222" i="48"/>
  <c r="L222" i="48"/>
  <c r="I222" i="48"/>
  <c r="H222" i="48"/>
  <c r="G222" i="48"/>
  <c r="C222" i="48"/>
  <c r="N221" i="48"/>
  <c r="M221" i="48"/>
  <c r="L221" i="48"/>
  <c r="I221" i="48"/>
  <c r="H221" i="48"/>
  <c r="G221" i="48"/>
  <c r="C221" i="48"/>
  <c r="N220" i="48"/>
  <c r="M220" i="48"/>
  <c r="L220" i="48"/>
  <c r="I220" i="48"/>
  <c r="H220" i="48"/>
  <c r="G220" i="48"/>
  <c r="C220" i="48"/>
  <c r="N219" i="48"/>
  <c r="M219" i="48"/>
  <c r="L219" i="48"/>
  <c r="I219" i="48"/>
  <c r="H219" i="48"/>
  <c r="G219" i="48"/>
  <c r="C219" i="48"/>
  <c r="N218" i="48"/>
  <c r="M218" i="48"/>
  <c r="L218" i="48"/>
  <c r="I218" i="48"/>
  <c r="H218" i="48"/>
  <c r="G218" i="48"/>
  <c r="C218" i="48"/>
  <c r="N217" i="48"/>
  <c r="M217" i="48"/>
  <c r="L217" i="48"/>
  <c r="I217" i="48"/>
  <c r="H217" i="48"/>
  <c r="G217" i="48"/>
  <c r="C217" i="48"/>
  <c r="N216" i="48"/>
  <c r="M216" i="48"/>
  <c r="L216" i="48"/>
  <c r="I216" i="48"/>
  <c r="H216" i="48"/>
  <c r="G216" i="48"/>
  <c r="C216" i="48"/>
  <c r="N215" i="48"/>
  <c r="M215" i="48"/>
  <c r="L215" i="48"/>
  <c r="I215" i="48"/>
  <c r="H215" i="48"/>
  <c r="G215" i="48"/>
  <c r="C215" i="48"/>
  <c r="N214" i="48"/>
  <c r="M214" i="48"/>
  <c r="L214" i="48"/>
  <c r="I214" i="48"/>
  <c r="H214" i="48"/>
  <c r="G214" i="48"/>
  <c r="C214" i="48"/>
  <c r="N213" i="48"/>
  <c r="M213" i="48"/>
  <c r="L213" i="48"/>
  <c r="I213" i="48"/>
  <c r="H213" i="48"/>
  <c r="G213" i="48"/>
  <c r="C213" i="48"/>
  <c r="N212" i="48"/>
  <c r="M212" i="48"/>
  <c r="L212" i="48"/>
  <c r="I212" i="48"/>
  <c r="H212" i="48"/>
  <c r="G212" i="48"/>
  <c r="C212" i="48"/>
  <c r="N211" i="48"/>
  <c r="M211" i="48"/>
  <c r="L211" i="48"/>
  <c r="I211" i="48"/>
  <c r="H211" i="48"/>
  <c r="G211" i="48"/>
  <c r="C211" i="48"/>
  <c r="N210" i="48"/>
  <c r="M210" i="48"/>
  <c r="L210" i="48"/>
  <c r="I210" i="48"/>
  <c r="H210" i="48"/>
  <c r="G210" i="48"/>
  <c r="C210" i="48"/>
  <c r="N209" i="48"/>
  <c r="M209" i="48"/>
  <c r="L209" i="48"/>
  <c r="I209" i="48"/>
  <c r="H209" i="48"/>
  <c r="G209" i="48"/>
  <c r="C209" i="48"/>
  <c r="N208" i="48"/>
  <c r="M208" i="48"/>
  <c r="L208" i="48"/>
  <c r="I208" i="48"/>
  <c r="H208" i="48"/>
  <c r="G208" i="48"/>
  <c r="C208" i="48"/>
  <c r="N207" i="48"/>
  <c r="M207" i="48"/>
  <c r="L207" i="48"/>
  <c r="I207" i="48"/>
  <c r="H207" i="48"/>
  <c r="G207" i="48"/>
  <c r="C207" i="48"/>
  <c r="N206" i="48"/>
  <c r="M206" i="48"/>
  <c r="L206" i="48"/>
  <c r="I206" i="48"/>
  <c r="H206" i="48"/>
  <c r="G206" i="48"/>
  <c r="C206" i="48"/>
  <c r="N205" i="48"/>
  <c r="M205" i="48"/>
  <c r="L205" i="48"/>
  <c r="I205" i="48"/>
  <c r="H205" i="48"/>
  <c r="G205" i="48"/>
  <c r="C205" i="48"/>
  <c r="N204" i="48"/>
  <c r="M204" i="48"/>
  <c r="L204" i="48"/>
  <c r="I204" i="48"/>
  <c r="H204" i="48"/>
  <c r="G204" i="48"/>
  <c r="C204" i="48"/>
  <c r="N203" i="48"/>
  <c r="M203" i="48"/>
  <c r="L203" i="48"/>
  <c r="I203" i="48"/>
  <c r="H203" i="48"/>
  <c r="G203" i="48"/>
  <c r="C203" i="48"/>
  <c r="N202" i="48"/>
  <c r="M202" i="48"/>
  <c r="L202" i="48"/>
  <c r="I202" i="48"/>
  <c r="H202" i="48"/>
  <c r="G202" i="48"/>
  <c r="C202" i="48"/>
  <c r="N201" i="48"/>
  <c r="M201" i="48"/>
  <c r="L201" i="48"/>
  <c r="I201" i="48"/>
  <c r="H201" i="48"/>
  <c r="G201" i="48"/>
  <c r="C201" i="48"/>
  <c r="N200" i="48"/>
  <c r="M200" i="48"/>
  <c r="L200" i="48"/>
  <c r="I200" i="48"/>
  <c r="H200" i="48"/>
  <c r="G200" i="48"/>
  <c r="C200" i="48"/>
  <c r="N199" i="48"/>
  <c r="M199" i="48"/>
  <c r="L199" i="48"/>
  <c r="I199" i="48"/>
  <c r="H199" i="48"/>
  <c r="G199" i="48"/>
  <c r="C199" i="48"/>
  <c r="N198" i="48"/>
  <c r="M198" i="48"/>
  <c r="L198" i="48"/>
  <c r="I198" i="48"/>
  <c r="H198" i="48"/>
  <c r="G198" i="48"/>
  <c r="C198" i="48"/>
  <c r="N197" i="48"/>
  <c r="M197" i="48"/>
  <c r="L197" i="48"/>
  <c r="I197" i="48"/>
  <c r="H197" i="48"/>
  <c r="G197" i="48"/>
  <c r="C197" i="48"/>
  <c r="N196" i="48"/>
  <c r="M196" i="48"/>
  <c r="L196" i="48"/>
  <c r="I196" i="48"/>
  <c r="H196" i="48"/>
  <c r="G196" i="48"/>
  <c r="C196" i="48"/>
  <c r="N195" i="48"/>
  <c r="M195" i="48"/>
  <c r="L195" i="48"/>
  <c r="I195" i="48"/>
  <c r="H195" i="48"/>
  <c r="G195" i="48"/>
  <c r="C195" i="48"/>
  <c r="N194" i="48"/>
  <c r="M194" i="48"/>
  <c r="L194" i="48"/>
  <c r="I194" i="48"/>
  <c r="H194" i="48"/>
  <c r="G194" i="48"/>
  <c r="C194" i="48"/>
  <c r="N193" i="48"/>
  <c r="M193" i="48"/>
  <c r="L193" i="48"/>
  <c r="I193" i="48"/>
  <c r="H193" i="48"/>
  <c r="G193" i="48"/>
  <c r="C193" i="48"/>
  <c r="N192" i="48"/>
  <c r="M192" i="48"/>
  <c r="L192" i="48"/>
  <c r="I192" i="48"/>
  <c r="H192" i="48"/>
  <c r="G192" i="48"/>
  <c r="C192" i="48"/>
  <c r="N191" i="48"/>
  <c r="M191" i="48"/>
  <c r="L191" i="48"/>
  <c r="I191" i="48"/>
  <c r="H191" i="48"/>
  <c r="G191" i="48"/>
  <c r="C191" i="48"/>
  <c r="N190" i="48"/>
  <c r="M190" i="48"/>
  <c r="L190" i="48"/>
  <c r="I190" i="48"/>
  <c r="H190" i="48"/>
  <c r="G190" i="48"/>
  <c r="C190" i="48"/>
  <c r="N189" i="48"/>
  <c r="M189" i="48"/>
  <c r="L189" i="48"/>
  <c r="I189" i="48"/>
  <c r="H189" i="48"/>
  <c r="G189" i="48"/>
  <c r="C189" i="48"/>
  <c r="N188" i="48"/>
  <c r="M188" i="48"/>
  <c r="L188" i="48"/>
  <c r="I188" i="48"/>
  <c r="H188" i="48"/>
  <c r="G188" i="48"/>
  <c r="C188" i="48"/>
  <c r="N187" i="48"/>
  <c r="M187" i="48"/>
  <c r="L187" i="48"/>
  <c r="I187" i="48"/>
  <c r="H187" i="48"/>
  <c r="G187" i="48"/>
  <c r="C187" i="48"/>
  <c r="N186" i="48"/>
  <c r="M186" i="48"/>
  <c r="L186" i="48"/>
  <c r="I186" i="48"/>
  <c r="H186" i="48"/>
  <c r="G186" i="48"/>
  <c r="C186" i="48"/>
  <c r="N185" i="48"/>
  <c r="M185" i="48"/>
  <c r="L185" i="48"/>
  <c r="I185" i="48"/>
  <c r="H185" i="48"/>
  <c r="G185" i="48"/>
  <c r="C185" i="48"/>
  <c r="N184" i="48"/>
  <c r="M184" i="48"/>
  <c r="L184" i="48"/>
  <c r="I184" i="48"/>
  <c r="H184" i="48"/>
  <c r="G184" i="48"/>
  <c r="C184" i="48"/>
  <c r="N183" i="48"/>
  <c r="M183" i="48"/>
  <c r="L183" i="48"/>
  <c r="I183" i="48"/>
  <c r="H183" i="48"/>
  <c r="G183" i="48"/>
  <c r="C183" i="48"/>
  <c r="N182" i="48"/>
  <c r="M182" i="48"/>
  <c r="L182" i="48"/>
  <c r="I182" i="48"/>
  <c r="H182" i="48"/>
  <c r="G182" i="48"/>
  <c r="C182" i="48"/>
  <c r="N181" i="48"/>
  <c r="M181" i="48"/>
  <c r="L181" i="48"/>
  <c r="I181" i="48"/>
  <c r="H181" i="48"/>
  <c r="G181" i="48"/>
  <c r="C181" i="48"/>
  <c r="N180" i="48"/>
  <c r="M180" i="48"/>
  <c r="L180" i="48"/>
  <c r="I180" i="48"/>
  <c r="H180" i="48"/>
  <c r="G180" i="48"/>
  <c r="C180" i="48"/>
  <c r="N179" i="48"/>
  <c r="M179" i="48"/>
  <c r="L179" i="48"/>
  <c r="I179" i="48"/>
  <c r="H179" i="48"/>
  <c r="G179" i="48"/>
  <c r="C179" i="48"/>
  <c r="N178" i="48"/>
  <c r="M178" i="48"/>
  <c r="L178" i="48"/>
  <c r="I178" i="48"/>
  <c r="H178" i="48"/>
  <c r="G178" i="48"/>
  <c r="C178" i="48"/>
  <c r="N177" i="48"/>
  <c r="M177" i="48"/>
  <c r="L177" i="48"/>
  <c r="I177" i="48"/>
  <c r="H177" i="48"/>
  <c r="G177" i="48"/>
  <c r="C177" i="48"/>
  <c r="N176" i="48"/>
  <c r="M176" i="48"/>
  <c r="L176" i="48"/>
  <c r="I176" i="48"/>
  <c r="H176" i="48"/>
  <c r="G176" i="48"/>
  <c r="C176" i="48"/>
  <c r="N175" i="48"/>
  <c r="M175" i="48"/>
  <c r="L175" i="48"/>
  <c r="I175" i="48"/>
  <c r="H175" i="48"/>
  <c r="G175" i="48"/>
  <c r="C175" i="48"/>
  <c r="N174" i="48"/>
  <c r="M174" i="48"/>
  <c r="L174" i="48"/>
  <c r="I174" i="48"/>
  <c r="H174" i="48"/>
  <c r="G174" i="48"/>
  <c r="C174" i="48"/>
  <c r="N173" i="48"/>
  <c r="M173" i="48"/>
  <c r="L173" i="48"/>
  <c r="I173" i="48"/>
  <c r="H173" i="48"/>
  <c r="G173" i="48"/>
  <c r="C173" i="48"/>
  <c r="N172" i="48"/>
  <c r="M172" i="48"/>
  <c r="L172" i="48"/>
  <c r="I172" i="48"/>
  <c r="H172" i="48"/>
  <c r="G172" i="48"/>
  <c r="C172" i="48"/>
  <c r="N171" i="48"/>
  <c r="M171" i="48"/>
  <c r="L171" i="48"/>
  <c r="I171" i="48"/>
  <c r="H171" i="48"/>
  <c r="G171" i="48"/>
  <c r="C171" i="48"/>
  <c r="N170" i="48"/>
  <c r="M170" i="48"/>
  <c r="L170" i="48"/>
  <c r="I170" i="48"/>
  <c r="H170" i="48"/>
  <c r="G170" i="48"/>
  <c r="C170" i="48"/>
  <c r="N169" i="48"/>
  <c r="M169" i="48"/>
  <c r="L169" i="48"/>
  <c r="I169" i="48"/>
  <c r="H169" i="48"/>
  <c r="G169" i="48"/>
  <c r="C169" i="48"/>
  <c r="N168" i="48"/>
  <c r="M168" i="48"/>
  <c r="L168" i="48"/>
  <c r="I168" i="48"/>
  <c r="H168" i="48"/>
  <c r="G168" i="48"/>
  <c r="C168" i="48"/>
  <c r="N167" i="48"/>
  <c r="M167" i="48"/>
  <c r="L167" i="48"/>
  <c r="I167" i="48"/>
  <c r="H167" i="48"/>
  <c r="G167" i="48"/>
  <c r="C167" i="48"/>
  <c r="N166" i="48"/>
  <c r="M166" i="48"/>
  <c r="L166" i="48"/>
  <c r="I166" i="48"/>
  <c r="H166" i="48"/>
  <c r="G166" i="48"/>
  <c r="C166" i="48"/>
  <c r="N165" i="48"/>
  <c r="M165" i="48"/>
  <c r="L165" i="48"/>
  <c r="I165" i="48"/>
  <c r="H165" i="48"/>
  <c r="G165" i="48"/>
  <c r="C165" i="48"/>
  <c r="N164" i="48"/>
  <c r="M164" i="48"/>
  <c r="L164" i="48"/>
  <c r="I164" i="48"/>
  <c r="H164" i="48"/>
  <c r="G164" i="48"/>
  <c r="C164" i="48"/>
  <c r="N163" i="48"/>
  <c r="M163" i="48"/>
  <c r="L163" i="48"/>
  <c r="I163" i="48"/>
  <c r="H163" i="48"/>
  <c r="G163" i="48"/>
  <c r="C163" i="48"/>
  <c r="N162" i="48"/>
  <c r="M162" i="48"/>
  <c r="L162" i="48"/>
  <c r="I162" i="48"/>
  <c r="H162" i="48"/>
  <c r="G162" i="48"/>
  <c r="C162" i="48"/>
  <c r="N161" i="48"/>
  <c r="M161" i="48"/>
  <c r="L161" i="48"/>
  <c r="I161" i="48"/>
  <c r="H161" i="48"/>
  <c r="G161" i="48"/>
  <c r="C161" i="48"/>
  <c r="N160" i="48"/>
  <c r="M160" i="48"/>
  <c r="L160" i="48"/>
  <c r="I160" i="48"/>
  <c r="H160" i="48"/>
  <c r="G160" i="48"/>
  <c r="C160" i="48"/>
  <c r="N159" i="48"/>
  <c r="M159" i="48"/>
  <c r="L159" i="48"/>
  <c r="I159" i="48"/>
  <c r="H159" i="48"/>
  <c r="G159" i="48"/>
  <c r="C159" i="48"/>
  <c r="N158" i="48"/>
  <c r="M158" i="48"/>
  <c r="L158" i="48"/>
  <c r="I158" i="48"/>
  <c r="H158" i="48"/>
  <c r="G158" i="48"/>
  <c r="C158" i="48"/>
  <c r="N157" i="48"/>
  <c r="M157" i="48"/>
  <c r="L157" i="48"/>
  <c r="I157" i="48"/>
  <c r="H157" i="48"/>
  <c r="G157" i="48"/>
  <c r="C157" i="48"/>
  <c r="N156" i="48"/>
  <c r="M156" i="48"/>
  <c r="L156" i="48"/>
  <c r="I156" i="48"/>
  <c r="H156" i="48"/>
  <c r="G156" i="48"/>
  <c r="C156" i="48"/>
  <c r="N155" i="48"/>
  <c r="M155" i="48"/>
  <c r="L155" i="48"/>
  <c r="I155" i="48"/>
  <c r="H155" i="48"/>
  <c r="G155" i="48"/>
  <c r="C155" i="48"/>
  <c r="N154" i="48"/>
  <c r="M154" i="48"/>
  <c r="L154" i="48"/>
  <c r="I154" i="48"/>
  <c r="H154" i="48"/>
  <c r="G154" i="48"/>
  <c r="C154" i="48"/>
  <c r="N153" i="48"/>
  <c r="M153" i="48"/>
  <c r="L153" i="48"/>
  <c r="I153" i="48"/>
  <c r="H153" i="48"/>
  <c r="G153" i="48"/>
  <c r="C153" i="48"/>
  <c r="N152" i="48"/>
  <c r="M152" i="48"/>
  <c r="L152" i="48"/>
  <c r="I152" i="48"/>
  <c r="H152" i="48"/>
  <c r="G152" i="48"/>
  <c r="C152" i="48"/>
  <c r="N151" i="48"/>
  <c r="M151" i="48"/>
  <c r="L151" i="48"/>
  <c r="I151" i="48"/>
  <c r="H151" i="48"/>
  <c r="G151" i="48"/>
  <c r="C151" i="48"/>
  <c r="N150" i="48"/>
  <c r="M150" i="48"/>
  <c r="L150" i="48"/>
  <c r="I150" i="48"/>
  <c r="H150" i="48"/>
  <c r="G150" i="48"/>
  <c r="C150" i="48"/>
  <c r="N149" i="48"/>
  <c r="M149" i="48"/>
  <c r="L149" i="48"/>
  <c r="I149" i="48"/>
  <c r="H149" i="48"/>
  <c r="G149" i="48"/>
  <c r="C149" i="48"/>
  <c r="N148" i="48"/>
  <c r="M148" i="48"/>
  <c r="L148" i="48"/>
  <c r="I148" i="48"/>
  <c r="H148" i="48"/>
  <c r="G148" i="48"/>
  <c r="C148" i="48"/>
  <c r="N147" i="48"/>
  <c r="M147" i="48"/>
  <c r="L147" i="48"/>
  <c r="I147" i="48"/>
  <c r="H147" i="48"/>
  <c r="G147" i="48"/>
  <c r="C147" i="48"/>
  <c r="N146" i="48"/>
  <c r="M146" i="48"/>
  <c r="L146" i="48"/>
  <c r="I146" i="48"/>
  <c r="H146" i="48"/>
  <c r="G146" i="48"/>
  <c r="C146" i="48"/>
  <c r="N145" i="48"/>
  <c r="M145" i="48"/>
  <c r="L145" i="48"/>
  <c r="I145" i="48"/>
  <c r="H145" i="48"/>
  <c r="G145" i="48"/>
  <c r="C145" i="48"/>
  <c r="N144" i="48"/>
  <c r="M144" i="48"/>
  <c r="L144" i="48"/>
  <c r="I144" i="48"/>
  <c r="H144" i="48"/>
  <c r="G144" i="48"/>
  <c r="C144" i="48"/>
  <c r="N143" i="48"/>
  <c r="M143" i="48"/>
  <c r="L143" i="48"/>
  <c r="I143" i="48"/>
  <c r="H143" i="48"/>
  <c r="G143" i="48"/>
  <c r="C143" i="48"/>
  <c r="N142" i="48"/>
  <c r="M142" i="48"/>
  <c r="L142" i="48"/>
  <c r="I142" i="48"/>
  <c r="H142" i="48"/>
  <c r="G142" i="48"/>
  <c r="C142" i="48"/>
  <c r="N141" i="48"/>
  <c r="M141" i="48"/>
  <c r="L141" i="48"/>
  <c r="I141" i="48"/>
  <c r="H141" i="48"/>
  <c r="G141" i="48"/>
  <c r="C141" i="48"/>
  <c r="N140" i="48"/>
  <c r="M140" i="48"/>
  <c r="L140" i="48"/>
  <c r="I140" i="48"/>
  <c r="H140" i="48"/>
  <c r="G140" i="48"/>
  <c r="C140" i="48"/>
  <c r="N139" i="48"/>
  <c r="M139" i="48"/>
  <c r="L139" i="48"/>
  <c r="I139" i="48"/>
  <c r="H139" i="48"/>
  <c r="G139" i="48"/>
  <c r="C139" i="48"/>
  <c r="N138" i="48"/>
  <c r="M138" i="48"/>
  <c r="L138" i="48"/>
  <c r="I138" i="48"/>
  <c r="H138" i="48"/>
  <c r="G138" i="48"/>
  <c r="C138" i="48"/>
  <c r="N137" i="48"/>
  <c r="M137" i="48"/>
  <c r="L137" i="48"/>
  <c r="I137" i="48"/>
  <c r="H137" i="48"/>
  <c r="G137" i="48"/>
  <c r="C137" i="48"/>
  <c r="N136" i="48"/>
  <c r="M136" i="48"/>
  <c r="L136" i="48"/>
  <c r="I136" i="48"/>
  <c r="H136" i="48"/>
  <c r="G136" i="48"/>
  <c r="C136" i="48"/>
  <c r="N135" i="48"/>
  <c r="M135" i="48"/>
  <c r="L135" i="48"/>
  <c r="I135" i="48"/>
  <c r="H135" i="48"/>
  <c r="G135" i="48"/>
  <c r="C135" i="48"/>
  <c r="N134" i="48"/>
  <c r="M134" i="48"/>
  <c r="L134" i="48"/>
  <c r="I134" i="48"/>
  <c r="H134" i="48"/>
  <c r="G134" i="48"/>
  <c r="C134" i="48"/>
  <c r="N133" i="48"/>
  <c r="M133" i="48"/>
  <c r="L133" i="48"/>
  <c r="I133" i="48"/>
  <c r="H133" i="48"/>
  <c r="G133" i="48"/>
  <c r="C133" i="48"/>
  <c r="N132" i="48"/>
  <c r="M132" i="48"/>
  <c r="L132" i="48"/>
  <c r="I132" i="48"/>
  <c r="H132" i="48"/>
  <c r="G132" i="48"/>
  <c r="C132" i="48"/>
  <c r="N131" i="48"/>
  <c r="M131" i="48"/>
  <c r="L131" i="48"/>
  <c r="I131" i="48"/>
  <c r="H131" i="48"/>
  <c r="G131" i="48"/>
  <c r="C131" i="48"/>
  <c r="N130" i="48"/>
  <c r="M130" i="48"/>
  <c r="L130" i="48"/>
  <c r="I130" i="48"/>
  <c r="H130" i="48"/>
  <c r="G130" i="48"/>
  <c r="C130" i="48"/>
  <c r="N129" i="48"/>
  <c r="M129" i="48"/>
  <c r="L129" i="48"/>
  <c r="I129" i="48"/>
  <c r="H129" i="48"/>
  <c r="G129" i="48"/>
  <c r="C129" i="48"/>
  <c r="N128" i="48"/>
  <c r="M128" i="48"/>
  <c r="L128" i="48"/>
  <c r="I128" i="48"/>
  <c r="H128" i="48"/>
  <c r="G128" i="48"/>
  <c r="C128" i="48"/>
  <c r="N127" i="48"/>
  <c r="M127" i="48"/>
  <c r="L127" i="48"/>
  <c r="I127" i="48"/>
  <c r="H127" i="48"/>
  <c r="G127" i="48"/>
  <c r="C127" i="48"/>
  <c r="N126" i="48"/>
  <c r="M126" i="48"/>
  <c r="L126" i="48"/>
  <c r="I126" i="48"/>
  <c r="H126" i="48"/>
  <c r="G126" i="48"/>
  <c r="C126" i="48"/>
  <c r="N125" i="48"/>
  <c r="M125" i="48"/>
  <c r="L125" i="48"/>
  <c r="I125" i="48"/>
  <c r="H125" i="48"/>
  <c r="G125" i="48"/>
  <c r="C125" i="48"/>
  <c r="N124" i="48"/>
  <c r="M124" i="48"/>
  <c r="L124" i="48"/>
  <c r="I124" i="48"/>
  <c r="H124" i="48"/>
  <c r="G124" i="48"/>
  <c r="C124" i="48"/>
  <c r="N123" i="48"/>
  <c r="M123" i="48"/>
  <c r="L123" i="48"/>
  <c r="I123" i="48"/>
  <c r="H123" i="48"/>
  <c r="G123" i="48"/>
  <c r="C123" i="48"/>
  <c r="N122" i="48"/>
  <c r="M122" i="48"/>
  <c r="L122" i="48"/>
  <c r="I122" i="48"/>
  <c r="H122" i="48"/>
  <c r="G122" i="48"/>
  <c r="C122" i="48"/>
  <c r="N121" i="48"/>
  <c r="M121" i="48"/>
  <c r="L121" i="48"/>
  <c r="I121" i="48"/>
  <c r="H121" i="48"/>
  <c r="G121" i="48"/>
  <c r="C121" i="48"/>
  <c r="N120" i="48"/>
  <c r="M120" i="48"/>
  <c r="L120" i="48"/>
  <c r="I120" i="48"/>
  <c r="H120" i="48"/>
  <c r="G120" i="48"/>
  <c r="C120" i="48"/>
  <c r="N119" i="48"/>
  <c r="M119" i="48"/>
  <c r="L119" i="48"/>
  <c r="I119" i="48"/>
  <c r="H119" i="48"/>
  <c r="G119" i="48"/>
  <c r="C119" i="48"/>
  <c r="N118" i="48"/>
  <c r="M118" i="48"/>
  <c r="L118" i="48"/>
  <c r="I118" i="48"/>
  <c r="H118" i="48"/>
  <c r="G118" i="48"/>
  <c r="C118" i="48"/>
  <c r="N117" i="48"/>
  <c r="M117" i="48"/>
  <c r="L117" i="48"/>
  <c r="I117" i="48"/>
  <c r="H117" i="48"/>
  <c r="G117" i="48"/>
  <c r="C117" i="48"/>
  <c r="N116" i="48"/>
  <c r="M116" i="48"/>
  <c r="L116" i="48"/>
  <c r="I116" i="48"/>
  <c r="H116" i="48"/>
  <c r="G116" i="48"/>
  <c r="C116" i="48"/>
  <c r="N115" i="48"/>
  <c r="M115" i="48"/>
  <c r="L115" i="48"/>
  <c r="I115" i="48"/>
  <c r="H115" i="48"/>
  <c r="G115" i="48"/>
  <c r="C115" i="48"/>
  <c r="N114" i="48"/>
  <c r="M114" i="48"/>
  <c r="L114" i="48"/>
  <c r="I114" i="48"/>
  <c r="H114" i="48"/>
  <c r="G114" i="48"/>
  <c r="C114" i="48"/>
  <c r="N113" i="48"/>
  <c r="M113" i="48"/>
  <c r="L113" i="48"/>
  <c r="I113" i="48"/>
  <c r="H113" i="48"/>
  <c r="G113" i="48"/>
  <c r="C113" i="48"/>
  <c r="N112" i="48"/>
  <c r="M112" i="48"/>
  <c r="L112" i="48"/>
  <c r="I112" i="48"/>
  <c r="H112" i="48"/>
  <c r="G112" i="48"/>
  <c r="C112" i="48"/>
  <c r="N111" i="48"/>
  <c r="M111" i="48"/>
  <c r="L111" i="48"/>
  <c r="I111" i="48"/>
  <c r="H111" i="48"/>
  <c r="G111" i="48"/>
  <c r="C111" i="48"/>
  <c r="N110" i="48"/>
  <c r="M110" i="48"/>
  <c r="L110" i="48"/>
  <c r="I110" i="48"/>
  <c r="H110" i="48"/>
  <c r="G110" i="48"/>
  <c r="C110" i="48"/>
  <c r="N109" i="48"/>
  <c r="M109" i="48"/>
  <c r="L109" i="48"/>
  <c r="I109" i="48"/>
  <c r="H109" i="48"/>
  <c r="G109" i="48"/>
  <c r="C109" i="48"/>
  <c r="N108" i="48"/>
  <c r="M108" i="48"/>
  <c r="L108" i="48"/>
  <c r="I108" i="48"/>
  <c r="H108" i="48"/>
  <c r="G108" i="48"/>
  <c r="C108" i="48"/>
  <c r="N107" i="48"/>
  <c r="M107" i="48"/>
  <c r="L107" i="48"/>
  <c r="I107" i="48"/>
  <c r="H107" i="48"/>
  <c r="G107" i="48"/>
  <c r="C107" i="48"/>
  <c r="N106" i="48"/>
  <c r="M106" i="48"/>
  <c r="L106" i="48"/>
  <c r="I106" i="48"/>
  <c r="H106" i="48"/>
  <c r="G106" i="48"/>
  <c r="C106" i="48"/>
  <c r="N105" i="48"/>
  <c r="M105" i="48"/>
  <c r="L105" i="48"/>
  <c r="I105" i="48"/>
  <c r="H105" i="48"/>
  <c r="G105" i="48"/>
  <c r="C105" i="48"/>
  <c r="N104" i="48"/>
  <c r="M104" i="48"/>
  <c r="L104" i="48"/>
  <c r="I104" i="48"/>
  <c r="H104" i="48"/>
  <c r="G104" i="48"/>
  <c r="C104" i="48"/>
  <c r="N103" i="48"/>
  <c r="M103" i="48"/>
  <c r="L103" i="48"/>
  <c r="I103" i="48"/>
  <c r="H103" i="48"/>
  <c r="G103" i="48"/>
  <c r="C103" i="48"/>
  <c r="N102" i="48"/>
  <c r="M102" i="48"/>
  <c r="L102" i="48"/>
  <c r="I102" i="48"/>
  <c r="H102" i="48"/>
  <c r="G102" i="48"/>
  <c r="C102" i="48"/>
  <c r="N101" i="48"/>
  <c r="M101" i="48"/>
  <c r="L101" i="48"/>
  <c r="I101" i="48"/>
  <c r="H101" i="48"/>
  <c r="G101" i="48"/>
  <c r="C101" i="48"/>
  <c r="N100" i="48"/>
  <c r="M100" i="48"/>
  <c r="L100" i="48"/>
  <c r="I100" i="48"/>
  <c r="H100" i="48"/>
  <c r="G100" i="48"/>
  <c r="C100" i="48"/>
  <c r="N99" i="48"/>
  <c r="M99" i="48"/>
  <c r="L99" i="48"/>
  <c r="I99" i="48"/>
  <c r="H99" i="48"/>
  <c r="G99" i="48"/>
  <c r="C99" i="48"/>
  <c r="N98" i="48"/>
  <c r="M98" i="48"/>
  <c r="L98" i="48"/>
  <c r="I98" i="48"/>
  <c r="H98" i="48"/>
  <c r="G98" i="48"/>
  <c r="C98" i="48"/>
  <c r="N97" i="48"/>
  <c r="M97" i="48"/>
  <c r="L97" i="48"/>
  <c r="I97" i="48"/>
  <c r="H97" i="48"/>
  <c r="G97" i="48"/>
  <c r="C97" i="48"/>
  <c r="N96" i="48"/>
  <c r="M96" i="48"/>
  <c r="L96" i="48"/>
  <c r="I96" i="48"/>
  <c r="H96" i="48"/>
  <c r="G96" i="48"/>
  <c r="C96" i="48"/>
  <c r="N95" i="48"/>
  <c r="M95" i="48"/>
  <c r="L95" i="48"/>
  <c r="I95" i="48"/>
  <c r="H95" i="48"/>
  <c r="G95" i="48"/>
  <c r="C95" i="48"/>
  <c r="N94" i="48"/>
  <c r="M94" i="48"/>
  <c r="L94" i="48"/>
  <c r="I94" i="48"/>
  <c r="H94" i="48"/>
  <c r="G94" i="48"/>
  <c r="C94" i="48"/>
  <c r="N93" i="48"/>
  <c r="M93" i="48"/>
  <c r="L93" i="48"/>
  <c r="I93" i="48"/>
  <c r="H93" i="48"/>
  <c r="G93" i="48"/>
  <c r="C93" i="48"/>
  <c r="N92" i="48"/>
  <c r="M92" i="48"/>
  <c r="L92" i="48"/>
  <c r="I92" i="48"/>
  <c r="H92" i="48"/>
  <c r="G92" i="48"/>
  <c r="C92" i="48"/>
  <c r="N91" i="48"/>
  <c r="M91" i="48"/>
  <c r="L91" i="48"/>
  <c r="I91" i="48"/>
  <c r="H91" i="48"/>
  <c r="G91" i="48"/>
  <c r="C91" i="48"/>
  <c r="N90" i="48"/>
  <c r="M90" i="48"/>
  <c r="L90" i="48"/>
  <c r="I90" i="48"/>
  <c r="H90" i="48"/>
  <c r="G90" i="48"/>
  <c r="C90" i="48"/>
  <c r="N89" i="48"/>
  <c r="M89" i="48"/>
  <c r="L89" i="48"/>
  <c r="I89" i="48"/>
  <c r="H89" i="48"/>
  <c r="G89" i="48"/>
  <c r="C89" i="48"/>
  <c r="N88" i="48"/>
  <c r="M88" i="48"/>
  <c r="L88" i="48"/>
  <c r="I88" i="48"/>
  <c r="H88" i="48"/>
  <c r="G88" i="48"/>
  <c r="C88" i="48"/>
  <c r="N87" i="48"/>
  <c r="M87" i="48"/>
  <c r="L87" i="48"/>
  <c r="I87" i="48"/>
  <c r="H87" i="48"/>
  <c r="G87" i="48"/>
  <c r="C87" i="48"/>
  <c r="N86" i="48"/>
  <c r="M86" i="48"/>
  <c r="L86" i="48"/>
  <c r="I86" i="48"/>
  <c r="H86" i="48"/>
  <c r="G86" i="48"/>
  <c r="C86" i="48"/>
  <c r="N85" i="48"/>
  <c r="M85" i="48"/>
  <c r="L85" i="48"/>
  <c r="I85" i="48"/>
  <c r="H85" i="48"/>
  <c r="G85" i="48"/>
  <c r="C85" i="48"/>
  <c r="N84" i="48"/>
  <c r="M84" i="48"/>
  <c r="L84" i="48"/>
  <c r="I84" i="48"/>
  <c r="H84" i="48"/>
  <c r="G84" i="48"/>
  <c r="C84" i="48"/>
  <c r="N83" i="48"/>
  <c r="M83" i="48"/>
  <c r="L83" i="48"/>
  <c r="I83" i="48"/>
  <c r="H83" i="48"/>
  <c r="G83" i="48"/>
  <c r="C83" i="48"/>
  <c r="N82" i="48"/>
  <c r="M82" i="48"/>
  <c r="L82" i="48"/>
  <c r="I82" i="48"/>
  <c r="H82" i="48"/>
  <c r="G82" i="48"/>
  <c r="C82" i="48"/>
  <c r="N81" i="48"/>
  <c r="M81" i="48"/>
  <c r="L81" i="48"/>
  <c r="I81" i="48"/>
  <c r="H81" i="48"/>
  <c r="G81" i="48"/>
  <c r="C81" i="48"/>
  <c r="N80" i="48"/>
  <c r="M80" i="48"/>
  <c r="L80" i="48"/>
  <c r="I80" i="48"/>
  <c r="H80" i="48"/>
  <c r="G80" i="48"/>
  <c r="C80" i="48"/>
  <c r="N79" i="48"/>
  <c r="M79" i="48"/>
  <c r="L79" i="48"/>
  <c r="I79" i="48"/>
  <c r="H79" i="48"/>
  <c r="G79" i="48"/>
  <c r="C79" i="48"/>
  <c r="N78" i="48"/>
  <c r="M78" i="48"/>
  <c r="L78" i="48"/>
  <c r="I78" i="48"/>
  <c r="H78" i="48"/>
  <c r="G78" i="48"/>
  <c r="C78" i="48"/>
  <c r="N77" i="48"/>
  <c r="M77" i="48"/>
  <c r="L77" i="48"/>
  <c r="I77" i="48"/>
  <c r="H77" i="48"/>
  <c r="G77" i="48"/>
  <c r="C77" i="48"/>
  <c r="N76" i="48"/>
  <c r="M76" i="48"/>
  <c r="L76" i="48"/>
  <c r="I76" i="48"/>
  <c r="H76" i="48"/>
  <c r="G76" i="48"/>
  <c r="C76" i="48"/>
  <c r="N75" i="48"/>
  <c r="M75" i="48"/>
  <c r="L75" i="48"/>
  <c r="I75" i="48"/>
  <c r="H75" i="48"/>
  <c r="G75" i="48"/>
  <c r="C75" i="48"/>
  <c r="N74" i="48"/>
  <c r="M74" i="48"/>
  <c r="L74" i="48"/>
  <c r="I74" i="48"/>
  <c r="H74" i="48"/>
  <c r="G74" i="48"/>
  <c r="C74" i="48"/>
  <c r="N73" i="48"/>
  <c r="M73" i="48"/>
  <c r="L73" i="48"/>
  <c r="I73" i="48"/>
  <c r="H73" i="48"/>
  <c r="G73" i="48"/>
  <c r="C73" i="48"/>
  <c r="N72" i="48"/>
  <c r="M72" i="48"/>
  <c r="L72" i="48"/>
  <c r="I72" i="48"/>
  <c r="H72" i="48"/>
  <c r="G72" i="48"/>
  <c r="C72" i="48"/>
  <c r="N71" i="48"/>
  <c r="M71" i="48"/>
  <c r="L71" i="48"/>
  <c r="I71" i="48"/>
  <c r="H71" i="48"/>
  <c r="G71" i="48"/>
  <c r="C71" i="48"/>
  <c r="N70" i="48"/>
  <c r="M70" i="48"/>
  <c r="L70" i="48"/>
  <c r="I70" i="48"/>
  <c r="H70" i="48"/>
  <c r="G70" i="48"/>
  <c r="C70" i="48"/>
  <c r="N69" i="48"/>
  <c r="M69" i="48"/>
  <c r="L69" i="48"/>
  <c r="I69" i="48"/>
  <c r="H69" i="48"/>
  <c r="G69" i="48"/>
  <c r="C69" i="48"/>
  <c r="N68" i="48"/>
  <c r="M68" i="48"/>
  <c r="L68" i="48"/>
  <c r="I68" i="48"/>
  <c r="H68" i="48"/>
  <c r="G68" i="48"/>
  <c r="C68" i="48"/>
  <c r="N67" i="48"/>
  <c r="M67" i="48"/>
  <c r="L67" i="48"/>
  <c r="I67" i="48"/>
  <c r="H67" i="48"/>
  <c r="G67" i="48"/>
  <c r="C67" i="48"/>
  <c r="N66" i="48"/>
  <c r="M66" i="48"/>
  <c r="L66" i="48"/>
  <c r="I66" i="48"/>
  <c r="H66" i="48"/>
  <c r="G66" i="48"/>
  <c r="C66" i="48"/>
  <c r="N65" i="48"/>
  <c r="M65" i="48"/>
  <c r="L65" i="48"/>
  <c r="I65" i="48"/>
  <c r="H65" i="48"/>
  <c r="G65" i="48"/>
  <c r="C65" i="48"/>
  <c r="N64" i="48"/>
  <c r="M64" i="48"/>
  <c r="L64" i="48"/>
  <c r="I64" i="48"/>
  <c r="H64" i="48"/>
  <c r="G64" i="48"/>
  <c r="C64" i="48"/>
  <c r="N63" i="48"/>
  <c r="M63" i="48"/>
  <c r="L63" i="48"/>
  <c r="I63" i="48"/>
  <c r="H63" i="48"/>
  <c r="G63" i="48"/>
  <c r="C63" i="48"/>
  <c r="N62" i="48"/>
  <c r="M62" i="48"/>
  <c r="L62" i="48"/>
  <c r="I62" i="48"/>
  <c r="H62" i="48"/>
  <c r="G62" i="48"/>
  <c r="C62" i="48"/>
  <c r="N61" i="48"/>
  <c r="M61" i="48"/>
  <c r="L61" i="48"/>
  <c r="I61" i="48"/>
  <c r="H61" i="48"/>
  <c r="G61" i="48"/>
  <c r="C61" i="48"/>
  <c r="N60" i="48"/>
  <c r="M60" i="48"/>
  <c r="L60" i="48"/>
  <c r="I60" i="48"/>
  <c r="H60" i="48"/>
  <c r="G60" i="48"/>
  <c r="C60" i="48"/>
  <c r="N59" i="48"/>
  <c r="M59" i="48"/>
  <c r="L59" i="48"/>
  <c r="I59" i="48"/>
  <c r="H59" i="48"/>
  <c r="G59" i="48"/>
  <c r="C59" i="48"/>
  <c r="N58" i="48"/>
  <c r="M58" i="48"/>
  <c r="L58" i="48"/>
  <c r="I58" i="48"/>
  <c r="H58" i="48"/>
  <c r="G58" i="48"/>
  <c r="C58" i="48"/>
  <c r="N57" i="48"/>
  <c r="M57" i="48"/>
  <c r="L57" i="48"/>
  <c r="I57" i="48"/>
  <c r="H57" i="48"/>
  <c r="G57" i="48"/>
  <c r="C57" i="48"/>
  <c r="N56" i="48"/>
  <c r="M56" i="48"/>
  <c r="L56" i="48"/>
  <c r="I56" i="48"/>
  <c r="H56" i="48"/>
  <c r="G56" i="48"/>
  <c r="C56" i="48"/>
  <c r="N55" i="48"/>
  <c r="M55" i="48"/>
  <c r="L55" i="48"/>
  <c r="I55" i="48"/>
  <c r="H55" i="48"/>
  <c r="G55" i="48"/>
  <c r="C55" i="48"/>
  <c r="N54" i="48"/>
  <c r="M54" i="48"/>
  <c r="L54" i="48"/>
  <c r="I54" i="48"/>
  <c r="H54" i="48"/>
  <c r="G54" i="48"/>
  <c r="C54" i="48"/>
  <c r="N53" i="48"/>
  <c r="M53" i="48"/>
  <c r="L53" i="48"/>
  <c r="I53" i="48"/>
  <c r="H53" i="48"/>
  <c r="G53" i="48"/>
  <c r="C53" i="48"/>
  <c r="N52" i="48"/>
  <c r="M52" i="48"/>
  <c r="L52" i="48"/>
  <c r="I52" i="48"/>
  <c r="H52" i="48"/>
  <c r="G52" i="48"/>
  <c r="C52" i="48"/>
  <c r="N51" i="48"/>
  <c r="M51" i="48"/>
  <c r="L51" i="48"/>
  <c r="I51" i="48"/>
  <c r="H51" i="48"/>
  <c r="G51" i="48"/>
  <c r="C51" i="48"/>
  <c r="N50" i="48"/>
  <c r="M50" i="48"/>
  <c r="L50" i="48"/>
  <c r="I50" i="48"/>
  <c r="H50" i="48"/>
  <c r="G50" i="48"/>
  <c r="C50" i="48"/>
  <c r="N49" i="48"/>
  <c r="M49" i="48"/>
  <c r="L49" i="48"/>
  <c r="I49" i="48"/>
  <c r="H49" i="48"/>
  <c r="G49" i="48"/>
  <c r="C49" i="48"/>
  <c r="N48" i="48"/>
  <c r="M48" i="48"/>
  <c r="L48" i="48"/>
  <c r="I48" i="48"/>
  <c r="H48" i="48"/>
  <c r="G48" i="48"/>
  <c r="C48" i="48"/>
  <c r="N47" i="48"/>
  <c r="M47" i="48"/>
  <c r="L47" i="48"/>
  <c r="I47" i="48"/>
  <c r="H47" i="48"/>
  <c r="G47" i="48"/>
  <c r="C47" i="48"/>
  <c r="N46" i="48"/>
  <c r="M46" i="48"/>
  <c r="L46" i="48"/>
  <c r="I46" i="48"/>
  <c r="H46" i="48"/>
  <c r="G46" i="48"/>
  <c r="C46" i="48"/>
  <c r="N45" i="48"/>
  <c r="M45" i="48"/>
  <c r="L45" i="48"/>
  <c r="I45" i="48"/>
  <c r="H45" i="48"/>
  <c r="G45" i="48"/>
  <c r="C45" i="48"/>
  <c r="N44" i="48"/>
  <c r="M44" i="48"/>
  <c r="L44" i="48"/>
  <c r="I44" i="48"/>
  <c r="H44" i="48"/>
  <c r="G44" i="48"/>
  <c r="C44" i="48"/>
  <c r="N43" i="48"/>
  <c r="M43" i="48"/>
  <c r="L43" i="48"/>
  <c r="I43" i="48"/>
  <c r="H43" i="48"/>
  <c r="G43" i="48"/>
  <c r="C43" i="48"/>
  <c r="N42" i="48"/>
  <c r="M42" i="48"/>
  <c r="L42" i="48"/>
  <c r="I42" i="48"/>
  <c r="H42" i="48"/>
  <c r="G42" i="48"/>
  <c r="C42" i="48"/>
  <c r="N41" i="48"/>
  <c r="M41" i="48"/>
  <c r="L41" i="48"/>
  <c r="I41" i="48"/>
  <c r="H41" i="48"/>
  <c r="G41" i="48"/>
  <c r="C41" i="48"/>
  <c r="N40" i="48"/>
  <c r="M40" i="48"/>
  <c r="L40" i="48"/>
  <c r="I40" i="48"/>
  <c r="H40" i="48"/>
  <c r="G40" i="48"/>
  <c r="C40" i="48"/>
  <c r="N39" i="48"/>
  <c r="M39" i="48"/>
  <c r="L39" i="48"/>
  <c r="I39" i="48"/>
  <c r="H39" i="48"/>
  <c r="G39" i="48"/>
  <c r="C39" i="48"/>
  <c r="N38" i="48"/>
  <c r="M38" i="48"/>
  <c r="L38" i="48"/>
  <c r="I38" i="48"/>
  <c r="H38" i="48"/>
  <c r="G38" i="48"/>
  <c r="C38" i="48"/>
  <c r="N37" i="48"/>
  <c r="M37" i="48"/>
  <c r="L37" i="48"/>
  <c r="I37" i="48"/>
  <c r="H37" i="48"/>
  <c r="G37" i="48"/>
  <c r="C37" i="48"/>
  <c r="N36" i="48"/>
  <c r="M36" i="48"/>
  <c r="L36" i="48"/>
  <c r="I36" i="48"/>
  <c r="H36" i="48"/>
  <c r="G36" i="48"/>
  <c r="C36" i="48"/>
  <c r="N35" i="48"/>
  <c r="M35" i="48"/>
  <c r="L35" i="48"/>
  <c r="I35" i="48"/>
  <c r="H35" i="48"/>
  <c r="G35" i="48"/>
  <c r="C35" i="48"/>
  <c r="N34" i="48"/>
  <c r="M34" i="48"/>
  <c r="L34" i="48"/>
  <c r="I34" i="48"/>
  <c r="H34" i="48"/>
  <c r="G34" i="48"/>
  <c r="C34" i="48"/>
  <c r="N33" i="48"/>
  <c r="M33" i="48"/>
  <c r="L33" i="48"/>
  <c r="I33" i="48"/>
  <c r="H33" i="48"/>
  <c r="G33" i="48"/>
  <c r="C33" i="48"/>
  <c r="N32" i="48"/>
  <c r="M32" i="48"/>
  <c r="L32" i="48"/>
  <c r="I32" i="48"/>
  <c r="H32" i="48"/>
  <c r="G32" i="48"/>
  <c r="C32" i="48"/>
  <c r="N31" i="48"/>
  <c r="M31" i="48"/>
  <c r="L31" i="48"/>
  <c r="I31" i="48"/>
  <c r="H31" i="48"/>
  <c r="G31" i="48"/>
  <c r="C31" i="48"/>
  <c r="N30" i="48"/>
  <c r="M30" i="48"/>
  <c r="L30" i="48"/>
  <c r="I30" i="48"/>
  <c r="H30" i="48"/>
  <c r="G30" i="48"/>
  <c r="C30" i="48"/>
  <c r="N29" i="48"/>
  <c r="M29" i="48"/>
  <c r="L29" i="48"/>
  <c r="I29" i="48"/>
  <c r="H29" i="48"/>
  <c r="G29" i="48"/>
  <c r="C29" i="48"/>
  <c r="N28" i="48"/>
  <c r="M28" i="48"/>
  <c r="L28" i="48"/>
  <c r="I28" i="48"/>
  <c r="H28" i="48"/>
  <c r="G28" i="48"/>
  <c r="C28" i="48"/>
  <c r="N27" i="48"/>
  <c r="M27" i="48"/>
  <c r="L27" i="48"/>
  <c r="I27" i="48"/>
  <c r="H27" i="48"/>
  <c r="G27" i="48"/>
  <c r="C27" i="48"/>
  <c r="N26" i="48"/>
  <c r="M26" i="48"/>
  <c r="L26" i="48"/>
  <c r="I26" i="48"/>
  <c r="H26" i="48"/>
  <c r="G26" i="48"/>
  <c r="C26" i="48"/>
  <c r="N25" i="48"/>
  <c r="M25" i="48"/>
  <c r="L25" i="48"/>
  <c r="I25" i="48"/>
  <c r="H25" i="48"/>
  <c r="G25" i="48"/>
  <c r="C25" i="48"/>
  <c r="N24" i="48"/>
  <c r="M24" i="48"/>
  <c r="L24" i="48"/>
  <c r="I24" i="48"/>
  <c r="H24" i="48"/>
  <c r="G24" i="48"/>
  <c r="C24" i="48"/>
  <c r="N23" i="48"/>
  <c r="M23" i="48"/>
  <c r="L23" i="48"/>
  <c r="I23" i="48"/>
  <c r="H23" i="48"/>
  <c r="G23" i="48"/>
  <c r="C23" i="48"/>
  <c r="N22" i="48"/>
  <c r="M22" i="48"/>
  <c r="L22" i="48"/>
  <c r="I22" i="48"/>
  <c r="H22" i="48"/>
  <c r="G22" i="48"/>
  <c r="C22" i="48"/>
  <c r="N21" i="48"/>
  <c r="M21" i="48"/>
  <c r="L21" i="48"/>
  <c r="I21" i="48"/>
  <c r="H21" i="48"/>
  <c r="G21" i="48"/>
  <c r="C21" i="48"/>
  <c r="N20" i="48"/>
  <c r="M20" i="48"/>
  <c r="L20" i="48"/>
  <c r="I20" i="48"/>
  <c r="H20" i="48"/>
  <c r="G20" i="48"/>
  <c r="C20" i="48"/>
  <c r="N19" i="48"/>
  <c r="M19" i="48"/>
  <c r="L19" i="48"/>
  <c r="I19" i="48"/>
  <c r="H19" i="48"/>
  <c r="G19" i="48"/>
  <c r="C19" i="48"/>
  <c r="N18" i="48"/>
  <c r="M18" i="48"/>
  <c r="L18" i="48"/>
  <c r="I18" i="48"/>
  <c r="H18" i="48"/>
  <c r="G18" i="48"/>
  <c r="C18" i="48"/>
  <c r="N17" i="48"/>
  <c r="M17" i="48"/>
  <c r="L17" i="48"/>
  <c r="I17" i="48"/>
  <c r="H17" i="48"/>
  <c r="G17" i="48"/>
  <c r="C17" i="48"/>
  <c r="N16" i="48"/>
  <c r="M16" i="48"/>
  <c r="L16" i="48"/>
  <c r="I16" i="48"/>
  <c r="H16" i="48"/>
  <c r="G16" i="48"/>
  <c r="C16" i="48"/>
  <c r="N15" i="48"/>
  <c r="M15" i="48"/>
  <c r="L15" i="48"/>
  <c r="I15" i="48"/>
  <c r="H15" i="48"/>
  <c r="G15" i="48"/>
  <c r="C15" i="48"/>
  <c r="N14" i="48"/>
  <c r="M14" i="48"/>
  <c r="L14" i="48"/>
  <c r="I14" i="48"/>
  <c r="H14" i="48"/>
  <c r="G14" i="48"/>
  <c r="C14" i="48"/>
  <c r="N13" i="48"/>
  <c r="M13" i="48"/>
  <c r="L13" i="48"/>
  <c r="I13" i="48"/>
  <c r="H13" i="48"/>
  <c r="G13" i="48"/>
  <c r="C13" i="48"/>
  <c r="N12" i="48"/>
  <c r="M12" i="48"/>
  <c r="L12" i="48"/>
  <c r="I12" i="48"/>
  <c r="H12" i="48"/>
  <c r="G12" i="48"/>
  <c r="C12" i="48"/>
  <c r="N11" i="48"/>
  <c r="M11" i="48"/>
  <c r="L11" i="48"/>
  <c r="I11" i="48"/>
  <c r="H11" i="48"/>
  <c r="G11" i="48"/>
  <c r="C11" i="48"/>
  <c r="N10" i="48"/>
  <c r="M10" i="48"/>
  <c r="L10" i="48"/>
  <c r="I10" i="48"/>
  <c r="H10" i="48"/>
  <c r="G10" i="48"/>
  <c r="C10" i="48"/>
  <c r="H4" i="48"/>
  <c r="H3" i="48"/>
  <c r="N388" i="48" l="1"/>
  <c r="E393" i="48"/>
  <c r="H334" i="48"/>
  <c r="H342" i="48"/>
  <c r="M353" i="48"/>
  <c r="H358" i="48"/>
  <c r="M361" i="48"/>
  <c r="H366" i="48"/>
  <c r="M369" i="48"/>
  <c r="M377" i="48"/>
  <c r="M382" i="48"/>
  <c r="H357" i="48"/>
  <c r="H365" i="48"/>
  <c r="H373" i="48"/>
  <c r="M376" i="48"/>
  <c r="H380" i="48"/>
  <c r="H389" i="48"/>
  <c r="M390" i="48"/>
  <c r="H340" i="48"/>
  <c r="M351" i="48"/>
  <c r="H356" i="48"/>
  <c r="M359" i="48"/>
  <c r="H364" i="48"/>
  <c r="M367" i="48"/>
  <c r="H372" i="48"/>
  <c r="M375" i="48"/>
  <c r="H379" i="48"/>
  <c r="M381" i="48"/>
  <c r="H346" i="48"/>
  <c r="M365" i="48"/>
  <c r="H370" i="48"/>
  <c r="M373" i="48"/>
  <c r="H378" i="48"/>
  <c r="M389" i="48"/>
  <c r="G393" i="48"/>
  <c r="H377" i="48"/>
  <c r="H360" i="48"/>
  <c r="H368" i="48"/>
  <c r="H376" i="48"/>
  <c r="M378" i="48"/>
  <c r="L393" i="48"/>
  <c r="I378" i="48"/>
  <c r="I380" i="48"/>
  <c r="I382" i="48"/>
  <c r="N383" i="48"/>
  <c r="I384" i="48"/>
  <c r="N385" i="48"/>
  <c r="I386" i="48"/>
  <c r="N387" i="48"/>
  <c r="N389" i="48"/>
  <c r="I390" i="48"/>
  <c r="R64" i="4" l="1"/>
  <c r="R64" i="3"/>
  <c r="R64" i="2"/>
  <c r="B15" i="11"/>
  <c r="C15" i="11"/>
  <c r="D15" i="11"/>
  <c r="E15" i="11"/>
  <c r="F15" i="11"/>
  <c r="H15" i="11"/>
  <c r="I15" i="11"/>
  <c r="B42" i="5"/>
  <c r="C42" i="5"/>
  <c r="F42" i="5" s="1"/>
  <c r="D42" i="5"/>
  <c r="E42" i="5"/>
  <c r="H42" i="5"/>
  <c r="I42" i="5"/>
  <c r="B21" i="5"/>
  <c r="F21" i="5" s="1"/>
  <c r="C21" i="5"/>
  <c r="D21" i="5"/>
  <c r="E21" i="5"/>
  <c r="H21" i="5"/>
  <c r="I21" i="5"/>
  <c r="B16" i="19"/>
  <c r="C16" i="19"/>
  <c r="F16" i="19" s="1"/>
  <c r="D16" i="19"/>
  <c r="E16" i="19"/>
  <c r="G16" i="19" s="1"/>
  <c r="H16" i="19"/>
  <c r="I16" i="19"/>
  <c r="C35" i="18"/>
  <c r="D35" i="18"/>
  <c r="E35" i="18"/>
  <c r="F35" i="18"/>
  <c r="I35" i="18"/>
  <c r="J35" i="18"/>
  <c r="K35" i="18"/>
  <c r="L35" i="18"/>
  <c r="B29" i="17"/>
  <c r="C29" i="17"/>
  <c r="F29" i="17" s="1"/>
  <c r="D29" i="17"/>
  <c r="E29" i="17"/>
  <c r="G29" i="17" s="1"/>
  <c r="H29" i="17"/>
  <c r="I29" i="17"/>
  <c r="B65" i="16"/>
  <c r="C65" i="16"/>
  <c r="D65" i="16"/>
  <c r="E65" i="16"/>
  <c r="H65" i="16"/>
  <c r="F65" i="16" s="1"/>
  <c r="I65" i="16"/>
  <c r="J65" i="16"/>
  <c r="K65" i="16"/>
  <c r="L65" i="16"/>
  <c r="M65" i="16"/>
  <c r="P65" i="16"/>
  <c r="Q65" i="16"/>
  <c r="J8" i="12"/>
  <c r="J9" i="12"/>
  <c r="J10" i="12"/>
  <c r="J11" i="12"/>
  <c r="J12" i="12"/>
  <c r="J13" i="12"/>
  <c r="J14" i="12"/>
  <c r="K8" i="12"/>
  <c r="K9" i="12"/>
  <c r="K10" i="12"/>
  <c r="K11" i="12"/>
  <c r="K12" i="12"/>
  <c r="K13" i="12"/>
  <c r="K14" i="12"/>
  <c r="J28" i="12"/>
  <c r="J29" i="12"/>
  <c r="J30" i="12"/>
  <c r="J31" i="12"/>
  <c r="J32" i="12"/>
  <c r="J33" i="12"/>
  <c r="J34" i="12"/>
  <c r="J35" i="12"/>
  <c r="K28" i="12"/>
  <c r="K29" i="12"/>
  <c r="K30" i="12"/>
  <c r="K31" i="12"/>
  <c r="K32" i="12"/>
  <c r="K33" i="12"/>
  <c r="K34" i="12"/>
  <c r="K35" i="12"/>
  <c r="D254" i="36"/>
  <c r="E254" i="36"/>
  <c r="F254" i="36"/>
  <c r="G254" i="36"/>
  <c r="H254" i="36"/>
  <c r="D253" i="35"/>
  <c r="E253" i="35"/>
  <c r="H253" i="35" s="1"/>
  <c r="F253" i="35"/>
  <c r="G253" i="35"/>
  <c r="D255" i="10"/>
  <c r="E255" i="10"/>
  <c r="H255" i="10" s="1"/>
  <c r="F255" i="10"/>
  <c r="I255" i="10" s="1"/>
  <c r="G255" i="10"/>
  <c r="B15" i="13"/>
  <c r="D9" i="13" s="1"/>
  <c r="C15" i="13"/>
  <c r="E14" i="13" s="1"/>
  <c r="F15" i="13"/>
  <c r="H9" i="13" s="1"/>
  <c r="G15" i="13"/>
  <c r="I13" i="13" s="1"/>
  <c r="E9" i="13"/>
  <c r="E10" i="13"/>
  <c r="E11" i="13"/>
  <c r="E12" i="13"/>
  <c r="E13" i="13"/>
  <c r="I11" i="13"/>
  <c r="I12" i="13"/>
  <c r="J8" i="13"/>
  <c r="J9" i="13"/>
  <c r="J10" i="13"/>
  <c r="J11" i="13"/>
  <c r="J12" i="13"/>
  <c r="J13" i="13"/>
  <c r="J14" i="13"/>
  <c r="C332" i="8"/>
  <c r="D332" i="8"/>
  <c r="L253" i="35" s="1"/>
  <c r="E332" i="8"/>
  <c r="F332" i="8"/>
  <c r="H332" i="8" s="1"/>
  <c r="I332" i="8"/>
  <c r="J332" i="8"/>
  <c r="K332" i="8"/>
  <c r="L332" i="8"/>
  <c r="G15" i="11" l="1"/>
  <c r="I9" i="13"/>
  <c r="I253" i="35"/>
  <c r="G35" i="18"/>
  <c r="I8" i="13"/>
  <c r="G21" i="5"/>
  <c r="G332" i="8"/>
  <c r="I10" i="13"/>
  <c r="I254" i="36"/>
  <c r="L254" i="36"/>
  <c r="G65" i="16"/>
  <c r="H14" i="13"/>
  <c r="E8" i="13"/>
  <c r="L255" i="10"/>
  <c r="J254" i="36"/>
  <c r="I14" i="13"/>
  <c r="H10" i="13"/>
  <c r="D12" i="13"/>
  <c r="J255" i="10"/>
  <c r="M254" i="36"/>
  <c r="M255" i="10"/>
  <c r="D8" i="13"/>
  <c r="G42" i="5"/>
  <c r="O65" i="16"/>
  <c r="N65" i="16"/>
  <c r="H35" i="18"/>
  <c r="M253" i="35"/>
  <c r="J253" i="35"/>
  <c r="K254" i="36"/>
  <c r="K253" i="35"/>
  <c r="K255" i="10"/>
  <c r="H12" i="13"/>
  <c r="H8" i="13"/>
  <c r="D14" i="13"/>
  <c r="D10" i="13"/>
  <c r="H13" i="13"/>
  <c r="H11" i="13"/>
  <c r="D13" i="13"/>
  <c r="D11" i="13"/>
  <c r="H15" i="13" l="1"/>
  <c r="E15" i="13"/>
  <c r="D15" i="13"/>
  <c r="I15" i="13"/>
  <c r="R63" i="4" l="1"/>
  <c r="R63" i="3"/>
  <c r="R63" i="2"/>
  <c r="R62" i="4" l="1"/>
  <c r="R62" i="3"/>
  <c r="R62" i="2"/>
  <c r="R60" i="2" l="1"/>
  <c r="R59" i="2"/>
  <c r="R58" i="2"/>
  <c r="R57" i="2"/>
  <c r="R56" i="2"/>
  <c r="R55" i="2"/>
  <c r="R54" i="2"/>
  <c r="R53" i="2"/>
  <c r="R52" i="2"/>
  <c r="R51" i="2"/>
  <c r="R50" i="2"/>
  <c r="R49" i="2"/>
  <c r="R61" i="4" l="1"/>
  <c r="R61" i="3"/>
  <c r="R61" i="2"/>
  <c r="R49" i="4" l="1"/>
  <c r="S18" i="4"/>
  <c r="R18" i="4"/>
  <c r="R19" i="4"/>
  <c r="R60" i="3"/>
  <c r="R59" i="3"/>
  <c r="R58" i="3"/>
  <c r="R57" i="3"/>
  <c r="R56" i="3"/>
  <c r="R55" i="3"/>
  <c r="R54" i="3"/>
  <c r="R53" i="3"/>
  <c r="R52" i="3"/>
  <c r="R51" i="3"/>
  <c r="R50" i="3"/>
  <c r="R49" i="3"/>
  <c r="S18" i="3"/>
  <c r="R18" i="3"/>
  <c r="R19" i="3"/>
  <c r="P80" i="12"/>
  <c r="P79" i="12"/>
  <c r="P78" i="12"/>
  <c r="P77" i="12"/>
  <c r="P76" i="12"/>
  <c r="P75" i="12"/>
  <c r="P74" i="12"/>
  <c r="Q18" i="36"/>
  <c r="P18" i="36"/>
  <c r="Q18" i="35"/>
  <c r="P18" i="35"/>
  <c r="P19" i="35"/>
  <c r="Q18" i="10"/>
  <c r="P18" i="10"/>
  <c r="S18" i="2"/>
  <c r="R18" i="2"/>
  <c r="P81" i="12" l="1"/>
  <c r="R19" i="2"/>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H29" i="1" l="1"/>
  <c r="H24" i="1"/>
  <c r="G15" i="12"/>
  <c r="F15" i="12"/>
  <c r="C15" i="12"/>
  <c r="B15" i="12"/>
  <c r="E8" i="12" l="1"/>
  <c r="E10" i="12"/>
  <c r="E12" i="12"/>
  <c r="E14" i="12"/>
  <c r="E9" i="12"/>
  <c r="E11" i="12"/>
  <c r="E13" i="12"/>
  <c r="I8" i="12"/>
  <c r="I10" i="12"/>
  <c r="I12" i="12"/>
  <c r="I14" i="12"/>
  <c r="I9" i="12"/>
  <c r="I11" i="12"/>
  <c r="I13" i="12"/>
  <c r="D9" i="12"/>
  <c r="D11" i="12"/>
  <c r="D13" i="12"/>
  <c r="D8" i="12"/>
  <c r="D10" i="12"/>
  <c r="D12" i="12"/>
  <c r="D14" i="12"/>
  <c r="H9" i="12"/>
  <c r="H11" i="12"/>
  <c r="H13" i="12"/>
  <c r="H8" i="12"/>
  <c r="H10" i="12"/>
  <c r="H12" i="12"/>
  <c r="H14" i="12"/>
  <c r="E15" i="12" l="1"/>
  <c r="H15" i="12"/>
  <c r="I15" i="12"/>
  <c r="D15" i="12"/>
  <c r="B36" i="12" l="1"/>
  <c r="D29" i="12" l="1"/>
  <c r="D31" i="12"/>
  <c r="D33" i="12"/>
  <c r="D35" i="12"/>
  <c r="D28" i="12"/>
  <c r="D30" i="12"/>
  <c r="D32" i="12"/>
  <c r="D34" i="12"/>
  <c r="Q80" i="12"/>
  <c r="G36" i="12" l="1"/>
  <c r="F36" i="12"/>
  <c r="C36" i="12"/>
  <c r="D36" i="12"/>
  <c r="E29" i="12" l="1"/>
  <c r="E31" i="12"/>
  <c r="E33" i="12"/>
  <c r="E35" i="12"/>
  <c r="E28" i="12"/>
  <c r="E30" i="12"/>
  <c r="E32" i="12"/>
  <c r="E34" i="12"/>
  <c r="I29" i="12"/>
  <c r="I31" i="12"/>
  <c r="I33" i="12"/>
  <c r="I35" i="12"/>
  <c r="I28" i="12"/>
  <c r="I30" i="12"/>
  <c r="I32" i="12"/>
  <c r="I34" i="12"/>
  <c r="H29" i="12"/>
  <c r="H31" i="12"/>
  <c r="H33" i="12"/>
  <c r="H35" i="12"/>
  <c r="H28" i="12"/>
  <c r="H30" i="12"/>
  <c r="H32" i="12"/>
  <c r="H34" i="12"/>
  <c r="H36" i="12"/>
  <c r="J36" i="12"/>
  <c r="E36" i="12"/>
  <c r="I36" i="12"/>
  <c r="K36" i="12"/>
  <c r="J5" i="16" l="1"/>
  <c r="B5" i="16"/>
  <c r="E6" i="11" l="1"/>
  <c r="D6" i="11"/>
  <c r="C6" i="11"/>
  <c r="B6" i="11"/>
  <c r="E30" i="5"/>
  <c r="D30" i="5"/>
  <c r="C30" i="5"/>
  <c r="B30" i="5"/>
  <c r="E6" i="5"/>
  <c r="D6" i="5"/>
  <c r="C6" i="5"/>
  <c r="B6" i="5"/>
  <c r="E6" i="19"/>
  <c r="D6" i="19"/>
  <c r="C6" i="19"/>
  <c r="B6" i="19"/>
  <c r="E6" i="17"/>
  <c r="D6" i="17"/>
  <c r="C6" i="17"/>
  <c r="B6" i="17"/>
  <c r="E6" i="20"/>
  <c r="D6" i="20"/>
  <c r="C6" i="20"/>
  <c r="B6" i="20"/>
  <c r="C7" i="16"/>
  <c r="B7" i="16"/>
  <c r="G26" i="12"/>
  <c r="F26" i="12"/>
  <c r="C26" i="12"/>
  <c r="B26" i="12"/>
  <c r="G6" i="12"/>
  <c r="F6" i="12"/>
  <c r="C6" i="12"/>
  <c r="B6"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G6" i="20"/>
  <c r="F6" i="20"/>
  <c r="Q7" i="16"/>
  <c r="P7" i="16"/>
  <c r="I26" i="12"/>
  <c r="K26" i="12"/>
  <c r="E26" i="12"/>
  <c r="J26" i="12"/>
  <c r="H6" i="12"/>
  <c r="I6" i="12"/>
  <c r="K6" i="12"/>
  <c r="D6" i="12"/>
  <c r="E6" i="12"/>
  <c r="J6"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26" i="12"/>
  <c r="H26" i="12"/>
  <c r="H39" i="36"/>
  <c r="K38" i="35"/>
  <c r="J40" i="10"/>
  <c r="K40" i="10"/>
  <c r="G6" i="8"/>
  <c r="R60" i="4" l="1"/>
  <c r="R59" i="4"/>
  <c r="R58" i="4"/>
  <c r="R57" i="4"/>
  <c r="R56" i="4"/>
  <c r="R55" i="4"/>
  <c r="R54" i="4"/>
  <c r="R53" i="4"/>
  <c r="R52" i="4"/>
  <c r="R51" i="4"/>
  <c r="R50" i="4"/>
  <c r="Q19" i="36" l="1"/>
  <c r="P19" i="36"/>
  <c r="R18" i="36"/>
  <c r="R18" i="35" l="1"/>
  <c r="Q19" i="35"/>
  <c r="O55" i="12" l="1"/>
  <c r="G12" i="1" l="1"/>
  <c r="F12" i="1"/>
  <c r="G31" i="1"/>
  <c r="G30" i="1" s="1"/>
  <c r="F31" i="1"/>
  <c r="F30" i="1" s="1"/>
  <c r="G19" i="1"/>
  <c r="F19" i="1"/>
  <c r="G22" i="1"/>
  <c r="G23" i="1"/>
  <c r="F26" i="1"/>
  <c r="F23" i="1"/>
  <c r="F22" i="1"/>
  <c r="G26" i="1"/>
  <c r="G25" i="1" l="1"/>
  <c r="F25" i="1"/>
  <c r="H30" i="1"/>
  <c r="H22" i="1"/>
  <c r="H23" i="1"/>
  <c r="H31" i="1"/>
  <c r="H26" i="1"/>
  <c r="H19" i="1"/>
  <c r="H25" i="1" l="1"/>
  <c r="S25" i="2" l="1"/>
  <c r="T18" i="2" l="1"/>
  <c r="T18" i="4" l="1"/>
  <c r="T18" i="3"/>
  <c r="N47" i="12" l="1"/>
  <c r="L30" i="13"/>
  <c r="R18" i="10" l="1"/>
  <c r="S19" i="4" l="1"/>
  <c r="S19" i="3"/>
  <c r="S19" i="2"/>
  <c r="Q73" i="12" l="1"/>
  <c r="F6" i="18"/>
  <c r="L6" i="18" s="1"/>
  <c r="E6" i="18"/>
  <c r="J6" i="18" s="1"/>
  <c r="D6" i="18"/>
  <c r="K6" i="18" s="1"/>
  <c r="C6" i="18"/>
  <c r="I6" i="18" s="1"/>
  <c r="Q79" i="12"/>
  <c r="Q78" i="12"/>
  <c r="Q77" i="12"/>
  <c r="Q76" i="12"/>
  <c r="Q75" i="12"/>
  <c r="Q74" i="12"/>
  <c r="Q81" i="12" l="1"/>
  <c r="G6" i="18"/>
  <c r="H6" i="18"/>
  <c r="J15" i="12" l="1"/>
  <c r="O49" i="12"/>
  <c r="O51" i="12"/>
  <c r="O53" i="12"/>
  <c r="O50" i="12"/>
  <c r="O52" i="12"/>
  <c r="O54" i="12"/>
  <c r="K1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B000000}" keepAlive="1" name="bdsql12 BDnewRegistrations getAggPBCO2Emissions" type="5" refreshedVersion="4" savePassword="1" deleted="1" saveData="1">
    <dbPr connection="" command=""/>
  </connection>
  <connection id="12" xr16:uid="{00000000-0015-0000-FFFF-FFFF0C000000}" keepAlive="1" name="bdsql12 BDnewRegistrations getAggPBCO2EmissionsWLTP" type="5" refreshedVersion="4" savePassword="1" deleted="1" saveData="1">
    <dbPr connection="" command=""/>
  </connection>
  <connection id="13" xr16:uid="{00000000-0015-0000-FFFF-FFFF0D000000}" keepAlive="1" name="bdsql12 BDnewRegistrations getAggPBFuelTypes" type="5" refreshedVersion="4" savePassword="1" deleted="1" saveData="1">
    <dbPr connection="" command=""/>
  </connection>
  <connection id="14" xr16:uid="{00000000-0015-0000-FFFF-FFFF0E000000}" keepAlive="1" name="bdsql12 BDnewRegistrations getAggRechargeModelsII" type="5" refreshedVersion="4" savePassword="1" deleted="1" saveData="1">
    <dbPr connection="" command=""/>
  </connection>
  <connection id="15" xr16:uid="{00000000-0015-0000-FFFF-FFFF0F000000}" keepAlive="1" name="bdsql12 BDnewRegistrations getAggRechargeModelsII1" type="5" refreshedVersion="4" savePassword="1" deleted="1" saveData="1">
    <dbPr connection="" command=""/>
  </connection>
  <connection id="16" xr16:uid="{00000000-0015-0000-FFFF-FFFF10000000}" keepAlive="1" name="bdsql12 BDnewRegistrations getAggRechargeModelsII11" type="5" refreshedVersion="4" savePassword="1" deleted="1" saveData="1">
    <dbPr connection="" command=""/>
  </connection>
  <connection id="17" xr16:uid="{00000000-0015-0000-FFFF-FFFF11000000}" keepAlive="1" name="bdsql12 BDnewRegistrations getAggTotalCO2" type="5" refreshedVersion="4" minRefreshableVersion="3" savePassword="1" deleted="1" saveData="1">
    <dbPr connection="" command=""/>
  </connection>
  <connection id="18" xr16:uid="{00000000-0015-0000-FFFF-FFFF12000000}" keepAlive="1" name="bdsql12 Transportstyrelsen sumPrelNyregImportBUSS" type="5" refreshedVersion="4" savePassword="1" deleted="1" saveData="1">
    <dbPr connection="" command=""/>
  </connection>
  <connection id="19"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<sst xmlns="http://schemas.openxmlformats.org/spreadsheetml/2006/main" count="3016" uniqueCount="1277">
  <si>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</si>
  <si>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</si>
  <si>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</si>
  <si>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</si>
  <si>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</si>
  <si>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</si>
  <si>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</si>
  <si>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</si>
  <si>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</si>
  <si>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</si>
  <si>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</si>
  <si>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</si>
  <si>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</si>
  <si>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</si>
  <si>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</si>
  <si>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</si>
  <si>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Nyregistrerade tunga lastbilar &gt;16 ton per månad</t>
  </si>
  <si>
    <t>61-95 g</t>
  </si>
  <si>
    <t>96-120 g</t>
  </si>
  <si>
    <t>Över 140 g</t>
  </si>
  <si>
    <t>Bensin</t>
  </si>
  <si>
    <t>Diesel</t>
  </si>
  <si>
    <t>Elhybrid</t>
  </si>
  <si>
    <t>Laddhybrid</t>
  </si>
  <si>
    <t>El</t>
  </si>
  <si>
    <t>Gas</t>
  </si>
  <si>
    <t>Etanol</t>
  </si>
  <si>
    <t>Nyregistrerade personbilar fördelat på koldioxidutsläpp</t>
  </si>
  <si>
    <t>61-95g</t>
  </si>
  <si>
    <t>96-120g</t>
  </si>
  <si>
    <t>121-130g</t>
  </si>
  <si>
    <t>131-140g</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</si>
  <si>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</si>
  <si>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</si>
  <si>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</si>
  <si>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</si>
  <si>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</si>
  <si>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</si>
  <si>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</si>
  <si>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</si>
  <si>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</si>
  <si>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</si>
  <si>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</si>
  <si>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</si>
  <si>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</si>
  <si>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</si>
  <si>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</si>
  <si>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</si>
  <si>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</si>
  <si>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</si>
  <si>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</si>
  <si>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</si>
  <si>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</si>
  <si>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</si>
  <si>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</si>
  <si>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</si>
  <si>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</si>
  <si>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</si>
  <si>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</si>
  <si>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</si>
  <si>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</si>
  <si>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</si>
  <si>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</si>
  <si>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</si>
  <si>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</si>
  <si>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</si>
  <si>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</si>
  <si>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</si>
  <si>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</si>
  <si>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</si>
  <si>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</si>
  <si>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</si>
  <si>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</si>
  <si>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</si>
  <si>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</si>
  <si>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</si>
  <si>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</si>
  <si>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</si>
  <si>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</si>
  <si>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</si>
  <si>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</si>
  <si>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</si>
  <si>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</si>
  <si>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</si>
  <si>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</si>
  <si>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</si>
  <si>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</si>
  <si>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</si>
  <si>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</si>
  <si>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</si>
  <si>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</si>
  <si>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</si>
  <si>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</si>
  <si>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</si>
  <si>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</si>
  <si>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</si>
  <si>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</si>
  <si>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</si>
  <si>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</si>
  <si>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</si>
  <si>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</si>
  <si>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</si>
  <si>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</si>
  <si>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</si>
  <si>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</si>
  <si>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</si>
  <si>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</si>
  <si>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</si>
  <si>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</si>
  <si>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</si>
  <si>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</si>
  <si>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</si>
  <si>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</si>
  <si>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</si>
  <si>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</si>
  <si>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</si>
  <si>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</si>
  <si>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</si>
  <si>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</si>
  <si>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HYUNDAI IONIQ</t>
  </si>
  <si>
    <t>SEAT TARRACO</t>
  </si>
  <si>
    <t>BMW 2-SERIE</t>
  </si>
  <si>
    <t xml:space="preserve">SUZUKI VITARA           </t>
  </si>
  <si>
    <t>HYUNDAI I30</t>
  </si>
  <si>
    <t>LEXUS</t>
  </si>
  <si>
    <t xml:space="preserve">HONDA CIVIC             </t>
  </si>
  <si>
    <t xml:space="preserve">HONDA CR-V              </t>
  </si>
  <si>
    <t>HYUNDAI TUCSON</t>
  </si>
  <si>
    <t>SUBARU XV</t>
  </si>
  <si>
    <t>DACIA SANDERO</t>
  </si>
  <si>
    <t>BMW X5</t>
  </si>
  <si>
    <t>LEXUS NX300H</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</si>
  <si>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</si>
  <si>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</si>
  <si>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</si>
  <si>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</si>
  <si>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</si>
  <si>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</si>
  <si>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</si>
  <si>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</si>
  <si>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</si>
  <si>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</si>
  <si>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</si>
  <si>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</si>
  <si>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</si>
  <si>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</si>
  <si>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</si>
  <si>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</si>
  <si>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</si>
  <si>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</si>
  <si>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</si>
  <si>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</si>
  <si>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</si>
  <si>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</si>
  <si>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</si>
  <si>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</si>
  <si>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</si>
  <si>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</si>
  <si>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</si>
  <si>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</si>
  <si>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</si>
  <si>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</si>
  <si>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</si>
  <si>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</si>
  <si>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</si>
  <si>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</si>
  <si>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</si>
  <si>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</si>
  <si>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</si>
  <si>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</si>
  <si>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</si>
  <si>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</si>
  <si>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</si>
  <si>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</si>
  <si>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</si>
  <si>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</si>
  <si>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</si>
  <si>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</si>
  <si>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</si>
  <si>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</si>
  <si>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</si>
  <si>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</si>
  <si>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</si>
  <si>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</si>
  <si>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</si>
  <si>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</si>
  <si>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</si>
  <si>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</si>
  <si>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</si>
  <si>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</si>
  <si>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</si>
  <si>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</si>
  <si>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</si>
  <si>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</si>
  <si>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</si>
  <si>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</si>
  <si>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</si>
  <si>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</si>
  <si>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</si>
  <si>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</si>
  <si>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</si>
  <si>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</si>
  <si>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</si>
  <si>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</si>
  <si>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</si>
  <si>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</si>
  <si>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</si>
  <si>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</si>
  <si>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</si>
  <si>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</si>
  <si>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</si>
  <si>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</si>
  <si>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</si>
  <si>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</si>
  <si>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</si>
  <si>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</si>
  <si>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</si>
  <si>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</si>
  <si>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</si>
  <si>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</si>
  <si>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</si>
  <si>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</si>
  <si>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</si>
  <si>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</si>
  <si>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</si>
  <si>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</si>
  <si>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</si>
  <si>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</si>
  <si>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</si>
  <si>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</si>
  <si>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</si>
  <si>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</si>
  <si>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</si>
  <si>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</si>
  <si>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</si>
  <si>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</si>
  <si>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</si>
  <si>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</si>
  <si>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</si>
  <si>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</si>
  <si>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</si>
  <si>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</si>
  <si>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</si>
  <si>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</si>
  <si>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</si>
  <si>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</si>
  <si>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</si>
  <si>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</si>
  <si>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</si>
  <si>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</si>
  <si>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</si>
  <si>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</si>
  <si>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</si>
  <si>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</si>
  <si>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</si>
  <si>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</si>
  <si>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</si>
  <si>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</si>
  <si>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</si>
  <si>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</si>
  <si>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</si>
  <si>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</si>
  <si>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</si>
  <si>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</si>
  <si>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</si>
  <si>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</si>
  <si>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</si>
  <si>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</si>
  <si>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</si>
  <si>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</si>
  <si>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</si>
  <si>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</si>
  <si>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</si>
  <si>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</si>
  <si>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</si>
  <si>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</si>
  <si>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</si>
  <si>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</si>
  <si>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</si>
  <si>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</si>
  <si>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</si>
  <si>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</si>
  <si>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</si>
  <si>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</si>
  <si>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</si>
  <si>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</si>
  <si>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</si>
  <si>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</si>
  <si>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</si>
  <si>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</si>
  <si>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</si>
  <si>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</si>
  <si>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</si>
  <si>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</si>
  <si>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</si>
  <si>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</si>
  <si>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</si>
  <si>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</si>
  <si>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</si>
  <si>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</si>
  <si>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</si>
  <si>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</si>
  <si>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</si>
  <si>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</si>
  <si>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</si>
  <si>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</si>
  <si>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</si>
  <si>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</si>
  <si>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</si>
  <si>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Nyregistrerade tunga lastbilar över 16 ton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</si>
  <si>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</si>
  <si>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</si>
  <si>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</si>
  <si>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</si>
  <si>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</si>
  <si>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</si>
  <si>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</si>
  <si>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</si>
  <si>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</si>
  <si>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</si>
  <si>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</si>
  <si>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</si>
  <si>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</si>
  <si>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</si>
  <si>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</si>
  <si>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</si>
  <si>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</si>
  <si>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</si>
  <si>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</si>
  <si>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</si>
  <si>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</si>
  <si>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</si>
  <si>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</si>
  <si>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</si>
  <si>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</si>
  <si>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</si>
  <si>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</si>
  <si>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</si>
  <si>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</si>
  <si>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</si>
  <si>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</si>
  <si>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</si>
  <si>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</si>
  <si>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</si>
  <si>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</si>
  <si>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</si>
  <si>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</si>
  <si>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</si>
  <si>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</si>
  <si>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</si>
  <si>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Nyregistreringar personbilar fördelat på CO2-utsläpp (enl. NEDC)</t>
  </si>
  <si>
    <t>61 - 95g</t>
  </si>
  <si>
    <t>96 - 120g</t>
  </si>
  <si>
    <t>121 - 130g</t>
  </si>
  <si>
    <t>131 - 140g</t>
  </si>
  <si>
    <t>Statistiken baseras på den av tillverkaren angivna certifierade koldioxidvärdena enligt NEDC, för både innevarande och föregående år, för att få jämförbarhet.</t>
  </si>
  <si>
    <t>co2utsläpp</t>
  </si>
  <si>
    <t>Column6</t>
  </si>
  <si>
    <t>121-130 g</t>
  </si>
  <si>
    <t>131-140 g</t>
  </si>
  <si>
    <t>perioden</t>
  </si>
  <si>
    <t>perioden fg. År</t>
  </si>
  <si>
    <t>acc innev. År</t>
  </si>
  <si>
    <t>acc fg. År</t>
  </si>
  <si>
    <t>året</t>
  </si>
  <si>
    <t>fg. År</t>
  </si>
  <si>
    <t>månaden</t>
  </si>
  <si>
    <t>månFrånTill</t>
  </si>
  <si>
    <t>MERCEDES C-KLASS (205)</t>
  </si>
  <si>
    <t>Nyregistrerade personbilar per CO2-utsläpp (NEDC-värden)</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</si>
  <si>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</si>
  <si>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</si>
  <si>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</si>
  <si>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</si>
  <si>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</si>
  <si>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</si>
  <si>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</si>
  <si>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</si>
  <si>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</si>
  <si>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</si>
  <si>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</si>
  <si>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</si>
  <si>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</si>
  <si>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</si>
  <si>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</si>
  <si>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</si>
  <si>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</si>
  <si>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</si>
  <si>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</si>
  <si>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CO2-utsläpp nya personbilar per månad</t>
  </si>
  <si>
    <t xml:space="preserve">FORD PUMA               </t>
  </si>
  <si>
    <t>MERCEDES Sprinter</t>
  </si>
  <si>
    <t>DS 3</t>
  </si>
  <si>
    <t>KIA CEED SW PLUG-IN HYBR</t>
  </si>
  <si>
    <t>BMW X3 30E XDRIVE</t>
  </si>
  <si>
    <t>AUDI Q5 TFSIE</t>
  </si>
  <si>
    <t>MERCEDES A-KLASS (177)</t>
  </si>
  <si>
    <t>FORD KUGA PLUG-IN</t>
  </si>
  <si>
    <t>DS 7 CROSSBACK</t>
  </si>
  <si>
    <t>Mercedes</t>
  </si>
  <si>
    <t>noRegs</t>
  </si>
  <si>
    <t>avgCO2</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</si>
  <si>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</si>
  <si>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</si>
  <si>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</si>
  <si>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</si>
  <si>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</si>
  <si>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</si>
  <si>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</si>
  <si>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</si>
  <si>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</si>
  <si>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</si>
  <si>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</si>
  <si>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</si>
  <si>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</si>
  <si>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</si>
  <si>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</si>
  <si>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</si>
  <si>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</si>
  <si>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</si>
  <si>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</si>
  <si>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</si>
  <si>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</si>
  <si>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</si>
  <si>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</si>
  <si>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</si>
  <si>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</si>
  <si>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</si>
  <si>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</si>
  <si>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</si>
  <si>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</si>
  <si>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</si>
  <si>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</si>
  <si>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</si>
  <si>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</si>
  <si>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</si>
  <si>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</si>
  <si>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</si>
  <si>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</si>
  <si>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</si>
  <si>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</si>
  <si>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</si>
  <si>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</si>
  <si>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</si>
  <si>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</si>
  <si>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</si>
  <si>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</si>
  <si>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</si>
  <si>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</si>
  <si>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</si>
  <si>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</si>
  <si>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</si>
  <si>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</si>
  <si>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</si>
  <si>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</si>
  <si>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</si>
  <si>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</si>
  <si>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</si>
  <si>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</si>
  <si>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</si>
  <si>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</si>
  <si>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</si>
  <si>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</si>
  <si>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</si>
  <si>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</si>
  <si>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</si>
  <si>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</si>
  <si>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</si>
  <si>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</si>
  <si>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</si>
  <si>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</si>
  <si>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</si>
  <si>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</si>
  <si>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</si>
  <si>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</si>
  <si>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</si>
  <si>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</si>
  <si>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</si>
  <si>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</si>
  <si>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</si>
  <si>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</si>
  <si>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</si>
  <si>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</si>
  <si>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</si>
  <si>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</si>
  <si>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</si>
  <si>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</si>
  <si>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</si>
  <si>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</si>
  <si>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Nyregistreringar lätta lastbilar (&lt; 3,5 ton) per fabrikat</t>
  </si>
  <si>
    <t>Nyregistreringar eldrivna lätta lastbilar,  högst 3,5 ton</t>
  </si>
  <si>
    <t>Modell</t>
  </si>
  <si>
    <t>Nyregistreringar tunga lastbilar (över 16 ton) per fabrikat</t>
  </si>
  <si>
    <t>Mercedes Benz</t>
  </si>
  <si>
    <t>Scania</t>
  </si>
  <si>
    <t>Nyregistreringsstatistik</t>
  </si>
  <si>
    <t>Drivmedel</t>
  </si>
  <si>
    <t>Utsläpp</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</si>
  <si>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</si>
  <si>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</si>
  <si>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</si>
  <si>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</si>
  <si>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</si>
  <si>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</si>
  <si>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</si>
  <si>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</si>
  <si>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</si>
  <si>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</si>
  <si>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</si>
  <si>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</si>
  <si>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</si>
  <si>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</si>
  <si>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</si>
  <si>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</si>
  <si>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</si>
  <si>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</si>
  <si>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</si>
  <si>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</si>
  <si>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</si>
  <si>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</si>
  <si>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</si>
  <si>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</si>
  <si>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</si>
  <si>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</si>
  <si>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</si>
  <si>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</si>
  <si>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</si>
  <si>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</si>
  <si>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</si>
  <si>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</si>
  <si>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</si>
  <si>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</si>
  <si>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</si>
  <si>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</si>
  <si>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</si>
  <si>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</si>
  <si>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</si>
  <si>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</si>
  <si>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</si>
  <si>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</si>
  <si>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</si>
  <si>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</si>
  <si>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</si>
  <si>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</si>
  <si>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</si>
  <si>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</si>
  <si>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</si>
  <si>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</si>
  <si>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</si>
  <si>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</si>
  <si>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</si>
  <si>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</si>
  <si>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</si>
  <si>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</si>
  <si>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</si>
  <si>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</si>
  <si>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</si>
  <si>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</si>
  <si>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</si>
  <si>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</si>
  <si>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</si>
  <si>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</si>
  <si>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</si>
  <si>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</si>
  <si>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</si>
  <si>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</si>
  <si>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</si>
  <si>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</si>
  <si>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</si>
  <si>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</si>
  <si>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</si>
  <si>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</si>
  <si>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</si>
  <si>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</si>
  <si>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</si>
  <si>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</si>
  <si>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</si>
  <si>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</si>
  <si>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</si>
  <si>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</si>
  <si>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</si>
  <si>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</si>
  <si>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</si>
  <si>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</si>
  <si>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</si>
  <si>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</si>
  <si>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</si>
  <si>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</si>
  <si>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</si>
  <si>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</si>
  <si>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</si>
  <si>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</si>
  <si>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</si>
  <si>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</si>
  <si>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</si>
  <si>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</si>
  <si>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</si>
  <si>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</si>
  <si>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</si>
  <si>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</si>
  <si>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</si>
  <si>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</si>
  <si>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Högst  3,5 ton</t>
  </si>
  <si>
    <t>Över  16,0 ton</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</si>
  <si>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</si>
  <si>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</si>
  <si>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</si>
  <si>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</si>
  <si>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</si>
  <si>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</si>
  <si>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</si>
  <si>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</si>
  <si>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</si>
  <si>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</si>
  <si>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</si>
  <si>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</si>
  <si>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</si>
  <si>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</si>
  <si>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</si>
  <si>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</si>
  <si>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</si>
  <si>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</si>
  <si>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</si>
  <si>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</si>
  <si>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</si>
  <si>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</si>
  <si>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</si>
  <si>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</si>
  <si>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</si>
  <si>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</si>
  <si>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</si>
  <si>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</si>
  <si>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</si>
  <si>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</si>
  <si>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</si>
  <si>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</si>
  <si>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</si>
  <si>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</si>
  <si>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</si>
  <si>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</si>
  <si>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</si>
  <si>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</si>
  <si>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</si>
  <si>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</si>
  <si>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</si>
  <si>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</si>
  <si>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</si>
  <si>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</si>
  <si>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</si>
  <si>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</si>
  <si>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</si>
  <si>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</si>
  <si>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</si>
  <si>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</si>
  <si>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</si>
  <si>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</si>
  <si>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</si>
  <si>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</si>
  <si>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</si>
  <si>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</si>
  <si>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</si>
  <si>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</si>
  <si>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</si>
  <si>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</si>
  <si>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</si>
  <si>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</si>
  <si>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</si>
  <si>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</si>
  <si>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</si>
  <si>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</si>
  <si>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</si>
  <si>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</si>
  <si>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</si>
  <si>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</si>
  <si>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</si>
  <si>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</si>
  <si>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</si>
  <si>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</si>
  <si>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</si>
  <si>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</si>
  <si>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</si>
  <si>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</si>
  <si>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</si>
  <si>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</si>
  <si>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</si>
  <si>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</si>
  <si>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</si>
  <si>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</si>
  <si>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</si>
  <si>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</si>
  <si>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</si>
  <si>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</si>
  <si>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</si>
  <si>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</si>
  <si>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</si>
  <si>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</si>
  <si>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</si>
  <si>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</si>
  <si>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</si>
  <si>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</si>
  <si>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</si>
  <si>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</si>
  <si>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</si>
  <si>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</si>
  <si>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</si>
  <si>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</si>
  <si>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</si>
  <si>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</si>
  <si>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</si>
  <si>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</si>
  <si>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</si>
  <si>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</si>
  <si>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</si>
  <si>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</si>
  <si>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r>
      <rPr>
        <b/>
        <sz val="10"/>
        <color theme="1"/>
        <rFont val="Arial"/>
        <family val="2"/>
      </rPr>
      <t>OBS! Redovisningen av CO2-utsläpp</t>
    </r>
    <r>
      <rPr>
        <sz val="10"/>
        <color theme="1"/>
        <rFont val="Arial"/>
        <family val="2"/>
      </rPr>
      <t xml:space="preserve"> är justerad för att ge en bättre bild av fördelningen, och vissa siffor kan därför visa små differenser mot tidigare rapporter.</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</si>
  <si>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</si>
  <si>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</si>
  <si>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</si>
  <si>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</si>
  <si>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</si>
  <si>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</si>
  <si>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</si>
  <si>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</si>
  <si>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</si>
  <si>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</si>
  <si>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</si>
  <si>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</si>
  <si>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</si>
  <si>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</si>
  <si>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</si>
  <si>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</si>
  <si>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</si>
  <si>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</si>
  <si>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</si>
  <si>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</si>
  <si>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</si>
  <si>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</si>
  <si>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</si>
  <si>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</si>
  <si>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</si>
  <si>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</si>
  <si>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</si>
  <si>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</si>
  <si>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</si>
  <si>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</si>
  <si>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</si>
  <si>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</si>
  <si>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</si>
  <si>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</si>
  <si>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</si>
  <si>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</si>
  <si>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</si>
  <si>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</si>
  <si>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</si>
  <si>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</si>
  <si>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</si>
  <si>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</si>
  <si>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</si>
  <si>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</si>
  <si>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</si>
  <si>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</si>
  <si>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</si>
  <si>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</si>
  <si>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</si>
  <si>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</si>
  <si>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</si>
  <si>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</si>
  <si>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</si>
  <si>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</si>
  <si>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</si>
  <si>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</si>
  <si>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</si>
  <si>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</si>
  <si>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</si>
  <si>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</si>
  <si>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</si>
  <si>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</si>
  <si>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</si>
  <si>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</si>
  <si>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</si>
  <si>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</si>
  <si>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</si>
  <si>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</si>
  <si>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</si>
  <si>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</si>
  <si>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</si>
  <si>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</si>
  <si>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</si>
  <si>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</si>
  <si>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</si>
  <si>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</si>
  <si>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</si>
  <si>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</si>
  <si>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</si>
  <si>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</si>
  <si>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</si>
  <si>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</si>
  <si>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</si>
  <si>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</si>
  <si>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</si>
  <si>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</si>
  <si>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</si>
  <si>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</si>
  <si>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</si>
  <si>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</si>
  <si>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</si>
  <si>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</si>
  <si>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</si>
  <si>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</si>
  <si>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</si>
  <si>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</si>
  <si>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</si>
  <si>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</si>
  <si>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</si>
  <si>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</si>
  <si>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</si>
  <si>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</si>
  <si>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</si>
  <si>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</si>
  <si>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</si>
  <si>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</si>
  <si>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</si>
  <si>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</si>
  <si>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</si>
  <si>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</si>
  <si>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</si>
  <si>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</si>
  <si>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</si>
  <si>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</si>
  <si>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</si>
  <si>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</si>
  <si>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</si>
  <si>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</si>
  <si>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</si>
  <si>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</si>
  <si>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</si>
  <si>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</si>
  <si>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</si>
  <si>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</si>
  <si>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</si>
  <si>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</si>
  <si>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</si>
  <si>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</si>
  <si>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</si>
  <si>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</si>
  <si>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</si>
  <si>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</si>
  <si>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</si>
  <si>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</si>
  <si>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</si>
  <si>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</si>
  <si>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</si>
  <si>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</si>
  <si>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</si>
  <si>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</si>
  <si>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</si>
  <si>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</si>
  <si>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</si>
  <si>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</si>
  <si>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</si>
  <si>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</si>
  <si>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</si>
  <si>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</si>
  <si>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</si>
  <si>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</si>
  <si>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</si>
  <si>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</si>
  <si>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</si>
  <si>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</si>
  <si>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</si>
  <si>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</si>
  <si>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</si>
  <si>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</si>
  <si>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</si>
  <si>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</si>
  <si>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</si>
  <si>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</si>
  <si>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</si>
  <si>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</si>
  <si>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</si>
  <si>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</si>
  <si>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</si>
  <si>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</si>
  <si>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</si>
  <si>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</si>
  <si>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</si>
  <si>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</si>
  <si>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</si>
  <si>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</si>
  <si>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</si>
  <si>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</si>
  <si>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</si>
  <si>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</si>
  <si>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</si>
  <si>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</si>
  <si>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</si>
  <si>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</si>
  <si>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</si>
  <si>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</si>
  <si>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</si>
  <si>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</si>
  <si>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</si>
  <si>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</si>
  <si>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</si>
  <si>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</si>
  <si>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</si>
  <si>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</si>
  <si>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</si>
  <si>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</si>
  <si>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</si>
  <si>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</si>
  <si>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</si>
  <si>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Ioniq</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</si>
  <si>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</si>
  <si>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</si>
  <si>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</si>
  <si>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</si>
  <si>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</si>
  <si>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</si>
  <si>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</si>
  <si>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</si>
  <si>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</si>
  <si>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</si>
  <si>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</si>
  <si>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</si>
  <si>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</si>
  <si>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</si>
  <si>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</si>
  <si>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</si>
  <si>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</si>
  <si>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</si>
  <si>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</si>
  <si>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</si>
  <si>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</si>
  <si>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</si>
  <si>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</si>
  <si>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</si>
  <si>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</si>
  <si>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</si>
  <si>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</si>
  <si>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</si>
  <si>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</si>
  <si>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</si>
  <si>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</si>
  <si>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</si>
  <si>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</si>
  <si>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</si>
  <si>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</si>
  <si>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</si>
  <si>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</si>
  <si>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</si>
  <si>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</si>
  <si>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</si>
  <si>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</si>
  <si>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</si>
  <si>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</si>
  <si>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</si>
  <si>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</si>
  <si>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</si>
  <si>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</si>
  <si>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</si>
  <si>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</si>
  <si>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</si>
  <si>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</si>
  <si>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</si>
  <si>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</si>
  <si>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</si>
  <si>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</si>
  <si>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</si>
  <si>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</si>
  <si>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</si>
  <si>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</si>
  <si>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</si>
  <si>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</si>
  <si>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</si>
  <si>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</si>
  <si>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</si>
  <si>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</si>
  <si>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</si>
  <si>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</si>
  <si>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</si>
  <si>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</si>
  <si>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</si>
  <si>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Nx300h</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</si>
  <si>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</si>
  <si>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</si>
  <si>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</si>
  <si>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</si>
  <si>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</si>
  <si>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</si>
  <si>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</si>
  <si>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</si>
  <si>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</si>
  <si>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</si>
  <si>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</si>
  <si>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</si>
  <si>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</si>
  <si>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</si>
  <si>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</si>
  <si>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</si>
  <si>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</si>
  <si>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</si>
  <si>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</si>
  <si>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</si>
  <si>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</si>
  <si>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</si>
  <si>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</si>
  <si>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</si>
  <si>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</si>
  <si>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</si>
  <si>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</si>
  <si>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</si>
  <si>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51-60 g</t>
  </si>
  <si>
    <t>51-60g</t>
  </si>
  <si>
    <t>MAZDA CX-60</t>
  </si>
  <si>
    <t xml:space="preserve">MERCEDES 300-600 SL     </t>
  </si>
  <si>
    <t>BMW IX M60</t>
  </si>
  <si>
    <t>MAXUS E-DELIVER 9 CHASSI</t>
  </si>
  <si>
    <t>Jul-22</t>
  </si>
  <si>
    <t>300-600 sl</t>
  </si>
  <si>
    <t>Cx-60</t>
  </si>
  <si>
    <t>41 - 60g</t>
  </si>
  <si>
    <t>OPEL ASTRA</t>
  </si>
  <si>
    <t>BMW 230E XDRIVE ACTIVE</t>
  </si>
  <si>
    <t/>
  </si>
  <si>
    <t>FIAT SCUDO</t>
  </si>
  <si>
    <t>Aug-22</t>
  </si>
  <si>
    <t>Elbussar, antal</t>
  </si>
  <si>
    <t>Elbilar, antal</t>
  </si>
  <si>
    <t>Laddhybrider, antal</t>
  </si>
  <si>
    <t>Lätta lastbilar ( upp till 3,5 ton), antal</t>
  </si>
  <si>
    <t>Lätta eldrivna lastbilar, antal</t>
  </si>
  <si>
    <t>Tunga lastbilar ( över 16 ton),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</si>
  <si>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</si>
  <si>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</si>
  <si>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</si>
  <si>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</si>
  <si>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</si>
  <si>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</si>
  <si>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</si>
  <si>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</si>
  <si>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</si>
  <si>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</si>
  <si>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</si>
  <si>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</si>
  <si>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</si>
  <si>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</si>
  <si>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</si>
  <si>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</si>
  <si>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</si>
  <si>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</si>
  <si>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</si>
  <si>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</si>
  <si>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</si>
  <si>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</si>
  <si>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</si>
  <si>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</si>
  <si>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</si>
  <si>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</si>
  <si>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</si>
  <si>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</si>
  <si>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</si>
  <si>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</si>
  <si>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</si>
  <si>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</si>
  <si>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</si>
  <si>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</si>
  <si>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</si>
  <si>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</si>
  <si>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</si>
  <si>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</si>
  <si>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</si>
  <si>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</si>
  <si>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</si>
  <si>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</si>
  <si>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</si>
  <si>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</si>
  <si>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</si>
  <si>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</si>
  <si>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Jan - dec 2022</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</si>
  <si>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</si>
  <si>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</si>
  <si>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</si>
  <si>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</si>
  <si>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</si>
  <si>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</si>
  <si>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</si>
  <si>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</si>
  <si>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</si>
  <si>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</si>
  <si>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</si>
  <si>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</si>
  <si>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</si>
  <si>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</si>
  <si>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</si>
  <si>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</si>
  <si>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</si>
  <si>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</si>
  <si>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</si>
  <si>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</si>
  <si>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</si>
  <si>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</si>
  <si>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</si>
  <si>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</si>
  <si>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</si>
  <si>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</si>
  <si>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</si>
  <si>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</si>
  <si>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</si>
  <si>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</si>
  <si>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</si>
  <si>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</si>
  <si>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</si>
  <si>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</si>
  <si>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</si>
  <si>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</si>
  <si>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</si>
  <si>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</si>
  <si>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</si>
  <si>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</si>
  <si>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</si>
  <si>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</si>
  <si>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</si>
  <si>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</si>
  <si>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</si>
  <si>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</si>
  <si>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</si>
  <si>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</si>
  <si>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</si>
  <si>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</si>
  <si>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</si>
  <si>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</si>
  <si>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</si>
  <si>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</si>
  <si>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</si>
  <si>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</si>
  <si>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</si>
  <si>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</si>
  <si>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</si>
  <si>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</si>
  <si>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</si>
  <si>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</si>
  <si>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</si>
  <si>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</si>
  <si>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</si>
  <si>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</si>
  <si>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2(3)</t>
  </si>
  <si>
    <t>7-serie</t>
  </si>
  <si>
    <t>8(6)</t>
  </si>
  <si>
    <t>Koleos</t>
  </si>
  <si>
    <t>Galaxy</t>
  </si>
  <si>
    <t>Primastar</t>
  </si>
  <si>
    <t>Spacetourer</t>
  </si>
  <si>
    <t>Giulia</t>
  </si>
  <si>
    <t>Tonale</t>
  </si>
  <si>
    <t>EL7</t>
  </si>
  <si>
    <t>I-pace</t>
  </si>
  <si>
    <t>F</t>
  </si>
  <si>
    <t>XE</t>
  </si>
  <si>
    <t>E-hs9</t>
  </si>
  <si>
    <t>Gladiator</t>
  </si>
  <si>
    <t>Renegade</t>
  </si>
  <si>
    <t>Wey</t>
  </si>
  <si>
    <t>Coffee</t>
  </si>
  <si>
    <t>52(45)</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</si>
  <si>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</si>
  <si>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</si>
  <si>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</si>
  <si>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</si>
  <si>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</si>
  <si>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</si>
  <si>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</si>
  <si>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</si>
  <si>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</si>
  <si>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</si>
  <si>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</si>
  <si>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</si>
  <si>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</si>
  <si>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</si>
  <si>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</si>
  <si>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</si>
  <si>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</si>
  <si>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</si>
  <si>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10(11)</t>
  </si>
  <si>
    <t>Ecosport</t>
  </si>
  <si>
    <t>16(13)</t>
  </si>
  <si>
    <t>C4 spacetourer</t>
  </si>
  <si>
    <t>25(29)</t>
  </si>
  <si>
    <t>29(25)</t>
  </si>
  <si>
    <t>ASX</t>
  </si>
  <si>
    <t>36(38)</t>
  </si>
  <si>
    <t>ET5</t>
  </si>
  <si>
    <t>Levc</t>
  </si>
  <si>
    <t>Tx icon</t>
  </si>
  <si>
    <t>LEXS RZ</t>
  </si>
  <si>
    <t>BMW XM</t>
  </si>
  <si>
    <t>MAXUS MIFA 9</t>
  </si>
  <si>
    <t xml:space="preserve">SMART                   </t>
  </si>
  <si>
    <t>XPENG P5</t>
  </si>
  <si>
    <t>XPENG P7</t>
  </si>
  <si>
    <t>JAGUAR XF</t>
  </si>
  <si>
    <t xml:space="preserve">CHEVROLET CAMARO        </t>
  </si>
  <si>
    <t>LEXUS RZ450E</t>
  </si>
  <si>
    <t>VOLVO ÖVRIGA ELHYBRID</t>
  </si>
  <si>
    <t>MILDH</t>
  </si>
  <si>
    <t>CUPRA LEON VZ</t>
  </si>
  <si>
    <t>SMART ED</t>
  </si>
  <si>
    <t>BMW M760LI XDRIVE</t>
  </si>
  <si>
    <t>LEVC TX ICON</t>
  </si>
  <si>
    <t>Smart</t>
  </si>
  <si>
    <t>Xpeng</t>
  </si>
  <si>
    <t>XPENG MOTORS</t>
  </si>
  <si>
    <t>April  2023</t>
  </si>
  <si>
    <t>Januari - april</t>
  </si>
  <si>
    <t xml:space="preserve"> 2023-04</t>
  </si>
  <si>
    <t xml:space="preserve"> 2022-04</t>
  </si>
  <si>
    <t>Jan - apr 2023</t>
  </si>
  <si>
    <t>Jan - apr 2022</t>
  </si>
  <si>
    <t>Apr-23</t>
  </si>
  <si>
    <t>Personbilar nyregistreringar april 2023</t>
  </si>
  <si>
    <t>2023-04-01 -&gt; 2023-04-30</t>
  </si>
  <si>
    <t>3(4)</t>
  </si>
  <si>
    <t>4(2)</t>
  </si>
  <si>
    <t>5(10)</t>
  </si>
  <si>
    <t>6(7)</t>
  </si>
  <si>
    <t>7(5)</t>
  </si>
  <si>
    <t>XM</t>
  </si>
  <si>
    <t>9(8)</t>
  </si>
  <si>
    <t>11(9)</t>
  </si>
  <si>
    <t>12(16)</t>
  </si>
  <si>
    <t>13(12)</t>
  </si>
  <si>
    <t>14(14)</t>
  </si>
  <si>
    <t>15(28)</t>
  </si>
  <si>
    <t>17(20)</t>
  </si>
  <si>
    <t>18(22)</t>
  </si>
  <si>
    <t>19(19)</t>
  </si>
  <si>
    <t>20(17)</t>
  </si>
  <si>
    <t>21(24)</t>
  </si>
  <si>
    <t>22(18)</t>
  </si>
  <si>
    <t>23(52)</t>
  </si>
  <si>
    <t>24(23)</t>
  </si>
  <si>
    <t>RZ</t>
  </si>
  <si>
    <t>26(15)</t>
  </si>
  <si>
    <t>27(21)</t>
  </si>
  <si>
    <t>28(26)</t>
  </si>
  <si>
    <t>30(51)</t>
  </si>
  <si>
    <t>31(30)</t>
  </si>
  <si>
    <t>32(27)</t>
  </si>
  <si>
    <t>33(34)</t>
  </si>
  <si>
    <t>34(31)</t>
  </si>
  <si>
    <t>35(33)</t>
  </si>
  <si>
    <t>Mifa 9</t>
  </si>
  <si>
    <t>37(54)</t>
  </si>
  <si>
    <t>38(55)</t>
  </si>
  <si>
    <t>39(32)</t>
  </si>
  <si>
    <t>40(35)</t>
  </si>
  <si>
    <t>XF</t>
  </si>
  <si>
    <t>41(40)</t>
  </si>
  <si>
    <t>42(53)</t>
  </si>
  <si>
    <t>43(37)</t>
  </si>
  <si>
    <t>44(39)</t>
  </si>
  <si>
    <t>Camaro</t>
  </si>
  <si>
    <t>45(36)</t>
  </si>
  <si>
    <t>46(41)</t>
  </si>
  <si>
    <t>47(43)</t>
  </si>
  <si>
    <t>48(48)</t>
  </si>
  <si>
    <t>49(42)</t>
  </si>
  <si>
    <t>50(56)</t>
  </si>
  <si>
    <t>51(46)</t>
  </si>
  <si>
    <t>53(50)</t>
  </si>
  <si>
    <t>54(49)</t>
  </si>
  <si>
    <t>55(44)</t>
  </si>
  <si>
    <t>P5</t>
  </si>
  <si>
    <t>P7</t>
  </si>
  <si>
    <t>56(47)</t>
  </si>
  <si>
    <t>OBS Denna lista är sammanlänkad med A.5 Laddbara PB, vilket medför att placeringarna i kolumn A och marknadsandelarna är beräknade på laddbara bilar totalt.</t>
  </si>
  <si>
    <t>Utgått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</si>
</sst>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6">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b/>
      <sz val="14"/>
      <color theme="3"/>
      <name val="Arial"/>
      <family val="2"/>
    </font>
    <font>
      <sz val="11"/>
      <name val="Arial"/>
      <family val="2"/>
    </font>
    <font>
      <b/>
      <sz val="10"/>
      <color theme="0"/>
      <name val="Arial"/>
      <family val="2"/>
    </font>
    <font>
      <sz val="9"/>
      <name val="Arial"/>
      <family val="2"/>
    </font>
    <font>
      <b/>
      <sz val="12"/>
      <color theme="3"/>
      <name val="Arial"/>
      <family val="2"/>
    </font>
    <font>
      <b/>
      <sz val="9"/>
      <color theme="1"/>
      <name val="Arial"/>
      <family val="2"/>
    </font>
    <font>
      <sz val="12"/>
      <color rgb="FF001489"/>
      <name val="Arial"/>
      <family val="2"/>
    </font>
    <font>
      <b/>
      <sz val="13"/>
      <color theme="3"/>
      <name val="Arial"/>
      <family val="2"/>
    </font>
    <font>
      <sz val="10"/>
      <color theme="3"/>
      <name val="Arial"/>
      <family val="2"/>
    </font>
    <font>
      <b/>
      <sz val="11"/>
      <color rgb="FF001489"/>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cellStyleXfs>
  <cellXfs count="290">
    <xf numFmtId="0" fontId="0" fillId="0" borderId="0" xfId="0"/>
    <xf numFmtId="0" fontId="4" fillId="0" borderId="0" xfId="3" applyFont="1" applyBorder="1"/>
    <xf numFmtId="0" fontId="4" fillId="0" borderId="0" xfId="3" applyFont="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17" fontId="8" fillId="0" borderId="27" xfId="4" quotePrefix="1" applyNumberFormat="1" applyFont="1" applyBorder="1" applyAlignment="1">
      <alignment horizontal="right"/>
    </xf>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164" fontId="8" fillId="0" borderId="0" xfId="4" applyNumberFormat="1" applyFont="1"/>
    <xf numFmtId="0" fontId="8" fillId="0" borderId="28" xfId="4"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0" fontId="30" fillId="0" borderId="1" xfId="1" applyFont="1"/>
    <xf numFmtId="165" fontId="7" fillId="0" borderId="0" xfId="4" applyNumberFormat="1"/>
    <xf numFmtId="164" fontId="17" fillId="0" borderId="0" xfId="0" applyNumberFormat="1" applyFont="1"/>
    <xf numFmtId="0" fontId="33"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5" fillId="0" borderId="0" xfId="0" applyFont="1"/>
    <xf numFmtId="0" fontId="15" fillId="0" borderId="0" xfId="0" applyFont="1" applyAlignment="1">
      <alignment horizontal="center"/>
    </xf>
    <xf numFmtId="0" fontId="36" fillId="0" borderId="1" xfId="1" applyFont="1"/>
    <xf numFmtId="3" fontId="15" fillId="0" borderId="0" xfId="0" applyNumberFormat="1" applyFont="1" applyAlignment="1">
      <alignment horizontal="center"/>
    </xf>
    <xf numFmtId="0" fontId="38"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64" fontId="17" fillId="0" borderId="3"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3" fontId="17" fillId="2" borderId="13" xfId="0" applyNumberFormat="1" applyFont="1" applyFill="1" applyBorder="1" applyAlignment="1">
      <alignment horizontal="left" indent="1"/>
    </xf>
    <xf numFmtId="3" fontId="17" fillId="0" borderId="0" xfId="0" applyNumberFormat="1" applyFont="1" applyAlignment="1">
      <alignment horizontal="left" indent="1"/>
    </xf>
    <xf numFmtId="3" fontId="16" fillId="2" borderId="13" xfId="0" applyNumberFormat="1" applyFont="1" applyFill="1" applyBorder="1"/>
    <xf numFmtId="165" fontId="37" fillId="2" borderId="13" xfId="0" applyNumberFormat="1" applyFont="1" applyFill="1" applyBorder="1"/>
    <xf numFmtId="165" fontId="16" fillId="2" borderId="13" xfId="0" applyNumberFormat="1" applyFont="1" applyFill="1" applyBorder="1"/>
    <xf numFmtId="0" fontId="7" fillId="0" borderId="0" xfId="0" applyFont="1" applyAlignment="1">
      <alignment horizontal="right"/>
    </xf>
    <xf numFmtId="3" fontId="16" fillId="2" borderId="30" xfId="0" applyNumberFormat="1" applyFont="1" applyFill="1" applyBorder="1"/>
    <xf numFmtId="164" fontId="37" fillId="2" borderId="30" xfId="0" applyNumberFormat="1" applyFont="1" applyFill="1" applyBorder="1"/>
    <xf numFmtId="164" fontId="16" fillId="2" borderId="30" xfId="0" applyNumberFormat="1" applyFont="1" applyFill="1" applyBorder="1"/>
    <xf numFmtId="0" fontId="39" fillId="0" borderId="2" xfId="2" applyFont="1"/>
    <xf numFmtId="0" fontId="17" fillId="0" borderId="27" xfId="0" applyFont="1" applyBorder="1"/>
    <xf numFmtId="0" fontId="16" fillId="0" borderId="28" xfId="0" applyFont="1" applyBorder="1"/>
    <xf numFmtId="3" fontId="16" fillId="0" borderId="0" xfId="0" applyNumberFormat="1" applyFont="1"/>
    <xf numFmtId="0" fontId="40" fillId="0" borderId="0" xfId="1" applyFont="1" applyBorder="1"/>
    <xf numFmtId="0" fontId="16" fillId="0" borderId="0" xfId="0" applyFont="1" applyAlignment="1">
      <alignment horizontal="left"/>
    </xf>
    <xf numFmtId="0" fontId="17" fillId="0" borderId="0" xfId="0" quotePrefix="1" applyFont="1"/>
    <xf numFmtId="0" fontId="33"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3" fillId="0" borderId="0" xfId="4" applyNumberFormat="1" applyFont="1"/>
    <xf numFmtId="0" fontId="31" fillId="5" borderId="3" xfId="0" applyFont="1" applyFill="1" applyBorder="1"/>
    <xf numFmtId="0" fontId="34" fillId="5" borderId="3" xfId="0" applyFont="1" applyFill="1" applyBorder="1"/>
    <xf numFmtId="17" fontId="34" fillId="5" borderId="5" xfId="0" quotePrefix="1" applyNumberFormat="1" applyFont="1" applyFill="1" applyBorder="1" applyAlignment="1">
      <alignment horizontal="right"/>
    </xf>
    <xf numFmtId="17" fontId="34" fillId="5" borderId="0" xfId="0" quotePrefix="1" applyNumberFormat="1" applyFont="1" applyFill="1" applyAlignment="1">
      <alignment horizontal="right"/>
    </xf>
    <xf numFmtId="17" fontId="34" fillId="5" borderId="6" xfId="0" quotePrefix="1" applyNumberFormat="1" applyFont="1" applyFill="1" applyBorder="1" applyAlignment="1">
      <alignment horizontal="right"/>
    </xf>
    <xf numFmtId="0" fontId="34" fillId="5" borderId="4" xfId="0" applyFont="1" applyFill="1" applyBorder="1" applyAlignment="1">
      <alignment horizontal="right"/>
    </xf>
    <xf numFmtId="17" fontId="34"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41" fillId="5" borderId="3" xfId="0" applyFont="1" applyFill="1" applyBorder="1"/>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29" fillId="0" borderId="0" xfId="1" applyFont="1" applyBorder="1"/>
    <xf numFmtId="0" fontId="32" fillId="0" borderId="0" xfId="2" applyFont="1" applyBorder="1"/>
    <xf numFmtId="0" fontId="42" fillId="0" borderId="0" xfId="0" applyFont="1"/>
    <xf numFmtId="0" fontId="43" fillId="0" borderId="0" xfId="0" applyFont="1"/>
    <xf numFmtId="2" fontId="42" fillId="0" borderId="0" xfId="0" applyNumberFormat="1" applyFont="1"/>
    <xf numFmtId="0" fontId="42" fillId="0" borderId="0" xfId="0" applyFont="1" applyAlignment="1">
      <alignment horizontal="right"/>
    </xf>
    <xf numFmtId="0" fontId="44" fillId="0" borderId="28" xfId="0" applyFont="1" applyBorder="1"/>
    <xf numFmtId="3" fontId="44" fillId="0" borderId="29" xfId="0" applyNumberFormat="1" applyFont="1" applyBorder="1"/>
    <xf numFmtId="164" fontId="45" fillId="0" borderId="29" xfId="0" applyNumberFormat="1" applyFont="1" applyBorder="1"/>
    <xf numFmtId="3" fontId="42" fillId="0" borderId="0" xfId="0" applyNumberFormat="1" applyFont="1"/>
    <xf numFmtId="2" fontId="43" fillId="0" borderId="0" xfId="0" applyNumberFormat="1" applyFont="1"/>
    <xf numFmtId="164" fontId="42" fillId="0" borderId="0" xfId="0" applyNumberFormat="1" applyFont="1"/>
    <xf numFmtId="0" fontId="44" fillId="0" borderId="0" xfId="0" applyFont="1"/>
    <xf numFmtId="3" fontId="44" fillId="0" borderId="0" xfId="0" applyNumberFormat="1" applyFont="1"/>
    <xf numFmtId="164" fontId="44" fillId="0" borderId="0" xfId="0" applyNumberFormat="1" applyFont="1"/>
    <xf numFmtId="3" fontId="46" fillId="0" borderId="0" xfId="0" applyNumberFormat="1" applyFont="1"/>
    <xf numFmtId="0" fontId="44" fillId="0" borderId="0" xfId="0" applyFont="1" applyAlignment="1">
      <alignment horizontal="right"/>
    </xf>
    <xf numFmtId="2" fontId="44" fillId="0" borderId="0" xfId="0" applyNumberFormat="1" applyFont="1"/>
    <xf numFmtId="164" fontId="44" fillId="0" borderId="0" xfId="0" applyNumberFormat="1" applyFont="1" applyAlignment="1">
      <alignment horizontal="right"/>
    </xf>
    <xf numFmtId="0" fontId="44" fillId="0" borderId="0" xfId="0" pivotButton="1" applyFont="1"/>
    <xf numFmtId="0" fontId="44" fillId="0" borderId="0" xfId="0" applyFont="1" applyAlignment="1">
      <alignment horizontal="left" indent="1"/>
    </xf>
    <xf numFmtId="165" fontId="44" fillId="0" borderId="0" xfId="0" applyNumberFormat="1" applyFont="1"/>
    <xf numFmtId="0" fontId="44" fillId="3" borderId="0" xfId="0" applyFont="1" applyFill="1" applyAlignment="1">
      <alignment horizontal="left" indent="1"/>
    </xf>
    <xf numFmtId="3" fontId="44" fillId="3" borderId="0" xfId="0" applyNumberFormat="1" applyFont="1" applyFill="1"/>
    <xf numFmtId="165" fontId="44" fillId="3" borderId="0" xfId="0" applyNumberFormat="1" applyFont="1" applyFill="1"/>
    <xf numFmtId="0" fontId="44" fillId="4" borderId="25" xfId="0" applyFont="1" applyFill="1" applyBorder="1" applyAlignment="1">
      <alignment horizontal="left"/>
    </xf>
    <xf numFmtId="3" fontId="44" fillId="4" borderId="22" xfId="0" applyNumberFormat="1" applyFont="1" applyFill="1" applyBorder="1"/>
    <xf numFmtId="3" fontId="44" fillId="4" borderId="23" xfId="0" applyNumberFormat="1" applyFont="1" applyFill="1" applyBorder="1"/>
    <xf numFmtId="165" fontId="44" fillId="4" borderId="23" xfId="0" applyNumberFormat="1" applyFont="1" applyFill="1" applyBorder="1"/>
    <xf numFmtId="165" fontId="44" fillId="4" borderId="24" xfId="0" applyNumberFormat="1" applyFont="1" applyFill="1" applyBorder="1"/>
    <xf numFmtId="0" fontId="44" fillId="0" borderId="0" xfId="0" applyFont="1" applyAlignment="1">
      <alignment horizontal="left"/>
    </xf>
    <xf numFmtId="0" fontId="42" fillId="0" borderId="0" xfId="0" pivotButton="1" applyFont="1"/>
    <xf numFmtId="0" fontId="42" fillId="0" borderId="0" xfId="0" applyFont="1" applyAlignment="1">
      <alignment horizontal="left"/>
    </xf>
    <xf numFmtId="0" fontId="42"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7" fillId="0" borderId="0" xfId="0" applyFont="1" applyAlignment="1">
      <alignment horizontal="right"/>
    </xf>
    <xf numFmtId="1" fontId="47" fillId="0" borderId="0" xfId="0" applyNumberFormat="1" applyFont="1"/>
    <xf numFmtId="0" fontId="47" fillId="0" borderId="0" xfId="0" applyFont="1"/>
    <xf numFmtId="0" fontId="47" fillId="0" borderId="0" xfId="0" applyFont="1" applyAlignment="1">
      <alignment horizontal="left"/>
    </xf>
    <xf numFmtId="0" fontId="47" fillId="0" borderId="0" xfId="0" applyFont="1" applyAlignment="1">
      <alignment horizontal="center" vertical="center"/>
    </xf>
    <xf numFmtId="0" fontId="48" fillId="0" borderId="0" xfId="0" applyFont="1"/>
    <xf numFmtId="0" fontId="49" fillId="0" borderId="0" xfId="0" applyFont="1"/>
    <xf numFmtId="0" fontId="47" fillId="0" borderId="0" xfId="0" applyFont="1" applyAlignment="1">
      <alignment horizontal="center"/>
    </xf>
    <xf numFmtId="0" fontId="49"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51" fillId="0" borderId="0" xfId="0" applyFont="1" applyAlignment="1">
      <alignment horizontal="center" vertical="center"/>
    </xf>
    <xf numFmtId="2" fontId="52"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51" fillId="0" borderId="0" xfId="0" applyFont="1" applyAlignment="1">
      <alignment horizontal="left" indent="1"/>
    </xf>
    <xf numFmtId="2" fontId="52" fillId="0" borderId="0" xfId="0" applyNumberFormat="1" applyFont="1" applyAlignment="1">
      <alignment horizontal="right"/>
    </xf>
    <xf numFmtId="0" fontId="51" fillId="0" borderId="0" xfId="0" applyFont="1"/>
    <xf numFmtId="0" fontId="49" fillId="0" borderId="25" xfId="0" applyFont="1" applyBorder="1"/>
    <xf numFmtId="0" fontId="49" fillId="0" borderId="23" xfId="0" applyFont="1" applyBorder="1" applyAlignment="1">
      <alignment horizontal="center" vertical="center"/>
    </xf>
    <xf numFmtId="0" fontId="17" fillId="0" borderId="23" xfId="0" applyFont="1" applyBorder="1" applyAlignment="1">
      <alignment horizontal="center"/>
    </xf>
    <xf numFmtId="1" fontId="49" fillId="0" borderId="22" xfId="0" applyNumberFormat="1" applyFont="1" applyBorder="1"/>
    <xf numFmtId="0" fontId="49" fillId="0" borderId="22" xfId="0" applyFont="1" applyBorder="1"/>
    <xf numFmtId="0" fontId="49" fillId="0" borderId="25" xfId="0" quotePrefix="1" applyFont="1" applyBorder="1"/>
    <xf numFmtId="0" fontId="49" fillId="0" borderId="23" xfId="0" quotePrefix="1" applyFont="1" applyBorder="1" applyAlignment="1">
      <alignment horizontal="center" vertical="center"/>
    </xf>
    <xf numFmtId="1" fontId="52" fillId="0" borderId="22" xfId="0" applyNumberFormat="1" applyFont="1" applyBorder="1" applyAlignment="1">
      <alignment horizontal="right"/>
    </xf>
    <xf numFmtId="10" fontId="52" fillId="0" borderId="22" xfId="0" applyNumberFormat="1" applyFont="1" applyBorder="1" applyAlignment="1">
      <alignment horizontal="right"/>
    </xf>
    <xf numFmtId="0" fontId="52" fillId="0" borderId="22" xfId="0" applyFont="1" applyBorder="1" applyAlignment="1">
      <alignment horizontal="right"/>
    </xf>
    <xf numFmtId="49" fontId="52" fillId="0" borderId="24" xfId="0" applyNumberFormat="1" applyFont="1" applyBorder="1" applyAlignment="1">
      <alignment horizontal="right"/>
    </xf>
    <xf numFmtId="1" fontId="52" fillId="0" borderId="25" xfId="0" applyNumberFormat="1" applyFont="1" applyBorder="1" applyAlignment="1">
      <alignment horizontal="right"/>
    </xf>
    <xf numFmtId="1" fontId="52" fillId="0" borderId="24" xfId="0" applyNumberFormat="1" applyFont="1" applyBorder="1" applyAlignment="1">
      <alignment horizontal="right"/>
    </xf>
    <xf numFmtId="10" fontId="52" fillId="0" borderId="24" xfId="0" applyNumberFormat="1" applyFont="1" applyBorder="1" applyAlignment="1">
      <alignment horizontal="right"/>
    </xf>
    <xf numFmtId="0" fontId="17" fillId="0" borderId="24" xfId="0" applyFont="1" applyBorder="1"/>
    <xf numFmtId="0" fontId="33" fillId="0" borderId="0" xfId="0" applyFont="1" applyAlignment="1">
      <alignment horizontal="center" vertical="center"/>
    </xf>
    <xf numFmtId="0" fontId="33"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53" fillId="0" borderId="0" xfId="0" applyFont="1" applyAlignment="1">
      <alignment horizontal="left" indent="1"/>
    </xf>
    <xf numFmtId="0" fontId="53" fillId="0" borderId="0" xfId="0" applyFont="1"/>
    <xf numFmtId="166" fontId="53"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4" fillId="0" borderId="0" xfId="0" applyNumberFormat="1" applyFont="1"/>
    <xf numFmtId="167" fontId="17" fillId="0" borderId="0" xfId="0" applyNumberFormat="1" applyFont="1"/>
    <xf numFmtId="0" fontId="45" fillId="0" borderId="29" xfId="0" applyFont="1" applyBorder="1"/>
    <xf numFmtId="167" fontId="53" fillId="0" borderId="0" xfId="0" applyNumberFormat="1" applyFont="1"/>
    <xf numFmtId="3" fontId="7" fillId="0" borderId="0" xfId="4" quotePrefix="1" applyNumberForma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4" fillId="5" borderId="3" xfId="0" applyFont="1" applyFill="1" applyBorder="1" applyAlignment="1">
      <alignment horizontal="center"/>
    </xf>
    <xf numFmtId="0" fontId="34" fillId="5" borderId="4" xfId="0" applyFont="1" applyFill="1" applyBorder="1" applyAlignment="1">
      <alignment horizontal="center"/>
    </xf>
    <xf numFmtId="0" fontId="34" fillId="5" borderId="5" xfId="0" applyFont="1" applyFill="1" applyBorder="1" applyAlignment="1">
      <alignment horizontal="center"/>
    </xf>
    <xf numFmtId="0" fontId="34" fillId="5" borderId="7" xfId="0" applyFont="1" applyFill="1" applyBorder="1" applyAlignment="1">
      <alignment horizontal="center"/>
    </xf>
    <xf numFmtId="0" fontId="34" fillId="5" borderId="8" xfId="0" applyFont="1" applyFill="1" applyBorder="1" applyAlignment="1">
      <alignment horizontal="center"/>
    </xf>
    <xf numFmtId="0" fontId="29" fillId="0" borderId="31" xfId="1" applyFont="1" applyBorder="1" applyAlignment="1">
      <alignment horizontal="center"/>
    </xf>
    <xf numFmtId="0" fontId="49" fillId="0" borderId="34" xfId="0" applyFont="1" applyBorder="1" applyAlignment="1">
      <alignment horizontal="center"/>
    </xf>
    <xf numFmtId="0" fontId="49" fillId="0" borderId="28" xfId="0" applyFont="1" applyBorder="1" applyAlignment="1">
      <alignment horizontal="center"/>
    </xf>
    <xf numFmtId="0" fontId="49" fillId="0" borderId="35" xfId="0" applyFont="1" applyBorder="1" applyAlignment="1">
      <alignment horizontal="center"/>
    </xf>
    <xf numFmtId="0" fontId="16" fillId="0" borderId="36" xfId="0" applyFont="1" applyBorder="1" applyAlignment="1">
      <alignment horizontal="center"/>
    </xf>
    <xf numFmtId="0" fontId="49" fillId="0" borderId="32" xfId="0" applyFont="1" applyBorder="1" applyAlignment="1">
      <alignment horizontal="center"/>
    </xf>
    <xf numFmtId="0" fontId="49" fillId="0" borderId="26" xfId="0" applyFont="1" applyBorder="1" applyAlignment="1">
      <alignment horizontal="center"/>
    </xf>
    <xf numFmtId="0" fontId="49" fillId="0" borderId="33" xfId="0" applyFont="1" applyBorder="1" applyAlignment="1">
      <alignment horizontal="center"/>
    </xf>
    <xf numFmtId="0" fontId="49" fillId="0" borderId="37" xfId="0" applyFont="1" applyBorder="1" applyAlignment="1">
      <alignment horizontal="center"/>
    </xf>
    <xf numFmtId="0" fontId="49" fillId="0" borderId="0" xfId="0" applyFont="1" applyAlignment="1">
      <alignment horizontal="center"/>
    </xf>
    <xf numFmtId="0" fontId="49" fillId="0" borderId="36" xfId="0" applyFont="1" applyBorder="1" applyAlignment="1">
      <alignment horizontal="center"/>
    </xf>
    <xf numFmtId="0" fontId="50"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5" fillId="0" borderId="6" xfId="0" applyFont="1" applyBorder="1" applyAlignment="1">
      <alignment horizontal="right"/>
    </xf>
    <xf numFmtId="0" fontId="35"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5" fillId="0" borderId="0" xfId="0" applyFont="1" applyAlignment="1">
      <alignment vertical="center"/>
    </xf>
  </cellXfs>
  <cellStyles count="7">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s>
  <dxfs count="486">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165" formatCode="#,##0.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23.xml"/></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24.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8.xml"/></Relationships>
</file>

<file path=xl/charts/_rels/chart13.xml.rels><?xml version="1.0" encoding="UTF-8" standalone="yes"?>
<Relationships xmlns="http://schemas.openxmlformats.org/package/2006/relationships"><Relationship Id="rId2" Type="http://schemas.openxmlformats.org/officeDocument/2006/relationships/chartUserShapes" Target="../drawings/drawing29.xml"/><Relationship Id="rId1" Type="http://schemas.openxmlformats.org/officeDocument/2006/relationships/themeOverride" Target="../theme/themeOverrid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1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9927040"/>
        <c:axId val="109937024"/>
        <c:extLst/>
      </c:barChart>
      <c:catAx>
        <c:axId val="10992704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9937024"/>
        <c:crosses val="autoZero"/>
        <c:auto val="1"/>
        <c:lblAlgn val="ctr"/>
        <c:lblOffset val="100"/>
        <c:noMultiLvlLbl val="0"/>
      </c:catAx>
      <c:valAx>
        <c:axId val="1099370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992704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691200"/>
        <c:axId val="128942848"/>
        <c:extLst/>
      </c:barChart>
      <c:catAx>
        <c:axId val="1286912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942848"/>
        <c:crosses val="autoZero"/>
        <c:auto val="1"/>
        <c:lblAlgn val="ctr"/>
        <c:lblOffset val="100"/>
        <c:noMultiLvlLbl val="0"/>
      </c:catAx>
      <c:valAx>
        <c:axId val="1289428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9120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lastbilar'!$Q$37:$Q$64</c:f>
              <c:strCache>
                <c:ptCount val="28"/>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strCache>
            </c:strRef>
          </c:cat>
          <c:val>
            <c:numRef>
              <c:f>'B.1 Lätta lastbilar'!$R$37:$R$64</c:f>
              <c:numCache>
                <c:formatCode>0.0</c:formatCode>
                <c:ptCount val="28"/>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863232"/>
        <c:axId val="128881408"/>
        <c:extLst/>
      </c:barChart>
      <c:catAx>
        <c:axId val="12886323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881408"/>
        <c:crosses val="autoZero"/>
        <c:auto val="1"/>
        <c:lblAlgn val="ctr"/>
        <c:lblOffset val="100"/>
        <c:noMultiLvlLbl val="0"/>
      </c:catAx>
      <c:valAx>
        <c:axId val="12888140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86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472576"/>
        <c:axId val="128474112"/>
        <c:extLst/>
      </c:barChart>
      <c:catAx>
        <c:axId val="1284725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474112"/>
        <c:crosses val="autoZero"/>
        <c:auto val="1"/>
        <c:lblAlgn val="ctr"/>
        <c:lblOffset val="100"/>
        <c:noMultiLvlLbl val="0"/>
      </c:catAx>
      <c:valAx>
        <c:axId val="1284741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47257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lastbilar'!$Q$37:$Q$64</c:f>
              <c:strCache>
                <c:ptCount val="28"/>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strCache>
            </c:strRef>
          </c:cat>
          <c:val>
            <c:numRef>
              <c:f>'B.4 Tunga lastbilar'!$R$37:$R$64</c:f>
              <c:numCache>
                <c:formatCode>0.0</c:formatCode>
                <c:ptCount val="28"/>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9066496"/>
        <c:axId val="129068032"/>
        <c:extLst/>
      </c:barChart>
      <c:catAx>
        <c:axId val="12906649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068032"/>
        <c:crosses val="autoZero"/>
        <c:auto val="1"/>
        <c:lblAlgn val="ctr"/>
        <c:lblOffset val="100"/>
        <c:noMultiLvlLbl val="0"/>
      </c:catAx>
      <c:valAx>
        <c:axId val="129068032"/>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9066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Personbilar'!$Q$37:$Q$64</c:f>
              <c:strCache>
                <c:ptCount val="28"/>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strCache>
            </c:strRef>
          </c:cat>
          <c:val>
            <c:numRef>
              <c:f>'A. Personbilar'!$R$37:$R$64</c:f>
              <c:numCache>
                <c:formatCode>#\ ##0.0</c:formatCode>
                <c:ptCount val="28"/>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0065920"/>
        <c:axId val="110071808"/>
        <c:extLst/>
      </c:barChart>
      <c:catAx>
        <c:axId val="11006592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0071808"/>
        <c:crosses val="autoZero"/>
        <c:auto val="1"/>
        <c:lblAlgn val="ctr"/>
        <c:lblOffset val="100"/>
        <c:noMultiLvlLbl val="0"/>
      </c:catAx>
      <c:valAx>
        <c:axId val="110071808"/>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006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Diesel</c:v>
                </c:pt>
                <c:pt idx="4">
                  <c:v>Elhybrid</c:v>
                </c:pt>
                <c:pt idx="5">
                  <c:v>Etanol</c:v>
                </c:pt>
                <c:pt idx="6">
                  <c:v>Gas</c:v>
                </c:pt>
              </c:strCache>
            </c:strRef>
          </c:cat>
          <c:val>
            <c:numRef>
              <c:f>'A.4 Drivmedel PB'!$M$32:$M$38</c:f>
              <c:numCache>
                <c:formatCode>0.0</c:formatCode>
                <c:ptCount val="7"/>
                <c:pt idx="0">
                  <c:v>35.556085349862911</c:v>
                </c:pt>
                <c:pt idx="1">
                  <c:v>22.353081416140181</c:v>
                </c:pt>
                <c:pt idx="2">
                  <c:v>20.687805459530338</c:v>
                </c:pt>
                <c:pt idx="3">
                  <c:v>9.5827869829538681</c:v>
                </c:pt>
                <c:pt idx="4">
                  <c:v>9.2597449040410069</c:v>
                </c:pt>
                <c:pt idx="5">
                  <c:v>1.9680534032661821</c:v>
                </c:pt>
                <c:pt idx="6">
                  <c:v>0.59244248420550716</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673472"/>
        <c:axId val="1679360"/>
        <c:extLst/>
      </c:barChart>
      <c:catAx>
        <c:axId val="167347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679360"/>
        <c:crosses val="autoZero"/>
        <c:auto val="1"/>
        <c:lblAlgn val="ctr"/>
        <c:lblOffset val="100"/>
        <c:noMultiLvlLbl val="0"/>
      </c:catAx>
      <c:valAx>
        <c:axId val="16793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673472"/>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604992"/>
        <c:axId val="125606528"/>
        <c:extLst/>
      </c:barChart>
      <c:catAx>
        <c:axId val="1256049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606528"/>
        <c:crosses val="autoZero"/>
        <c:auto val="1"/>
        <c:lblAlgn val="ctr"/>
        <c:lblOffset val="100"/>
        <c:noMultiLvlLbl val="0"/>
      </c:catAx>
      <c:valAx>
        <c:axId val="125606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604992"/>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pt idx="2">
                  <c:v>5540</c:v>
                </c:pt>
                <c:pt idx="3">
                  <c:v>4549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5834752"/>
        <c:axId val="125836288"/>
        <c:extLst/>
      </c:barChart>
      <c:catAx>
        <c:axId val="1258347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836288"/>
        <c:crosses val="autoZero"/>
        <c:auto val="1"/>
        <c:lblAlgn val="ctr"/>
        <c:lblOffset val="100"/>
        <c:noMultiLvlLbl val="0"/>
      </c:catAx>
      <c:valAx>
        <c:axId val="1258362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583475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rgbClr val="FFC658"/>
              </a:solidFill>
              <a:ln>
                <a:noFill/>
              </a:ln>
              <a:effectLst/>
            </c:spPr>
            <c:extLst>
              <c:ext xmlns:c16="http://schemas.microsoft.com/office/drawing/2014/chart" uri="{C3380CC4-5D6E-409C-BE32-E72D297353CC}">
                <c16:uniqueId val="{00000001-012B-4390-AD5C-859BA2BA45B2}"/>
              </c:ext>
            </c:extLst>
          </c:dPt>
          <c:dPt>
            <c:idx val="1"/>
            <c:bubble3D val="0"/>
            <c:spPr>
              <a:solidFill>
                <a:srgbClr val="A66EFF"/>
              </a:solidFill>
              <a:ln>
                <a:noFill/>
              </a:ln>
              <a:effectLst/>
            </c:spPr>
            <c:extLst>
              <c:ext xmlns:c16="http://schemas.microsoft.com/office/drawing/2014/chart" uri="{C3380CC4-5D6E-409C-BE32-E72D297353CC}">
                <c16:uniqueId val="{00000003-012B-4390-AD5C-859BA2BA45B2}"/>
              </c:ext>
            </c:extLst>
          </c:dPt>
          <c:dPt>
            <c:idx val="2"/>
            <c:bubble3D val="0"/>
            <c:spPr>
              <a:solidFill>
                <a:srgbClr val="001489"/>
              </a:solidFill>
              <a:ln>
                <a:noFill/>
              </a:ln>
              <a:effectLst/>
            </c:spPr>
            <c:extLst>
              <c:ext xmlns:c16="http://schemas.microsoft.com/office/drawing/2014/chart" uri="{C3380CC4-5D6E-409C-BE32-E72D297353CC}">
                <c16:uniqueId val="{00000005-012B-4390-AD5C-859BA2BA45B2}"/>
              </c:ext>
            </c:extLst>
          </c:dPt>
          <c:dPt>
            <c:idx val="3"/>
            <c:bubble3D val="0"/>
            <c:spPr>
              <a:solidFill>
                <a:srgbClr val="66CCFF"/>
              </a:solidFill>
              <a:ln>
                <a:noFill/>
              </a:ln>
              <a:effectLst/>
            </c:spPr>
            <c:extLst>
              <c:ext xmlns:c16="http://schemas.microsoft.com/office/drawing/2014/chart" uri="{C3380CC4-5D6E-409C-BE32-E72D297353CC}">
                <c16:uniqueId val="{00000007-012B-4390-AD5C-859BA2BA45B2}"/>
              </c:ext>
            </c:extLst>
          </c:dPt>
          <c:dPt>
            <c:idx val="4"/>
            <c:bubble3D val="0"/>
            <c:spPr>
              <a:solidFill>
                <a:srgbClr val="48D597"/>
              </a:solidFill>
              <a:ln>
                <a:noFill/>
              </a:ln>
              <a:effectLst/>
            </c:spPr>
            <c:extLst>
              <c:ext xmlns:c16="http://schemas.microsoft.com/office/drawing/2014/chart" uri="{C3380CC4-5D6E-409C-BE32-E72D297353CC}">
                <c16:uniqueId val="{00000009-012B-4390-AD5C-859BA2BA45B2}"/>
              </c:ext>
            </c:extLst>
          </c:dPt>
          <c:dPt>
            <c:idx val="5"/>
            <c:bubble3D val="0"/>
            <c:spPr>
              <a:solidFill>
                <a:srgbClr val="B2B1B2"/>
              </a:solidFill>
              <a:ln>
                <a:noFill/>
              </a:ln>
              <a:effectLst/>
            </c:spPr>
            <c:extLst>
              <c:ext xmlns:c16="http://schemas.microsoft.com/office/drawing/2014/chart" uri="{C3380CC4-5D6E-409C-BE32-E72D297353CC}">
                <c16:uniqueId val="{0000000B-012B-4390-AD5C-859BA2BA45B2}"/>
              </c:ext>
            </c:extLst>
          </c:dPt>
          <c:dPt>
            <c:idx val="6"/>
            <c:bubble3D val="0"/>
            <c:spPr>
              <a:solidFill>
                <a:schemeClr val="tx1"/>
              </a:solidFill>
              <a:ln>
                <a:noFill/>
              </a:ln>
              <a:effectLst/>
            </c:spPr>
            <c:extLst>
              <c:ext xmlns:c16="http://schemas.microsoft.com/office/drawing/2014/chart" uri="{C3380CC4-5D6E-409C-BE32-E72D297353CC}">
                <c16:uniqueId val="{0000000D-012B-4390-AD5C-859BA2BA45B2}"/>
              </c:ext>
            </c:extLst>
          </c:dPt>
          <c:dLbls>
            <c:dLbl>
              <c:idx val="0"/>
              <c:layout>
                <c:manualLayout>
                  <c:x val="0.10021201814058957"/>
                  <c:y val="-1.73196180555555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5.1592743764172333E-2"/>
                  <c:y val="0.11432178819444444"/>
                </c:manualLayout>
              </c:layout>
              <c:showLegendKey val="0"/>
              <c:showVal val="0"/>
              <c:showCatName val="1"/>
              <c:showSerName val="0"/>
              <c:showPercent val="1"/>
              <c:showBubbleSize val="0"/>
              <c:extLst>
                <c:ext xmlns:c15="http://schemas.microsoft.com/office/drawing/2012/chart" uri="{CE6537A1-D6FC-4f65-9D91-7224C49458BB}">
                  <c15:layout>
                    <c:manualLayout>
                      <c:w val="7.6952040816326533E-2"/>
                      <c:h val="7.9562673611111093E-2"/>
                    </c:manualLayout>
                  </c15:layout>
                </c:ext>
                <c:ext xmlns:c16="http://schemas.microsoft.com/office/drawing/2014/chart" uri="{C3380CC4-5D6E-409C-BE32-E72D297353CC}">
                  <c16:uniqueId val="{00000003-012B-4390-AD5C-859BA2BA45B2}"/>
                </c:ext>
              </c:extLst>
            </c:dLbl>
            <c:dLbl>
              <c:idx val="2"/>
              <c:layout>
                <c:manualLayout>
                  <c:x val="-3.594546485260771E-2"/>
                  <c:y val="0.11198298611111111"/>
                </c:manualLayout>
              </c:layout>
              <c:showLegendKey val="0"/>
              <c:showVal val="0"/>
              <c:showCatName val="1"/>
              <c:showSerName val="0"/>
              <c:showPercent val="1"/>
              <c:showBubbleSize val="0"/>
              <c:extLst>
                <c:ext xmlns:c15="http://schemas.microsoft.com/office/drawing/2012/chart" uri="{CE6537A1-D6FC-4f65-9D91-7224C49458BB}">
                  <c15:layout>
                    <c:manualLayout>
                      <c:w val="8.3127664399092971E-2"/>
                      <c:h val="6.2152777777777779E-2"/>
                    </c:manualLayout>
                  </c15:layout>
                </c:ext>
                <c:ext xmlns:c16="http://schemas.microsoft.com/office/drawing/2014/chart" uri="{C3380CC4-5D6E-409C-BE32-E72D297353CC}">
                  <c16:uniqueId val="{00000005-012B-4390-AD5C-859BA2BA45B2}"/>
                </c:ext>
              </c:extLst>
            </c:dLbl>
            <c:dLbl>
              <c:idx val="3"/>
              <c:layout>
                <c:manualLayout>
                  <c:x val="-6.6136394557823136E-2"/>
                  <c:y val="0.1025029513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2B-4390-AD5C-859BA2BA45B2}"/>
                </c:ext>
              </c:extLst>
            </c:dLbl>
            <c:dLbl>
              <c:idx val="4"/>
              <c:layout>
                <c:manualLayout>
                  <c:x val="-8.0862585034013612E-2"/>
                  <c:y val="6.93635416666666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12B-4390-AD5C-859BA2BA45B2}"/>
                </c:ext>
              </c:extLst>
            </c:dLbl>
            <c:dLbl>
              <c:idx val="5"/>
              <c:layout>
                <c:manualLayout>
                  <c:x val="-9.0335487528344666E-2"/>
                  <c:y val="1.89927083333333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12B-4390-AD5C-859BA2BA45B2}"/>
                </c:ext>
              </c:extLst>
            </c:dLbl>
            <c:dLbl>
              <c:idx val="6"/>
              <c:layout>
                <c:manualLayout>
                  <c:x val="-8.6271995464852605E-2"/>
                  <c:y val="-8.02414930555555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12B-4390-AD5C-859BA2BA45B2}"/>
                </c:ext>
              </c:extLst>
            </c:dLbl>
            <c:numFmt formatCode="0.0%" sourceLinked="0"/>
            <c:spPr>
              <a:noFill/>
              <a:ln>
                <a:noFill/>
              </a:ln>
              <a:effectLst/>
            </c:spPr>
            <c:txPr>
              <a:bodyPr rot="0" spcFirstLastPara="1" vertOverflow="overflow" horzOverflow="overflow" vert="horz" wrap="square" lIns="39600" tIns="19050" rIns="38100" bIns="19050" anchor="ctr" anchorCtr="1">
                <a:spAutoFit/>
              </a:bodyPr>
              <a:lstStyle/>
              <a:p>
                <a:pPr>
                  <a:defRPr sz="1200" b="0" i="0" u="none" strike="noStrike" kern="1200" baseline="0">
                    <a:solidFill>
                      <a:srgbClr val="001489"/>
                    </a:solidFill>
                    <a:latin typeface="NEUEHAASDISPLAY-THIN" panose="020D0304030502050203" pitchFamily="34" charset="77"/>
                    <a:ea typeface="Arial"/>
                    <a:cs typeface="Arial"/>
                  </a:defRPr>
                </a:pPr>
                <a:endParaRPr lang="sv-S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'A.7 Koldioxidutsläpp PB'!$N$49:$N$55</c:f>
              <c:strCache>
                <c:ptCount val="7"/>
                <c:pt idx="0">
                  <c:v>Högst 50g</c:v>
                </c:pt>
                <c:pt idx="1">
                  <c:v>51-60 g</c:v>
                </c:pt>
                <c:pt idx="2">
                  <c:v>61-95 g</c:v>
                </c:pt>
                <c:pt idx="3">
                  <c:v>96-120 g</c:v>
                </c:pt>
                <c:pt idx="4">
                  <c:v>121-130 g</c:v>
                </c:pt>
                <c:pt idx="5">
                  <c:v>131-140 g</c:v>
                </c:pt>
                <c:pt idx="6">
                  <c:v>Över 140 g</c:v>
                </c:pt>
              </c:strCache>
            </c:strRef>
          </c:cat>
          <c:val>
            <c:numRef>
              <c:f>'A.7 Koldioxidutsläpp PB'!$O$49:$O$55</c:f>
              <c:numCache>
                <c:formatCode>0.0%</c:formatCode>
                <c:ptCount val="7"/>
                <c:pt idx="0">
                  <c:v>0.46503754917153417</c:v>
                </c:pt>
                <c:pt idx="1">
                  <c:v>1.5973298366909047E-3</c:v>
                </c:pt>
                <c:pt idx="2">
                  <c:v>1.5138872332816784E-2</c:v>
                </c:pt>
                <c:pt idx="3">
                  <c:v>0.11914411729645966</c:v>
                </c:pt>
                <c:pt idx="4">
                  <c:v>5.1448325187745864E-2</c:v>
                </c:pt>
                <c:pt idx="5">
                  <c:v>3.0492311360114436E-2</c:v>
                </c:pt>
                <c:pt idx="6">
                  <c:v>0.31714149481463821</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personbilar fördelat på koldioxidutsläpp </a:t>
            </a:r>
          </a:p>
          <a:p>
            <a:pPr>
              <a:defRPr sz="2200">
                <a:solidFill>
                  <a:srgbClr val="001489"/>
                </a:solidFill>
                <a:latin typeface="Neue Haas Grotesk Display Pro" panose="020D0304030502050203" pitchFamily="34" charset="0"/>
              </a:defRPr>
            </a:pPr>
            <a:r>
              <a:rPr lang="sv-SE">
                <a:latin typeface="Neue Haas Grotesk Display Pro" panose="020D0304030502050203" pitchFamily="34" charset="0"/>
              </a:rPr>
              <a:t>(NEDC värden)</a:t>
            </a:r>
          </a:p>
        </c:rich>
      </c:tx>
      <c:layout>
        <c:manualLayout>
          <c:xMode val="edge"/>
          <c:yMode val="edge"/>
          <c:x val="0.16588775510204079"/>
          <c:y val="5.637365591397849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0.16964161381972911"/>
          <c:y val="0.3115838697710262"/>
          <c:w val="0.68518278177842362"/>
          <c:h val="0.50627962481470801"/>
        </c:manualLayout>
      </c:layout>
      <c:barChart>
        <c:barDir val="col"/>
        <c:grouping val="clustered"/>
        <c:varyColors val="0"/>
        <c:ser>
          <c:idx val="0"/>
          <c:order val="0"/>
          <c:tx>
            <c:strRef>
              <c:f>'A.7 Koldioxidutsläpp PB'!$P$73</c:f>
              <c:strCache>
                <c:ptCount val="1"/>
                <c:pt idx="0">
                  <c:v>Jan - dec 2022</c:v>
                </c:pt>
              </c:strCache>
            </c:strRef>
          </c:tx>
          <c:spPr>
            <a:solidFill>
              <a:srgbClr val="001489"/>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PB'!$P$74:$P$80</c:f>
              <c:numCache>
                <c:formatCode>#,##0</c:formatCode>
                <c:ptCount val="7"/>
                <c:pt idx="0">
                  <c:v>42240</c:v>
                </c:pt>
                <c:pt idx="1">
                  <c:v>300</c:v>
                </c:pt>
                <c:pt idx="2">
                  <c:v>2366</c:v>
                </c:pt>
                <c:pt idx="3">
                  <c:v>12573</c:v>
                </c:pt>
                <c:pt idx="4">
                  <c:v>5837</c:v>
                </c:pt>
                <c:pt idx="5">
                  <c:v>4766</c:v>
                </c:pt>
                <c:pt idx="6">
                  <c:v>23599</c:v>
                </c:pt>
              </c:numCache>
            </c:numRef>
          </c:val>
          <c:extLst xmlns:c15="http://schemas.microsoft.com/office/drawing/2012/chart">
            <c:ext xmlns:c16="http://schemas.microsoft.com/office/drawing/2014/chart" uri="{C3380CC4-5D6E-409C-BE32-E72D297353CC}">
              <c16:uniqueId val="{00000002-A4B5-4491-A0D4-3B31A94A2BAA}"/>
            </c:ext>
          </c:extLst>
        </c:ser>
        <c:ser>
          <c:idx val="1"/>
          <c:order val="1"/>
          <c:tx>
            <c:strRef>
              <c:f>'A.7 Koldioxidutsläpp PB'!$Q$73</c:f>
              <c:strCache>
                <c:ptCount val="1"/>
                <c:pt idx="0">
                  <c:v>Jan - apr 2023</c:v>
                </c:pt>
              </c:strCache>
            </c:strRef>
          </c:tx>
          <c:spPr>
            <a:solidFill>
              <a:srgbClr val="66CCFF"/>
            </a:solidFill>
            <a:ln>
              <a:noFill/>
            </a:ln>
            <a:effectLst/>
          </c:spPr>
          <c:invertIfNegative val="0"/>
          <c:cat>
            <c:strRef>
              <c:f>'A.7 Koldioxidutsläpp PB'!$N$74:$N$80</c:f>
              <c:strCache>
                <c:ptCount val="7"/>
                <c:pt idx="0">
                  <c:v>Högst 50g</c:v>
                </c:pt>
                <c:pt idx="1">
                  <c:v>51-60g</c:v>
                </c:pt>
                <c:pt idx="2">
                  <c:v>61-95g</c:v>
                </c:pt>
                <c:pt idx="3">
                  <c:v>96-120g</c:v>
                </c:pt>
                <c:pt idx="4">
                  <c:v>121-130g</c:v>
                </c:pt>
                <c:pt idx="5">
                  <c:v>131-140g</c:v>
                </c:pt>
                <c:pt idx="6">
                  <c:v>Över 140g</c:v>
                </c:pt>
              </c:strCache>
            </c:strRef>
          </c:cat>
          <c:val>
            <c:numRef>
              <c:f>'A.7 Koldioxidutsläpp PB'!$Q$74:$Q$80</c:f>
              <c:numCache>
                <c:formatCode>#,##0</c:formatCode>
                <c:ptCount val="7"/>
                <c:pt idx="0">
                  <c:v>39012</c:v>
                </c:pt>
                <c:pt idx="1">
                  <c:v>134</c:v>
                </c:pt>
                <c:pt idx="2">
                  <c:v>1270</c:v>
                </c:pt>
                <c:pt idx="3">
                  <c:v>9995</c:v>
                </c:pt>
                <c:pt idx="4">
                  <c:v>4316</c:v>
                </c:pt>
                <c:pt idx="5">
                  <c:v>2558</c:v>
                </c:pt>
                <c:pt idx="6">
                  <c:v>26605</c:v>
                </c:pt>
              </c:numCache>
            </c:numRef>
          </c:val>
          <c:extLst>
            <c:ext xmlns:c16="http://schemas.microsoft.com/office/drawing/2014/chart" uri="{C3380CC4-5D6E-409C-BE32-E72D297353CC}">
              <c16:uniqueId val="{00000000-A4B5-4491-A0D4-3B31A94A2BAA}"/>
            </c:ext>
          </c:extLst>
        </c:ser>
        <c:dLbls>
          <c:showLegendKey val="0"/>
          <c:showVal val="0"/>
          <c:showCatName val="0"/>
          <c:showSerName val="0"/>
          <c:showPercent val="0"/>
          <c:showBubbleSize val="0"/>
        </c:dLbls>
        <c:gapWidth val="219"/>
        <c:overlap val="-27"/>
        <c:axId val="126234624"/>
        <c:axId val="126236160"/>
        <c:extLst/>
      </c:barChart>
      <c:catAx>
        <c:axId val="12623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6236160"/>
        <c:crosses val="autoZero"/>
        <c:auto val="1"/>
        <c:lblAlgn val="ctr"/>
        <c:lblOffset val="100"/>
        <c:noMultiLvlLbl val="0"/>
      </c:catAx>
      <c:valAx>
        <c:axId val="12623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6234624"/>
        <c:crosses val="autoZero"/>
        <c:crossBetween val="between"/>
      </c:valAx>
      <c:spPr>
        <a:noFill/>
        <a:ln>
          <a:noFill/>
        </a:ln>
        <a:effectLst/>
      </c:spPr>
    </c:plotArea>
    <c:legend>
      <c:legendPos val="b"/>
      <c:layout>
        <c:manualLayout>
          <c:xMode val="edge"/>
          <c:yMode val="edge"/>
          <c:x val="0.5539662131519274"/>
          <c:y val="0.22715483870967743"/>
          <c:w val="0.278851133786848"/>
          <c:h val="5.788494623655914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CO2-utsläpp nya personbilar per månad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2021-2023 (enligt NEDC)</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'A.7 Koldioxidutsläpp PB'!$O$108</c:f>
              <c:strCache>
                <c:ptCount val="1"/>
                <c:pt idx="0">
                  <c:v>2021</c:v>
                </c:pt>
              </c:strCache>
            </c:strRef>
          </c:tx>
          <c:spPr>
            <a:solidFill>
              <a:srgbClr val="001489"/>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PB'!$O$109:$O$121</c:f>
              <c:numCache>
                <c:formatCode>0.0</c:formatCode>
                <c:ptCount val="12"/>
                <c:pt idx="0">
                  <c:v>91.9</c:v>
                </c:pt>
                <c:pt idx="1">
                  <c:v>90</c:v>
                </c:pt>
                <c:pt idx="2">
                  <c:v>88.4</c:v>
                </c:pt>
                <c:pt idx="3">
                  <c:v>72.8</c:v>
                </c:pt>
                <c:pt idx="4">
                  <c:v>78.900000000000006</c:v>
                </c:pt>
                <c:pt idx="5">
                  <c:v>67</c:v>
                </c:pt>
                <c:pt idx="6">
                  <c:v>73.900000000000006</c:v>
                </c:pt>
                <c:pt idx="7">
                  <c:v>62.2</c:v>
                </c:pt>
                <c:pt idx="8">
                  <c:v>53</c:v>
                </c:pt>
                <c:pt idx="9">
                  <c:v>58.6</c:v>
                </c:pt>
                <c:pt idx="10">
                  <c:v>53.5</c:v>
                </c:pt>
                <c:pt idx="11">
                  <c:v>45.1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'A.7 Koldioxidutsläpp PB'!$P$108</c:f>
              <c:strCache>
                <c:ptCount val="1"/>
                <c:pt idx="0">
                  <c:v>2022</c:v>
                </c:pt>
              </c:strCache>
            </c:strRef>
          </c:tx>
          <c:spPr>
            <a:solidFill>
              <a:srgbClr val="FFC658"/>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PB'!$P$109:$P$121</c:f>
              <c:numCache>
                <c:formatCode>0.0</c:formatCode>
                <c:ptCount val="12"/>
                <c:pt idx="0">
                  <c:v>70.7</c:v>
                </c:pt>
                <c:pt idx="1">
                  <c:v>51.1</c:v>
                </c:pt>
                <c:pt idx="2">
                  <c:v>44.8</c:v>
                </c:pt>
                <c:pt idx="3">
                  <c:v>46.5</c:v>
                </c:pt>
                <c:pt idx="4">
                  <c:v>47.7</c:v>
                </c:pt>
                <c:pt idx="5">
                  <c:v>45.3</c:v>
                </c:pt>
                <c:pt idx="6" formatCode="General">
                  <c:v>42.9</c:v>
                </c:pt>
                <c:pt idx="7">
                  <c:v>32.5</c:v>
                </c:pt>
                <c:pt idx="8">
                  <c:v>30.3</c:v>
                </c:pt>
                <c:pt idx="9">
                  <c:v>30.3</c:v>
                </c:pt>
              </c:numCache>
            </c:numRef>
          </c:val>
          <c:extLst>
            <c:ext xmlns:c16="http://schemas.microsoft.com/office/drawing/2014/chart" uri="{C3380CC4-5D6E-409C-BE32-E72D297353CC}">
              <c16:uniqueId val="{00000001-DF09-4D38-A2F5-42CB03C6031A}"/>
            </c:ext>
          </c:extLst>
        </c:ser>
        <c:ser>
          <c:idx val="2"/>
          <c:order val="2"/>
          <c:tx>
            <c:strRef>
              <c:f>'A.7 Koldioxidutsläpp PB'!$Q$108</c:f>
              <c:strCache>
                <c:ptCount val="1"/>
                <c:pt idx="0">
                  <c:v>2023</c:v>
                </c:pt>
              </c:strCache>
            </c:strRef>
          </c:tx>
          <c:spPr>
            <a:solidFill>
              <a:srgbClr val="48D597"/>
            </a:solidFill>
            <a:ln>
              <a:noFill/>
            </a:ln>
            <a:effectLst/>
          </c:spPr>
          <c:invertIfNegative val="0"/>
          <c:cat>
            <c:strRef>
              <c:f>'A.7 Koldioxidutsläpp PB'!$N$109:$N$121</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'A.7 Koldioxidutsläpp PB'!$Q$109:$Q$121</c:f>
              <c:numCache>
                <c:formatCode>0.0</c:formatCode>
                <c:ptCount val="12"/>
                <c:pt idx="0">
                  <c:v>27.7</c:v>
                </c:pt>
                <c:pt idx="1">
                  <c:v>18.8</c:v>
                </c:pt>
                <c:pt idx="2">
                  <c:v>10.9</c:v>
                </c:pt>
                <c:pt idx="3">
                  <c:v>10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6285312"/>
        <c:axId val="126286848"/>
        <c:extLst/>
      </c:barChart>
      <c:catAx>
        <c:axId val="12628531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6286848"/>
        <c:crosses val="autoZero"/>
        <c:auto val="1"/>
        <c:lblAlgn val="ctr"/>
        <c:lblOffset val="100"/>
        <c:noMultiLvlLbl val="0"/>
      </c:catAx>
      <c:valAx>
        <c:axId val="1262868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628531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9.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5.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absoluteAnchor>
    <xdr:pos x="16625" y="6982689"/>
    <xdr:ext cx="8820000" cy="5760000"/>
    <xdr:graphicFrame macro="">
      <xdr:nvGraphicFramePr>
        <xdr:cNvPr id="2" name="Diagram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313" y="13050980"/>
    <xdr:ext cx="8820000" cy="5580000"/>
    <xdr:graphicFrame macro="">
      <xdr:nvGraphicFramePr>
        <xdr:cNvPr id="3" name="Diagram 1">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0" y="19035974"/>
    <xdr:ext cx="8820000" cy="5580000"/>
    <xdr:graphicFrame macro="">
      <xdr:nvGraphicFramePr>
        <xdr:cNvPr id="4" name="Diagram 1">
          <a:extLst>
            <a:ext uri="{FF2B5EF4-FFF2-40B4-BE49-F238E27FC236}">
              <a16:creationId xmlns:a16="http://schemas.microsoft.com/office/drawing/2014/main" id="{00000000-0008-0000-0A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108066</xdr:colOff>
      <xdr:row>0</xdr:row>
      <xdr:rowOff>99753</xdr:rowOff>
    </xdr:from>
    <xdr:to>
      <xdr:col>1</xdr:col>
      <xdr:colOff>460726</xdr:colOff>
      <xdr:row>1</xdr:row>
      <xdr:rowOff>224459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8066" y="99753"/>
          <a:ext cx="1271909" cy="315899"/>
        </a:xfrm>
        <a:prstGeom prst="rect">
          <a:avLst/>
        </a:prstGeom>
      </xdr:spPr>
    </xdr:pic>
    <xdr:clientData/>
  </xdr:twoCellAnchor>
</xdr:wsDr>
</file>

<file path=xl/drawings/drawing17.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0.90279</cdr:y>
    </cdr:from>
    <cdr:to>
      <cdr:x>1</cdr:x>
      <cdr:y>0.95983</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200089"/>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apr  2023</a:t>
          </a:r>
        </a:p>
      </cdr:txBody>
    </cdr:sp>
  </cdr:relSizeAnchor>
  <cdr:relSizeAnchor xmlns:cdr="http://schemas.openxmlformats.org/drawingml/2006/chartDrawing">
    <cdr:from>
      <cdr:x>0.00054</cdr:x>
      <cdr:y>0.05758</cdr:y>
    </cdr:from>
    <cdr:to>
      <cdr:x>1</cdr:x>
      <cdr:y>0.12835</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31645"/>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Nyregistrerade</a:t>
          </a:r>
          <a:r>
            <a:rPr lang="sv-SE" sz="2400" b="0" i="0" baseline="0">
              <a:solidFill>
                <a:srgbClr val="15355B"/>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personbilar</a:t>
          </a:r>
          <a:r>
            <a:rPr lang="sv-SE" sz="2400" b="0" i="0" baseline="0">
              <a:solidFill>
                <a:srgbClr val="001489"/>
              </a:solidFill>
              <a:effectLst/>
              <a:latin typeface="NEUEHAASDISPLAY-ROMAN" panose="020D0504030502050203" pitchFamily="34" charset="77"/>
              <a:ea typeface="+mn-ea"/>
              <a:cs typeface="Arial" panose="020B0604020202020204" pitchFamily="34" charset="0"/>
            </a:rPr>
            <a:t> </a:t>
          </a:r>
          <a:r>
            <a:rPr lang="sv-SE" sz="2000" b="0" i="0" baseline="0">
              <a:solidFill>
                <a:srgbClr val="001489"/>
              </a:solidFill>
              <a:effectLst/>
              <a:latin typeface="Neue Haas Grotesk Display Pro" panose="020D0304030502050203" pitchFamily="34" charset="0"/>
              <a:ea typeface="+mn-ea"/>
              <a:cs typeface="Arial" panose="020B0604020202020204" pitchFamily="34" charset="0"/>
            </a:rPr>
            <a:t>per drivmedel</a:t>
          </a:r>
          <a:endParaRPr lang="sv-SE" sz="2000" b="0" i="0">
            <a:solidFill>
              <a:srgbClr val="001489"/>
            </a:solidFill>
            <a:effectLst/>
            <a:latin typeface="Neue Haas Grotesk Display Pro" panose="020D0304030502050203" pitchFamily="34" charset="0"/>
            <a:cs typeface="Arial" panose="020B0604020202020204" pitchFamily="34" charset="0"/>
          </a:endParaRPr>
        </a:p>
        <a:p xmlns:a="http://schemas.openxmlformats.org/drawingml/2006/main">
          <a:endParaRPr lang="sv-SE" sz="11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0.01424</cdr:x>
      <cdr:y>0.02036</cdr:y>
    </cdr:from>
    <cdr:to>
      <cdr:x>0.15845</cdr:x>
      <cdr:y>0.07521</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5614" y="117302"/>
          <a:ext cx="1271909" cy="315899"/>
        </a:xfrm>
        <a:prstGeom xmlns:a="http://schemas.openxmlformats.org/drawingml/2006/main" prst="rect">
          <a:avLst/>
        </a:prstGeom>
      </cdr:spPr>
    </cdr:pic>
  </cdr:relSizeAnchor>
</c:userShapes>
</file>

<file path=xl/drawings/drawing18.xml><?xml version="1.0" encoding="utf-8"?>
<c:userShapes xmlns:c="http://schemas.openxmlformats.org/drawingml/2006/chart">
  <cdr:relSizeAnchor xmlns:cdr="http://schemas.openxmlformats.org/drawingml/2006/chartDrawing">
    <cdr:from>
      <cdr:x>0</cdr:x>
      <cdr:y>0.97573</cdr:y>
    </cdr:from>
    <cdr:to>
      <cdr:x>0.99938</cdr:x>
      <cdr:y>1</cdr:y>
    </cdr:to>
    <cdr:sp macro="" textlink="">
      <cdr:nvSpPr>
        <cdr:cNvPr id="2"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5"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6"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0.00953</cdr:x>
      <cdr:y>0.02251</cdr:y>
    </cdr:from>
    <cdr:to>
      <cdr:x>0.15374</cdr:x>
      <cdr:y>0.07912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050" y="125615"/>
          <a:ext cx="1271909" cy="315899"/>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0.01357</cdr:y>
    </cdr:from>
    <cdr:to>
      <cdr:x>0.15751</cdr:x>
      <cdr:y>0.07019</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75738"/>
          <a:ext cx="1271909" cy="315899"/>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4.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5.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9.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apr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047.695533333332" createdVersion="6" refreshedVersion="4" minRefreshableVersion="3" recordCount="4" xr:uid="{00000000-000A-0000-FFFF-FFFF00000000}">
  <cacheSource type="external" connectionId="7"/>
  <cacheFields count="11">
    <cacheField name="klass" numFmtId="0">
      <sharedItems count="4">
        <s v="Högst  3,5 ton"/>
        <s v="3,5 -  6,0 ton"/>
        <s v="6,0 - 16,0 ton"/>
        <s v="Över  16,0 ton"/>
      </sharedItems>
    </cacheField>
    <cacheField name="antalPerioden" numFmtId="0">
      <sharedItems containsSemiMixedTypes="0" containsString="0" containsNumber="1" containsInteger="1" minValue="9" maxValue="3203" count="4">
        <n v="3203"/>
        <n v="9"/>
        <n v="20"/>
        <n v="514"/>
      </sharedItems>
    </cacheField>
    <cacheField name="antalPeriodenFG" numFmtId="0">
      <sharedItems containsSemiMixedTypes="0" containsString="0" containsNumber="1" containsInteger="1" minValue="15" maxValue="2954" count="4">
        <n v="2954"/>
        <n v="15"/>
        <n v="20"/>
        <n v="478"/>
      </sharedItems>
    </cacheField>
    <cacheField name="antalAret" numFmtId="0">
      <sharedItems containsSemiMixedTypes="0" containsString="0" containsNumber="1" containsInteger="1" minValue="61" maxValue="12196" count="4">
        <n v="12196"/>
        <n v="61"/>
        <n v="92"/>
        <n v="2116"/>
      </sharedItems>
    </cacheField>
    <cacheField name="antalAretFG" numFmtId="0">
      <sharedItems containsSemiMixedTypes="0" containsString="0" containsNumber="1" containsInteger="1" minValue="65" maxValue="11063" count="4">
        <n v="11063"/>
        <n v="65"/>
        <n v="83"/>
        <n v="1614"/>
      </sharedItems>
    </cacheField>
    <cacheField name="chgPerioden" numFmtId="0">
      <sharedItems containsSemiMixedTypes="0" containsString="0" containsNumber="1" minValue="-40" maxValue="8.4" count="4">
        <n v="8.4"/>
        <n v="-40"/>
        <n v="0"/>
        <n v="7.5"/>
      </sharedItems>
    </cacheField>
    <cacheField name="chgAret" numFmtId="0">
      <sharedItems containsSemiMixedTypes="0" containsString="0" containsNumber="1" minValue="-6.2" maxValue="31.1" count="4">
        <n v="10.199999999999999"/>
        <n v="-6.2"/>
        <n v="10.8"/>
        <n v="31.1"/>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047.695533796294" createdVersion="6" refreshedVersion="4" minRefreshableVersion="3" recordCount="15" xr:uid="{00000000-000A-0000-FFFF-FFFF01000000}">
  <cacheSource type="external" connectionId="18"/>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59" count="12">
        <n v="0"/>
        <n v="2"/>
        <n v="10"/>
        <n v="4"/>
        <n v="6"/>
        <n v="1"/>
        <n v="8"/>
        <n v="29"/>
        <n v="27"/>
        <n v="3"/>
        <n v="59"/>
        <n v="38"/>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6" count="5">
        <n v="0"/>
        <n v="2"/>
        <n v="3"/>
        <n v="1"/>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5">
        <n v="1"/>
        <n v="0"/>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3" count="4">
        <n v="0"/>
        <n v="1"/>
        <n v="2"/>
        <n v="3"/>
      </sharedItems>
    </cacheField>
    <cacheField name="Aug" numFmtId="0">
      <sharedItems containsSemiMixedTypes="0" containsString="0" containsNumber="1" containsInteger="1" minValue="0" maxValue="9" count="4">
        <n v="0"/>
        <n v="8"/>
        <n v="1"/>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047.695540740744" createdVersion="6" refreshedVersion="4" minRefreshableVersion="3" recordCount="50" xr:uid="{00000000-000A-0000-FFFF-FFFF02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Subaru Nordic" u="1"/>
        <s v="SC Motors Sweden" u="1"/>
        <s v="NEVS" u="1"/>
        <s v="Tesla" u="1"/>
        <s v="RN Nordic" u="1"/>
        <s v="Hedin Electric Mobility" u="1"/>
        <s v="Hedin MG Sweden" u="1"/>
        <s v="Hedin Motor Company" u="1"/>
        <s v="FCA Sweden" u="1"/>
        <s v="Renault Nordic Sverige" u="1"/>
      </sharedItems>
    </cacheField>
    <cacheField name="modell" numFmtId="0">
      <sharedItems count="52">
        <s v="Alfa Romeo"/>
        <s v="Fiat"/>
        <s v="Jeep"/>
        <s v="Jaguar"/>
        <s v="Land Rover"/>
        <s v="BMW"/>
        <s v="Mini"/>
        <s v="Cadillac"/>
        <s v="Alpine"/>
        <s v="BYD"/>
        <s v="Dacia"/>
        <s v="Ford"/>
        <s v="Hongqi"/>
        <s v="MG"/>
        <s v="Renault"/>
        <s v="Honda"/>
        <s v="Hyundai"/>
        <s v="ORA"/>
        <s v="Subaru"/>
        <s v="Iveco"/>
        <s v="Kia"/>
        <s v="Citroen"/>
        <s v="DS"/>
        <s v="Opel"/>
        <s v="Peugeot"/>
        <s v="Mitsubishi"/>
        <s v="LEVC"/>
        <s v="Suzuki"/>
        <s v="Lynk &amp; Co"/>
        <s v="Mazda"/>
        <s v="Mercedes"/>
        <s v="Mercedes AMG"/>
        <s v="Smart"/>
        <s v="Nio"/>
        <s v="Nissan"/>
        <s v="Polestar"/>
        <s v="Maxus"/>
        <s v="Tesla"/>
        <s v="Lexus"/>
        <s v="Toyota"/>
        <s v="Audi"/>
        <s v="CUPRA"/>
        <s v="Porsche"/>
        <s v="Seat"/>
        <s v="Skoda"/>
        <s v="Volkswagen"/>
        <s v="Volvo"/>
        <s v="Xpeng"/>
        <s v="Övriga"/>
        <s v="NEVS" u="1"/>
        <s v="SsangYong" u="1"/>
        <s v="Polestar 2" u="1"/>
      </sharedItems>
    </cacheField>
    <cacheField name="antalPerioden" numFmtId="0">
      <sharedItems containsSemiMixedTypes="0" containsString="0" containsNumber="1" containsInteger="1" minValue="0" maxValue="3012"/>
    </cacheField>
    <cacheField name="antalFGPeriod" numFmtId="0">
      <sharedItems containsSemiMixedTypes="0" containsString="0" containsNumber="1" containsInteger="1" minValue="0" maxValue="3319"/>
    </cacheField>
    <cacheField name="antalÅret" numFmtId="0">
      <sharedItems containsSemiMixedTypes="0" containsString="0" containsNumber="1" containsInteger="1" minValue="0" maxValue="12376"/>
    </cacheField>
    <cacheField name="antalFGAr" numFmtId="0">
      <sharedItems containsSemiMixedTypes="0" containsString="0" containsNumber="1" containsInteger="1" minValue="0" maxValue="15763"/>
    </cacheField>
    <cacheField name="changePeriod" numFmtId="0">
      <sharedItems containsSemiMixedTypes="0" containsString="0" containsNumber="1" minValue="-100" maxValue="8144.44"/>
    </cacheField>
    <cacheField name="changeAret" numFmtId="0">
      <sharedItems containsSemiMixedTypes="0" containsString="0" containsNumber="1" minValue="-100" maxValue="600"/>
    </cacheField>
    <cacheField name="shrPeriod" numFmtId="0">
      <sharedItems containsSemiMixedTypes="0" containsString="0" containsNumber="1" minValue="0" maxValue="14.63"/>
    </cacheField>
    <cacheField name="shrYear" numFmtId="0">
      <sharedItems containsSemiMixedTypes="0" containsString="0" containsNumber="1" minValue="0" maxValue="14.75"/>
    </cacheField>
    <cacheField name="shrPrevPeriod" numFmtId="0">
      <sharedItems containsSemiMixedTypes="0" containsString="0" containsNumber="1" minValue="0" maxValue="15.13"/>
    </cacheField>
    <cacheField name="shrPrevYear" numFmtId="0">
      <sharedItems containsSemiMixedTypes="0" containsString="0" containsNumber="1" minValue="0" maxValue="17.190000000000001"/>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Cache/pivotCacheRecords2.xml><?xml version="1.0" encoding="utf-8"?>
<pivotCacheRecords xmlns="http://schemas.openxmlformats.org/spreadsheetml/2006/main" xmlns:r="http://schemas.openxmlformats.org/officeDocument/2006/relationships" count="15">
  <r>
    <x v="0"/>
    <x v="0"/>
    <x v="0"/>
    <x v="0"/>
    <x v="0"/>
    <x v="0"/>
    <x v="0"/>
    <x v="0"/>
    <x v="0"/>
    <x v="0"/>
    <x v="0"/>
    <x v="0"/>
    <x v="0"/>
    <x v="0"/>
    <x v="0"/>
  </r>
  <r>
    <x v="1"/>
    <x v="0"/>
    <x v="1"/>
    <x v="0"/>
    <x v="1"/>
    <x v="0"/>
    <x v="1"/>
    <x v="1"/>
    <x v="0"/>
    <x v="0"/>
    <x v="0"/>
    <x v="0"/>
    <x v="0"/>
    <x v="0"/>
    <x v="0"/>
  </r>
  <r>
    <x v="2"/>
    <x v="0"/>
    <x v="0"/>
    <x v="0"/>
    <x v="0"/>
    <x v="0"/>
    <x v="0"/>
    <x v="1"/>
    <x v="0"/>
    <x v="0"/>
    <x v="0"/>
    <x v="1"/>
    <x v="0"/>
    <x v="0"/>
    <x v="0"/>
  </r>
  <r>
    <x v="3"/>
    <x v="1"/>
    <x v="2"/>
    <x v="0"/>
    <x v="2"/>
    <x v="0"/>
    <x v="2"/>
    <x v="1"/>
    <x v="0"/>
    <x v="0"/>
    <x v="0"/>
    <x v="0"/>
    <x v="0"/>
    <x v="0"/>
    <x v="0"/>
  </r>
  <r>
    <x v="3"/>
    <x v="0"/>
    <x v="3"/>
    <x v="1"/>
    <x v="0"/>
    <x v="1"/>
    <x v="1"/>
    <x v="0"/>
    <x v="1"/>
    <x v="1"/>
    <x v="0"/>
    <x v="0"/>
    <x v="1"/>
    <x v="0"/>
    <x v="0"/>
  </r>
  <r>
    <x v="4"/>
    <x v="1"/>
    <x v="4"/>
    <x v="0"/>
    <x v="0"/>
    <x v="2"/>
    <x v="3"/>
    <x v="1"/>
    <x v="0"/>
    <x v="0"/>
    <x v="0"/>
    <x v="0"/>
    <x v="0"/>
    <x v="0"/>
    <x v="0"/>
  </r>
  <r>
    <x v="4"/>
    <x v="0"/>
    <x v="5"/>
    <x v="1"/>
    <x v="0"/>
    <x v="0"/>
    <x v="0"/>
    <x v="0"/>
    <x v="0"/>
    <x v="0"/>
    <x v="0"/>
    <x v="1"/>
    <x v="0"/>
    <x v="0"/>
    <x v="0"/>
  </r>
  <r>
    <x v="5"/>
    <x v="1"/>
    <x v="6"/>
    <x v="2"/>
    <x v="3"/>
    <x v="3"/>
    <x v="1"/>
    <x v="1"/>
    <x v="0"/>
    <x v="0"/>
    <x v="0"/>
    <x v="0"/>
    <x v="0"/>
    <x v="0"/>
    <x v="0"/>
  </r>
  <r>
    <x v="5"/>
    <x v="0"/>
    <x v="5"/>
    <x v="0"/>
    <x v="0"/>
    <x v="0"/>
    <x v="1"/>
    <x v="1"/>
    <x v="0"/>
    <x v="0"/>
    <x v="0"/>
    <x v="0"/>
    <x v="0"/>
    <x v="1"/>
    <x v="1"/>
  </r>
  <r>
    <x v="6"/>
    <x v="1"/>
    <x v="7"/>
    <x v="3"/>
    <x v="4"/>
    <x v="3"/>
    <x v="4"/>
    <x v="1"/>
    <x v="0"/>
    <x v="0"/>
    <x v="0"/>
    <x v="0"/>
    <x v="0"/>
    <x v="0"/>
    <x v="0"/>
  </r>
  <r>
    <x v="6"/>
    <x v="0"/>
    <x v="8"/>
    <x v="4"/>
    <x v="5"/>
    <x v="2"/>
    <x v="5"/>
    <x v="2"/>
    <x v="2"/>
    <x v="2"/>
    <x v="1"/>
    <x v="0"/>
    <x v="1"/>
    <x v="2"/>
    <x v="2"/>
  </r>
  <r>
    <x v="7"/>
    <x v="1"/>
    <x v="4"/>
    <x v="0"/>
    <x v="6"/>
    <x v="3"/>
    <x v="6"/>
    <x v="1"/>
    <x v="0"/>
    <x v="0"/>
    <x v="0"/>
    <x v="0"/>
    <x v="0"/>
    <x v="0"/>
    <x v="0"/>
  </r>
  <r>
    <x v="7"/>
    <x v="0"/>
    <x v="9"/>
    <x v="1"/>
    <x v="1"/>
    <x v="3"/>
    <x v="0"/>
    <x v="3"/>
    <x v="0"/>
    <x v="0"/>
    <x v="2"/>
    <x v="0"/>
    <x v="2"/>
    <x v="3"/>
    <x v="3"/>
  </r>
  <r>
    <x v="8"/>
    <x v="1"/>
    <x v="10"/>
    <x v="5"/>
    <x v="7"/>
    <x v="4"/>
    <x v="7"/>
    <x v="1"/>
    <x v="0"/>
    <x v="0"/>
    <x v="0"/>
    <x v="0"/>
    <x v="0"/>
    <x v="0"/>
    <x v="0"/>
  </r>
  <r>
    <x v="8"/>
    <x v="0"/>
    <x v="11"/>
    <x v="5"/>
    <x v="8"/>
    <x v="4"/>
    <x v="8"/>
    <x v="4"/>
    <x v="3"/>
    <x v="3"/>
    <x v="3"/>
    <x v="2"/>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6"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5" firstHeaderRow="0" firstDataRow="1" firstDataCol="1"/>
  <pivotFields count="14">
    <pivotField axis="axisRow" showAll="0" sortType="ascending">
      <items count="39">
        <item x="0"/>
        <item x="1"/>
        <item m="1" x="27"/>
        <item x="2"/>
        <item m="1" x="36"/>
        <item x="3"/>
        <item m="1" x="33"/>
        <item m="1" x="34"/>
        <item x="4"/>
        <item m="1" x="35"/>
        <item x="5"/>
        <item x="6"/>
        <item x="7"/>
        <item x="8"/>
        <item x="9"/>
        <item x="10"/>
        <item x="11"/>
        <item x="12"/>
        <item x="13"/>
        <item x="14"/>
        <item x="15"/>
        <item x="16"/>
        <item m="1" x="30"/>
        <item x="17"/>
        <item x="18"/>
        <item x="19"/>
        <item m="1" x="37"/>
        <item m="1" x="32"/>
        <item x="20"/>
        <item m="1" x="29"/>
        <item m="1" x="28"/>
        <item m="1" x="31"/>
        <item x="21"/>
        <item x="22"/>
        <item x="23"/>
        <item x="24"/>
        <item x="25"/>
        <item x="26"/>
        <item t="default"/>
      </items>
    </pivotField>
    <pivotField axis="axisRow" showAll="0">
      <items count="53">
        <item x="0"/>
        <item x="40"/>
        <item x="5"/>
        <item x="21"/>
        <item x="10"/>
        <item x="22"/>
        <item x="1"/>
        <item x="11"/>
        <item x="15"/>
        <item x="16"/>
        <item x="19"/>
        <item x="3"/>
        <item x="2"/>
        <item x="20"/>
        <item x="4"/>
        <item x="38"/>
        <item x="36"/>
        <item x="29"/>
        <item x="30"/>
        <item x="31"/>
        <item x="6"/>
        <item x="25"/>
        <item m="1" x="49"/>
        <item x="34"/>
        <item x="23"/>
        <item x="24"/>
        <item x="35"/>
        <item x="42"/>
        <item x="14"/>
        <item x="43"/>
        <item x="44"/>
        <item x="32"/>
        <item x="18"/>
        <item x="27"/>
        <item x="37"/>
        <item x="39"/>
        <item x="45"/>
        <item x="46"/>
        <item x="48"/>
        <item x="7"/>
        <item x="28"/>
        <item m="1" x="51"/>
        <item x="8"/>
        <item x="13"/>
        <item m="1" x="50"/>
        <item x="26"/>
        <item x="47"/>
        <item x="9"/>
        <item x="17"/>
        <item x="33"/>
        <item x="41"/>
        <item x="1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8">
    <i>
      <x/>
    </i>
    <i r="1">
      <x/>
    </i>
    <i r="1">
      <x v="6"/>
    </i>
    <i r="1">
      <x v="12"/>
    </i>
    <i>
      <x v="1"/>
    </i>
    <i r="1">
      <x v="11"/>
    </i>
    <i r="1">
      <x v="14"/>
    </i>
    <i>
      <x v="3"/>
    </i>
    <i r="1">
      <x v="2"/>
    </i>
    <i r="1">
      <x v="20"/>
    </i>
    <i>
      <x v="5"/>
    </i>
    <i r="1">
      <x v="39"/>
    </i>
    <i>
      <x v="8"/>
    </i>
    <i r="1">
      <x v="4"/>
    </i>
    <i r="1">
      <x v="7"/>
    </i>
    <i r="1">
      <x v="28"/>
    </i>
    <i r="1">
      <x v="42"/>
    </i>
    <i r="1">
      <x v="43"/>
    </i>
    <i r="1">
      <x v="47"/>
    </i>
    <i r="1">
      <x v="51"/>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r="1">
      <x v="31"/>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6"/>
    </i>
    <i r="1">
      <x v="46"/>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49">
      <pivotArea type="all" dataOnly="0" outline="0" fieldPosition="0"/>
    </format>
    <format dxfId="448">
      <pivotArea outline="0" collapsedLevelsAreSubtotals="1" fieldPosition="0"/>
    </format>
    <format dxfId="447">
      <pivotArea field="0" type="button" dataOnly="0" labelOnly="1" outline="0" axis="axisRow" fieldPosition="0"/>
    </format>
    <format dxfId="446">
      <pivotArea dataOnly="0" labelOnly="1" fieldPosition="0">
        <references count="1">
          <reference field="0" count="0"/>
        </references>
      </pivotArea>
    </format>
    <format dxfId="445">
      <pivotArea dataOnly="0" labelOnly="1" grandRow="1" outline="0" fieldPosition="0"/>
    </format>
    <format dxfId="444">
      <pivotArea dataOnly="0" labelOnly="1" fieldPosition="0">
        <references count="2">
          <reference field="0" count="1" selected="0">
            <x v="1"/>
          </reference>
          <reference field="1" count="2">
            <x v="11"/>
            <x v="14"/>
          </reference>
        </references>
      </pivotArea>
    </format>
    <format dxfId="443">
      <pivotArea dataOnly="0" labelOnly="1" fieldPosition="0">
        <references count="2">
          <reference field="0" count="1" selected="0">
            <x v="2"/>
          </reference>
          <reference field="1" count="3">
            <x v="0"/>
            <x v="6"/>
            <x v="12"/>
          </reference>
        </references>
      </pivotArea>
    </format>
    <format dxfId="442">
      <pivotArea dataOnly="0" labelOnly="1" fieldPosition="0">
        <references count="2">
          <reference field="0" count="1" selected="0">
            <x v="3"/>
          </reference>
          <reference field="1" count="2">
            <x v="2"/>
            <x v="20"/>
          </reference>
        </references>
      </pivotArea>
    </format>
    <format dxfId="441">
      <pivotArea dataOnly="0" labelOnly="1" fieldPosition="0">
        <references count="2">
          <reference field="0" count="1" selected="0">
            <x v="5"/>
          </reference>
          <reference field="1" count="1">
            <x v="39"/>
          </reference>
        </references>
      </pivotArea>
    </format>
    <format dxfId="440">
      <pivotArea dataOnly="0" labelOnly="1" fieldPosition="0">
        <references count="2">
          <reference field="0" count="1" selected="0">
            <x v="7"/>
          </reference>
          <reference field="1" count="1">
            <x v="43"/>
          </reference>
        </references>
      </pivotArea>
    </format>
    <format dxfId="439">
      <pivotArea dataOnly="0" labelOnly="1" fieldPosition="0">
        <references count="2">
          <reference field="0" count="1" selected="0">
            <x v="9"/>
          </reference>
          <reference field="1" count="1">
            <x v="7"/>
          </reference>
        </references>
      </pivotArea>
    </format>
    <format dxfId="438">
      <pivotArea dataOnly="0" labelOnly="1" fieldPosition="0">
        <references count="2">
          <reference field="0" count="1" selected="0">
            <x v="10"/>
          </reference>
          <reference field="1" count="1">
            <x v="8"/>
          </reference>
        </references>
      </pivotArea>
    </format>
    <format dxfId="437">
      <pivotArea dataOnly="0" labelOnly="1" fieldPosition="0">
        <references count="2">
          <reference field="0" count="1" selected="0">
            <x v="11"/>
          </reference>
          <reference field="1" count="1">
            <x v="9"/>
          </reference>
        </references>
      </pivotArea>
    </format>
    <format dxfId="436">
      <pivotArea dataOnly="0" labelOnly="1" fieldPosition="0">
        <references count="2">
          <reference field="0" count="1" selected="0">
            <x v="13"/>
          </reference>
          <reference field="1" count="1">
            <x v="10"/>
          </reference>
        </references>
      </pivotArea>
    </format>
    <format dxfId="435">
      <pivotArea dataOnly="0" labelOnly="1" fieldPosition="0">
        <references count="2">
          <reference field="0" count="1" selected="0">
            <x v="14"/>
          </reference>
          <reference field="1" count="1">
            <x v="13"/>
          </reference>
        </references>
      </pivotArea>
    </format>
    <format dxfId="434">
      <pivotArea dataOnly="0" labelOnly="1" fieldPosition="0">
        <references count="2">
          <reference field="0" count="1" selected="0">
            <x v="15"/>
          </reference>
          <reference field="1" count="4">
            <x v="3"/>
            <x v="5"/>
            <x v="24"/>
            <x v="25"/>
          </reference>
        </references>
      </pivotArea>
    </format>
    <format dxfId="433">
      <pivotArea dataOnly="0" labelOnly="1" fieldPosition="0">
        <references count="2">
          <reference field="0" count="1" selected="0">
            <x v="16"/>
          </reference>
          <reference field="1" count="1">
            <x v="21"/>
          </reference>
        </references>
      </pivotArea>
    </format>
    <format dxfId="432">
      <pivotArea dataOnly="0" labelOnly="1" fieldPosition="0">
        <references count="2">
          <reference field="0" count="1" selected="0">
            <x v="18"/>
          </reference>
          <reference field="1" count="1">
            <x v="33"/>
          </reference>
        </references>
      </pivotArea>
    </format>
    <format dxfId="431">
      <pivotArea dataOnly="0" labelOnly="1" fieldPosition="0">
        <references count="2">
          <reference field="0" count="1" selected="0">
            <x v="19"/>
          </reference>
          <reference field="1" count="1">
            <x v="40"/>
          </reference>
        </references>
      </pivotArea>
    </format>
    <format dxfId="430">
      <pivotArea dataOnly="0" labelOnly="1" fieldPosition="0">
        <references count="2">
          <reference field="0" count="1" selected="0">
            <x v="20"/>
          </reference>
          <reference field="1" count="1">
            <x v="17"/>
          </reference>
        </references>
      </pivotArea>
    </format>
    <format dxfId="429">
      <pivotArea dataOnly="0" labelOnly="1" fieldPosition="0">
        <references count="2">
          <reference field="0" count="1" selected="0">
            <x v="21"/>
          </reference>
          <reference field="1" count="2">
            <x v="18"/>
            <x v="19"/>
          </reference>
        </references>
      </pivotArea>
    </format>
    <format dxfId="428">
      <pivotArea dataOnly="0" labelOnly="1" fieldPosition="0">
        <references count="2">
          <reference field="0" count="1" selected="0">
            <x v="22"/>
          </reference>
          <reference field="1" count="1">
            <x v="22"/>
          </reference>
        </references>
      </pivotArea>
    </format>
    <format dxfId="427">
      <pivotArea dataOnly="0" labelOnly="1" fieldPosition="0">
        <references count="2">
          <reference field="0" count="1" selected="0">
            <x v="24"/>
          </reference>
          <reference field="1" count="1">
            <x v="23"/>
          </reference>
        </references>
      </pivotArea>
    </format>
    <format dxfId="426">
      <pivotArea dataOnly="0" labelOnly="1" fieldPosition="0">
        <references count="2">
          <reference field="0" count="1" selected="0">
            <x v="25"/>
          </reference>
          <reference field="1" count="1">
            <x v="26"/>
          </reference>
        </references>
      </pivotArea>
    </format>
    <format dxfId="425">
      <pivotArea dataOnly="0" labelOnly="1" fieldPosition="0">
        <references count="2">
          <reference field="0" count="1" selected="0">
            <x v="26"/>
          </reference>
          <reference field="1" count="3">
            <x v="4"/>
            <x v="28"/>
            <x v="42"/>
          </reference>
        </references>
      </pivotArea>
    </format>
    <format dxfId="424">
      <pivotArea dataOnly="0" labelOnly="1" fieldPosition="0">
        <references count="2">
          <reference field="0" count="1" selected="0">
            <x v="28"/>
          </reference>
          <reference field="1" count="1">
            <x v="16"/>
          </reference>
        </references>
      </pivotArea>
    </format>
    <format dxfId="423">
      <pivotArea dataOnly="0" labelOnly="1" fieldPosition="0">
        <references count="2">
          <reference field="0" count="1" selected="0">
            <x v="30"/>
          </reference>
          <reference field="1" count="1">
            <x v="32"/>
          </reference>
        </references>
      </pivotArea>
    </format>
    <format dxfId="422">
      <pivotArea dataOnly="0" labelOnly="1" fieldPosition="0">
        <references count="2">
          <reference field="0" count="1" selected="0">
            <x v="32"/>
          </reference>
          <reference field="1" count="1">
            <x v="34"/>
          </reference>
        </references>
      </pivotArea>
    </format>
    <format dxfId="421">
      <pivotArea dataOnly="0" labelOnly="1" fieldPosition="0">
        <references count="2">
          <reference field="0" count="1" selected="0">
            <x v="33"/>
          </reference>
          <reference field="1" count="2">
            <x v="15"/>
            <x v="35"/>
          </reference>
        </references>
      </pivotArea>
    </format>
    <format dxfId="420">
      <pivotArea dataOnly="0" labelOnly="1" fieldPosition="0">
        <references count="2">
          <reference field="0" count="1" selected="0">
            <x v="34"/>
          </reference>
          <reference field="1" count="5">
            <x v="1"/>
            <x v="27"/>
            <x v="29"/>
            <x v="30"/>
            <x v="36"/>
          </reference>
        </references>
      </pivotArea>
    </format>
    <format dxfId="419">
      <pivotArea dataOnly="0" labelOnly="1" fieldPosition="0">
        <references count="2">
          <reference field="0" count="1" selected="0">
            <x v="35"/>
          </reference>
          <reference field="1" count="2">
            <x v="26"/>
            <x v="37"/>
          </reference>
        </references>
      </pivotArea>
    </format>
    <format dxfId="418">
      <pivotArea dataOnly="0" labelOnly="1" fieldPosition="0">
        <references count="2">
          <reference field="0" count="1" selected="0">
            <x v="37"/>
          </reference>
          <reference field="1" count="1">
            <x v="38"/>
          </reference>
        </references>
      </pivotArea>
    </format>
    <format dxfId="417">
      <pivotArea dataOnly="0" labelOnly="1" outline="0" fieldPosition="0">
        <references count="1">
          <reference field="4294967294" count="8">
            <x v="0"/>
            <x v="1"/>
            <x v="2"/>
            <x v="3"/>
            <x v="4"/>
            <x v="5"/>
            <x v="6"/>
            <x v="7"/>
          </reference>
        </references>
      </pivotArea>
    </format>
    <format dxfId="416">
      <pivotArea type="all" dataOnly="0" outline="0" fieldPosition="0"/>
    </format>
    <format dxfId="415">
      <pivotArea outline="0" collapsedLevelsAreSubtotals="1" fieldPosition="0"/>
    </format>
    <format dxfId="414">
      <pivotArea field="0" type="button" dataOnly="0" labelOnly="1" outline="0" axis="axisRow" fieldPosition="0"/>
    </format>
    <format dxfId="413">
      <pivotArea dataOnly="0" labelOnly="1" fieldPosition="0">
        <references count="1">
          <reference field="0" count="0"/>
        </references>
      </pivotArea>
    </format>
    <format dxfId="412">
      <pivotArea dataOnly="0" labelOnly="1" grandRow="1" outline="0" fieldPosition="0"/>
    </format>
    <format dxfId="411">
      <pivotArea dataOnly="0" labelOnly="1" fieldPosition="0">
        <references count="2">
          <reference field="0" count="1" selected="0">
            <x v="1"/>
          </reference>
          <reference field="1" count="2">
            <x v="11"/>
            <x v="14"/>
          </reference>
        </references>
      </pivotArea>
    </format>
    <format dxfId="410">
      <pivotArea dataOnly="0" labelOnly="1" fieldPosition="0">
        <references count="2">
          <reference field="0" count="1" selected="0">
            <x v="2"/>
          </reference>
          <reference field="1" count="3">
            <x v="0"/>
            <x v="6"/>
            <x v="12"/>
          </reference>
        </references>
      </pivotArea>
    </format>
    <format dxfId="409">
      <pivotArea dataOnly="0" labelOnly="1" fieldPosition="0">
        <references count="2">
          <reference field="0" count="1" selected="0">
            <x v="3"/>
          </reference>
          <reference field="1" count="2">
            <x v="2"/>
            <x v="20"/>
          </reference>
        </references>
      </pivotArea>
    </format>
    <format dxfId="408">
      <pivotArea dataOnly="0" labelOnly="1" fieldPosition="0">
        <references count="2">
          <reference field="0" count="1" selected="0">
            <x v="5"/>
          </reference>
          <reference field="1" count="1">
            <x v="39"/>
          </reference>
        </references>
      </pivotArea>
    </format>
    <format dxfId="407">
      <pivotArea dataOnly="0" labelOnly="1" fieldPosition="0">
        <references count="2">
          <reference field="0" count="1" selected="0">
            <x v="7"/>
          </reference>
          <reference field="1" count="1">
            <x v="43"/>
          </reference>
        </references>
      </pivotArea>
    </format>
    <format dxfId="406">
      <pivotArea dataOnly="0" labelOnly="1" fieldPosition="0">
        <references count="2">
          <reference field="0" count="1" selected="0">
            <x v="9"/>
          </reference>
          <reference field="1" count="1">
            <x v="7"/>
          </reference>
        </references>
      </pivotArea>
    </format>
    <format dxfId="405">
      <pivotArea dataOnly="0" labelOnly="1" fieldPosition="0">
        <references count="2">
          <reference field="0" count="1" selected="0">
            <x v="10"/>
          </reference>
          <reference field="1" count="1">
            <x v="8"/>
          </reference>
        </references>
      </pivotArea>
    </format>
    <format dxfId="404">
      <pivotArea dataOnly="0" labelOnly="1" fieldPosition="0">
        <references count="2">
          <reference field="0" count="1" selected="0">
            <x v="11"/>
          </reference>
          <reference field="1" count="1">
            <x v="9"/>
          </reference>
        </references>
      </pivotArea>
    </format>
    <format dxfId="403">
      <pivotArea dataOnly="0" labelOnly="1" fieldPosition="0">
        <references count="2">
          <reference field="0" count="1" selected="0">
            <x v="13"/>
          </reference>
          <reference field="1" count="1">
            <x v="10"/>
          </reference>
        </references>
      </pivotArea>
    </format>
    <format dxfId="402">
      <pivotArea dataOnly="0" labelOnly="1" fieldPosition="0">
        <references count="2">
          <reference field="0" count="1" selected="0">
            <x v="14"/>
          </reference>
          <reference field="1" count="1">
            <x v="13"/>
          </reference>
        </references>
      </pivotArea>
    </format>
    <format dxfId="401">
      <pivotArea dataOnly="0" labelOnly="1" fieldPosition="0">
        <references count="2">
          <reference field="0" count="1" selected="0">
            <x v="15"/>
          </reference>
          <reference field="1" count="4">
            <x v="3"/>
            <x v="5"/>
            <x v="24"/>
            <x v="25"/>
          </reference>
        </references>
      </pivotArea>
    </format>
    <format dxfId="400">
      <pivotArea dataOnly="0" labelOnly="1" fieldPosition="0">
        <references count="2">
          <reference field="0" count="1" selected="0">
            <x v="16"/>
          </reference>
          <reference field="1" count="1">
            <x v="21"/>
          </reference>
        </references>
      </pivotArea>
    </format>
    <format dxfId="399">
      <pivotArea dataOnly="0" labelOnly="1" fieldPosition="0">
        <references count="2">
          <reference field="0" count="1" selected="0">
            <x v="18"/>
          </reference>
          <reference field="1" count="1">
            <x v="33"/>
          </reference>
        </references>
      </pivotArea>
    </format>
    <format dxfId="398">
      <pivotArea dataOnly="0" labelOnly="1" fieldPosition="0">
        <references count="2">
          <reference field="0" count="1" selected="0">
            <x v="19"/>
          </reference>
          <reference field="1" count="1">
            <x v="40"/>
          </reference>
        </references>
      </pivotArea>
    </format>
    <format dxfId="397">
      <pivotArea dataOnly="0" labelOnly="1" fieldPosition="0">
        <references count="2">
          <reference field="0" count="1" selected="0">
            <x v="20"/>
          </reference>
          <reference field="1" count="1">
            <x v="17"/>
          </reference>
        </references>
      </pivotArea>
    </format>
    <format dxfId="396">
      <pivotArea dataOnly="0" labelOnly="1" fieldPosition="0">
        <references count="2">
          <reference field="0" count="1" selected="0">
            <x v="21"/>
          </reference>
          <reference field="1" count="2">
            <x v="18"/>
            <x v="19"/>
          </reference>
        </references>
      </pivotArea>
    </format>
    <format dxfId="395">
      <pivotArea dataOnly="0" labelOnly="1" fieldPosition="0">
        <references count="2">
          <reference field="0" count="1" selected="0">
            <x v="22"/>
          </reference>
          <reference field="1" count="1">
            <x v="22"/>
          </reference>
        </references>
      </pivotArea>
    </format>
    <format dxfId="394">
      <pivotArea dataOnly="0" labelOnly="1" fieldPosition="0">
        <references count="2">
          <reference field="0" count="1" selected="0">
            <x v="24"/>
          </reference>
          <reference field="1" count="1">
            <x v="23"/>
          </reference>
        </references>
      </pivotArea>
    </format>
    <format dxfId="393">
      <pivotArea dataOnly="0" labelOnly="1" fieldPosition="0">
        <references count="2">
          <reference field="0" count="1" selected="0">
            <x v="25"/>
          </reference>
          <reference field="1" count="1">
            <x v="26"/>
          </reference>
        </references>
      </pivotArea>
    </format>
    <format dxfId="392">
      <pivotArea dataOnly="0" labelOnly="1" fieldPosition="0">
        <references count="2">
          <reference field="0" count="1" selected="0">
            <x v="26"/>
          </reference>
          <reference field="1" count="3">
            <x v="4"/>
            <x v="28"/>
            <x v="42"/>
          </reference>
        </references>
      </pivotArea>
    </format>
    <format dxfId="391">
      <pivotArea dataOnly="0" labelOnly="1" fieldPosition="0">
        <references count="2">
          <reference field="0" count="1" selected="0">
            <x v="28"/>
          </reference>
          <reference field="1" count="1">
            <x v="16"/>
          </reference>
        </references>
      </pivotArea>
    </format>
    <format dxfId="390">
      <pivotArea dataOnly="0" labelOnly="1" fieldPosition="0">
        <references count="2">
          <reference field="0" count="1" selected="0">
            <x v="30"/>
          </reference>
          <reference field="1" count="1">
            <x v="32"/>
          </reference>
        </references>
      </pivotArea>
    </format>
    <format dxfId="389">
      <pivotArea dataOnly="0" labelOnly="1" fieldPosition="0">
        <references count="2">
          <reference field="0" count="1" selected="0">
            <x v="32"/>
          </reference>
          <reference field="1" count="1">
            <x v="34"/>
          </reference>
        </references>
      </pivotArea>
    </format>
    <format dxfId="388">
      <pivotArea dataOnly="0" labelOnly="1" fieldPosition="0">
        <references count="2">
          <reference field="0" count="1" selected="0">
            <x v="33"/>
          </reference>
          <reference field="1" count="2">
            <x v="15"/>
            <x v="35"/>
          </reference>
        </references>
      </pivotArea>
    </format>
    <format dxfId="387">
      <pivotArea dataOnly="0" labelOnly="1" fieldPosition="0">
        <references count="2">
          <reference field="0" count="1" selected="0">
            <x v="34"/>
          </reference>
          <reference field="1" count="5">
            <x v="1"/>
            <x v="27"/>
            <x v="29"/>
            <x v="30"/>
            <x v="36"/>
          </reference>
        </references>
      </pivotArea>
    </format>
    <format dxfId="386">
      <pivotArea dataOnly="0" labelOnly="1" fieldPosition="0">
        <references count="2">
          <reference field="0" count="1" selected="0">
            <x v="35"/>
          </reference>
          <reference field="1" count="2">
            <x v="26"/>
            <x v="37"/>
          </reference>
        </references>
      </pivotArea>
    </format>
    <format dxfId="385">
      <pivotArea dataOnly="0" labelOnly="1" fieldPosition="0">
        <references count="2">
          <reference field="0" count="1" selected="0">
            <x v="37"/>
          </reference>
          <reference field="1" count="1">
            <x v="38"/>
          </reference>
        </references>
      </pivotArea>
    </format>
    <format dxfId="384">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44"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5">
        <item x="0"/>
        <item x="1"/>
        <item x="2"/>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6">
    <format dxfId="200">
      <pivotArea outline="0" collapsedLevelsAreSubtotals="1" fieldPosition="0">
        <references count="1">
          <reference field="4294967294" count="4" selected="0">
            <x v="0"/>
            <x v="1"/>
            <x v="2"/>
            <x v="3"/>
          </reference>
        </references>
      </pivotArea>
    </format>
    <format dxfId="199">
      <pivotArea dataOnly="0" labelOnly="1" outline="0" fieldPosition="0">
        <references count="1">
          <reference field="4294967294" count="4">
            <x v="0"/>
            <x v="1"/>
            <x v="2"/>
            <x v="3"/>
          </reference>
        </references>
      </pivotArea>
    </format>
    <format dxfId="198">
      <pivotArea dataOnly="0" labelOnly="1" fieldPosition="0">
        <references count="1">
          <reference field="0" count="0"/>
        </references>
      </pivotArea>
    </format>
    <format dxfId="197">
      <pivotArea collapsedLevelsAreSubtotals="1" fieldPosition="0">
        <references count="1">
          <reference field="0" count="1">
            <x v="2"/>
          </reference>
        </references>
      </pivotArea>
    </format>
    <format dxfId="196">
      <pivotArea dataOnly="0" labelOnly="1" fieldPosition="0">
        <references count="1">
          <reference field="0" count="1">
            <x v="2"/>
          </reference>
        </references>
      </pivotArea>
    </format>
    <format dxfId="195">
      <pivotArea collapsedLevelsAreSubtotals="1" fieldPosition="0">
        <references count="1">
          <reference field="0" count="1">
            <x v="3"/>
          </reference>
        </references>
      </pivotArea>
    </format>
    <format dxfId="194">
      <pivotArea dataOnly="0" labelOnly="1" fieldPosition="0">
        <references count="1">
          <reference field="0" count="1">
            <x v="3"/>
          </reference>
        </references>
      </pivotArea>
    </format>
    <format dxfId="193">
      <pivotArea collapsedLevelsAreSubtotals="1" fieldPosition="0">
        <references count="1">
          <reference field="0" count="1">
            <x v="3"/>
          </reference>
        </references>
      </pivotArea>
    </format>
    <format dxfId="192">
      <pivotArea dataOnly="0" labelOnly="1" fieldPosition="0">
        <references count="1">
          <reference field="0" count="1">
            <x v="3"/>
          </reference>
        </references>
      </pivotArea>
    </format>
    <format dxfId="191">
      <pivotArea dataOnly="0" grandRow="1" fieldPosition="0"/>
    </format>
    <format dxfId="190">
      <pivotArea grandRow="1" outline="0" collapsedLevelsAreSubtotals="1" fieldPosition="0"/>
    </format>
    <format dxfId="189">
      <pivotArea dataOnly="0" labelOnly="1" grandRow="1" outline="0" fieldPosition="0"/>
    </format>
    <format dxfId="188">
      <pivotArea grandRow="1" outline="0" collapsedLevelsAreSubtotals="1" fieldPosition="0"/>
    </format>
    <format dxfId="187">
      <pivotArea dataOnly="0" labelOnly="1" grandRow="1" outline="0" fieldPosition="0"/>
    </format>
    <format dxfId="186">
      <pivotArea grandRow="1" outline="0" collapsedLevelsAreSubtotals="1" fieldPosition="0"/>
    </format>
    <format dxfId="185">
      <pivotArea dataOnly="0" labelOnly="1" grandRow="1" outline="0" fieldPosition="0"/>
    </format>
    <format dxfId="184">
      <pivotArea dataOnly="0" labelOnly="1" fieldPosition="0">
        <references count="1">
          <reference field="0" count="1">
            <x v="1"/>
          </reference>
        </references>
      </pivotArea>
    </format>
    <format dxfId="183">
      <pivotArea dataOnly="0" labelOnly="1" fieldPosition="0">
        <references count="1">
          <reference field="0" count="1">
            <x v="2"/>
          </reference>
        </references>
      </pivotArea>
    </format>
    <format dxfId="182">
      <pivotArea collapsedLevelsAreSubtotals="1" fieldPosition="0">
        <references count="2">
          <reference field="4294967294" count="1" selected="0">
            <x v="0"/>
          </reference>
          <reference field="0" count="1">
            <x v="1"/>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1"/>
          </reference>
          <reference field="0" count="1">
            <x v="1"/>
          </reference>
        </references>
      </pivotArea>
    </format>
    <format dxfId="179">
      <pivotArea collapsedLevelsAreSubtotals="1" fieldPosition="0">
        <references count="2">
          <reference field="4294967294" count="1" selected="0">
            <x v="2"/>
          </reference>
          <reference field="0" count="1">
            <x v="1"/>
          </reference>
        </references>
      </pivotArea>
    </format>
    <format dxfId="178">
      <pivotArea collapsedLevelsAreSubtotals="1" fieldPosition="0">
        <references count="2">
          <reference field="4294967294" count="1" selected="0">
            <x v="3"/>
          </reference>
          <reference field="0" count="1">
            <x v="1"/>
          </reference>
        </references>
      </pivotArea>
    </format>
    <format dxfId="177">
      <pivotArea collapsedLevelsAreSubtotals="1" fieldPosition="0">
        <references count="2">
          <reference field="4294967294" count="3" selected="0">
            <x v="1"/>
            <x v="2"/>
            <x v="3"/>
          </reference>
          <reference field="0" count="1">
            <x v="2"/>
          </reference>
        </references>
      </pivotArea>
    </format>
    <format dxfId="176">
      <pivotArea outline="0" collapsedLevelsAreSubtotals="1" fieldPosition="0">
        <references count="1">
          <reference field="4294967294" count="2" selected="0">
            <x v="4"/>
            <x v="5"/>
          </reference>
        </references>
      </pivotArea>
    </format>
    <format dxfId="175">
      <pivotArea collapsedLevelsAreSubtotals="1" fieldPosition="0">
        <references count="2">
          <reference field="4294967294" count="1" selected="0">
            <x v="4"/>
          </reference>
          <reference field="0" count="1">
            <x v="1"/>
          </reference>
        </references>
      </pivotArea>
    </format>
    <format dxfId="174">
      <pivotArea collapsedLevelsAreSubtotals="1" fieldPosition="0">
        <references count="2">
          <reference field="4294967294" count="1" selected="0">
            <x v="5"/>
          </reference>
          <reference field="0" count="1">
            <x v="1"/>
          </reference>
        </references>
      </pivotArea>
    </format>
    <format dxfId="173">
      <pivotArea collapsedLevelsAreSubtotals="1" fieldPosition="0">
        <references count="2">
          <reference field="4294967294" count="1" selected="0">
            <x v="4"/>
          </reference>
          <reference field="0" count="1">
            <x v="2"/>
          </reference>
        </references>
      </pivotArea>
    </format>
    <format dxfId="172">
      <pivotArea collapsedLevelsAreSubtotals="1" fieldPosition="0">
        <references count="2">
          <reference field="4294967294" count="1" selected="0">
            <x v="5"/>
          </reference>
          <reference field="0" count="1">
            <x v="2"/>
          </reference>
        </references>
      </pivotArea>
    </format>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dataOnly="0" labelOnly="1" fieldPosition="0">
        <references count="1">
          <reference field="0" count="0"/>
        </references>
      </pivotArea>
    </format>
    <format dxfId="167">
      <pivotArea dataOnly="0" labelOnly="1" grandRow="1" outline="0" fieldPosition="0"/>
    </format>
    <format dxfId="166">
      <pivotArea dataOnly="0" labelOnly="1" outline="0" fieldPosition="0">
        <references count="1">
          <reference field="4294967294" count="6">
            <x v="0"/>
            <x v="1"/>
            <x v="2"/>
            <x v="3"/>
            <x v="4"/>
            <x v="5"/>
          </reference>
        </references>
      </pivotArea>
    </format>
    <format dxfId="165">
      <pivotArea collapsedLevelsAreSubtotals="1" fieldPosition="0">
        <references count="2">
          <reference field="4294967294" count="3" selected="0">
            <x v="1"/>
            <x v="2"/>
            <x v="3"/>
          </reference>
          <reference field="0"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45"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39"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3">
    <i>
      <x v="2"/>
    </i>
    <i r="1">
      <x v="1"/>
    </i>
    <i t="blank">
      <x v="2"/>
    </i>
    <i>
      <x v="3"/>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9"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3"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6"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 getAggPBCO2Emissions" backgroundRefresh="0" growShrinkType="overwriteClear" adjustColumnWidth="0" connectionId="11" xr16:uid="{00000000-0016-0000-0A00-000007000000}" autoFormatId="16" applyNumberFormats="0" applyBorderFormats="0" applyFontFormats="0" applyPatternFormats="0" applyAlignmentFormats="0" applyWidthHeightFormats="0">
  <queryTableRefresh nextId="13" unboundColumnsRight="4">
    <queryTableFields count="10">
      <queryTableField id="2" name="antalPerioden" tableColumnId="2"/>
      <queryTableField id="3" name="antalPeriodenFG" tableColumnId="3"/>
      <queryTableField id="7" dataBound="0" tableColumnId="7"/>
      <queryTableField id="6" dataBound="0" tableColumnId="6"/>
      <queryTableField id="4" name="antalAret" tableColumnId="4"/>
      <queryTableField id="5" name="antalAretFG" tableColumnId="5"/>
      <queryTableField id="9" dataBound="0" tableColumnId="8"/>
      <queryTableField id="8" dataBound="0" tableColumnId="9"/>
      <queryTableField id="11" dataBound="0" tableColumnId="11"/>
      <queryTableField id="12" dataBound="0" tableColumnId="12"/>
    </queryTableFields>
    <queryTableDeletedFields count="1">
      <deletedField name="co2utsläpp"/>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2"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7"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85" dataDxfId="484">
  <tableColumns count="4">
    <tableColumn id="1" xr3:uid="{00000000-0010-0000-0000-000001000000}" uniqueName="1" name="Grupp" queryTableFieldId="1" dataDxfId="483"/>
    <tableColumn id="2" xr3:uid="{00000000-0010-0000-0000-000002000000}" uniqueName="2" name="År" queryTableFieldId="2" headerRowDxfId="482" dataDxfId="481"/>
    <tableColumn id="3" xr3:uid="{00000000-0010-0000-0000-000003000000}" uniqueName="3" name="Månaden" queryTableFieldId="3" headerRowDxfId="480" dataDxfId="479"/>
    <tableColumn id="4" xr3:uid="{00000000-0010-0000-0000-000004000000}" uniqueName="4" name="YTD" queryTableFieldId="4" headerRowDxfId="478" dataDxfId="4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5" tableType="queryTable" totalsRowCount="1" headerRowDxfId="237" dataDxfId="236" totalsRowDxfId="235">
  <autoFilter ref="A8:Q64" xr:uid="{00000000-0009-0000-0100-000007000000}"/>
  <tableColumns count="17">
    <tableColumn id="1" xr3:uid="{00000000-0010-0000-0A00-000001000000}" uniqueName="1" name="fabrikat" totalsRowLabel="Totalt" queryTableFieldId="1" dataDxfId="234" totalsRowDxfId="233"/>
    <tableColumn id="2" xr3:uid="{00000000-0010-0000-0A00-000002000000}" uniqueName="2" name="antalFysiska" totalsRowFunction="sum" queryTableFieldId="2" dataDxfId="232" totalsRowDxfId="231"/>
    <tableColumn id="3" xr3:uid="{00000000-0010-0000-0A00-000003000000}" uniqueName="3" name="antalFysiskaFG" totalsRowFunction="sum" queryTableFieldId="3" dataDxfId="230" totalsRowDxfId="229"/>
    <tableColumn id="4" xr3:uid="{00000000-0010-0000-0A00-000004000000}" uniqueName="4" name="antalJuridiska" totalsRowFunction="sum" queryTableFieldId="4" dataDxfId="228" totalsRowDxfId="227"/>
    <tableColumn id="5" xr3:uid="{00000000-0010-0000-0A00-000005000000}" uniqueName="5" name="antalJuridiskaFG" totalsRowFunction="sum" queryTableFieldId="5" dataDxfId="226" totalsRowDxfId="225"/>
    <tableColumn id="6" xr3:uid="{00000000-0010-0000-0A00-000006000000}" uniqueName="6" name="shrJur" totalsRowFunction="custom" queryTableFieldId="6" dataDxfId="224" totalsRowDxfId="223">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2" totalsRowDxfId="221">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20" totalsRowDxfId="219"/>
    <tableColumn id="9" xr3:uid="{00000000-0010-0000-0A00-000009000000}" uniqueName="9" name="totalPeriodenFG" totalsRowFunction="sum" queryTableFieldId="9" dataDxfId="218" totalsRowDxfId="217"/>
    <tableColumn id="10" xr3:uid="{00000000-0010-0000-0A00-00000A000000}" uniqueName="10" name="antalFysiskaAret" totalsRowFunction="sum" queryTableFieldId="10" dataDxfId="216" totalsRowDxfId="215"/>
    <tableColumn id="11" xr3:uid="{00000000-0010-0000-0A00-00000B000000}" uniqueName="11" name="antalFysiskaAretFG" totalsRowFunction="sum" queryTableFieldId="11" dataDxfId="214" totalsRowDxfId="213"/>
    <tableColumn id="12" xr3:uid="{00000000-0010-0000-0A00-00000C000000}" uniqueName="12" name="antalJuridiskaAret" totalsRowFunction="sum" queryTableFieldId="12" dataDxfId="212" totalsRowDxfId="211"/>
    <tableColumn id="13" xr3:uid="{00000000-0010-0000-0A00-00000D000000}" uniqueName="13" name="antalJuridiskaAretFG" totalsRowFunction="sum" queryTableFieldId="13" dataDxfId="210" totalsRowDxfId="209"/>
    <tableColumn id="14" xr3:uid="{00000000-0010-0000-0A00-00000E000000}" uniqueName="14" name="shrAretJur" totalsRowFunction="custom" queryTableFieldId="14" dataDxfId="208" totalsRowDxfId="207">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6" totalsRowDxfId="205">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4" totalsRowDxfId="203"/>
    <tableColumn id="17" xr3:uid="{00000000-0010-0000-0A00-000011000000}" uniqueName="17" name="totalAretFG" totalsRowFunction="sum" queryTableFieldId="17" dataDxfId="202" totalsRowDxfId="20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29" tableType="queryTable" totalsRowCount="1" headerRowDxfId="164" dataDxfId="163" totalsRowDxfId="162">
  <autoFilter ref="A7:I28"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5"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1"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32" tableType="queryTable" totalsRowCount="1" headerRowDxfId="476" dataDxfId="475" totalsRowDxfId="474">
  <tableColumns count="12">
    <tableColumn id="1" xr3:uid="{00000000-0010-0000-0100-000001000000}" uniqueName="1" name="no" queryTableFieldId="1" dataDxfId="473" totalsRowDxfId="472"/>
    <tableColumn id="2" xr3:uid="{00000000-0010-0000-0100-000002000000}" uniqueName="2" name="modell" totalsRowLabel="Totalt" queryTableFieldId="2" dataDxfId="471" totalsRowDxfId="470"/>
    <tableColumn id="3" xr3:uid="{00000000-0010-0000-0100-000003000000}" uniqueName="3" name="antalPerioden" totalsRowFunction="sum" queryTableFieldId="3" dataDxfId="469" totalsRowDxfId="468"/>
    <tableColumn id="4" xr3:uid="{00000000-0010-0000-0100-000004000000}" uniqueName="4" name="antalFGPeriod" totalsRowFunction="sum" queryTableFieldId="4" dataDxfId="467" totalsRowDxfId="466"/>
    <tableColumn id="5" xr3:uid="{00000000-0010-0000-0100-000005000000}" uniqueName="5" name="antalÅret" totalsRowFunction="sum" queryTableFieldId="5" dataDxfId="465" totalsRowDxfId="464"/>
    <tableColumn id="6" xr3:uid="{00000000-0010-0000-0100-000006000000}" uniqueName="6" name="antalFGAr" totalsRowFunction="sum" queryTableFieldId="6" dataDxfId="463" totalsRowDxfId="462"/>
    <tableColumn id="7" xr3:uid="{00000000-0010-0000-0100-000007000000}" uniqueName="7" name="changePeriod" totalsRowFunction="custom" queryTableFieldId="7" dataDxfId="461" totalsRowDxfId="460">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59" totalsRowDxfId="458">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57" totalsRowDxfId="456">
      <totalsRowFormula>TEXT(100,"0,00")</totalsRowFormula>
    </tableColumn>
    <tableColumn id="10" xr3:uid="{00000000-0010-0000-0100-00000A000000}" uniqueName="10" name="shrYear" totalsRowFunction="custom" queryTableFieldId="10" dataDxfId="455" totalsRowDxfId="454">
      <totalsRowFormula>TEXT(100,"0,00")</totalsRowFormula>
    </tableColumn>
    <tableColumn id="11" xr3:uid="{00000000-0010-0000-0100-00000B000000}" uniqueName="11" name="shrPrevPeriod" totalsRowFunction="custom" queryTableFieldId="11" dataDxfId="453" totalsRowDxfId="452">
      <totalsRowFormula>TEXT(100,"0,00")</totalsRowFormula>
    </tableColumn>
    <tableColumn id="12" xr3:uid="{00000000-0010-0000-0100-00000C000000}" uniqueName="12" name="shrPrevYear" totalsRowFunction="custom" queryTableFieldId="12" dataDxfId="451" totalsRowDxfId="450">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5" tableType="queryTable" totalsRowCount="1" headerRowDxfId="383" dataDxfId="382" totalsRowDxfId="380" tableBorderDxfId="381" totalsRowBorderDxfId="379">
  <sortState xmlns:xlrd2="http://schemas.microsoft.com/office/spreadsheetml/2017/richdata2" ref="A8:J14">
    <sortCondition descending="1" ref="B8"/>
  </sortState>
  <tableColumns count="10">
    <tableColumn id="1" xr3:uid="{00000000-0010-0000-0200-000001000000}" uniqueName="1" name="drivmedel" totalsRowLabel="Totalt" queryTableFieldId="1" dataDxfId="378" totalsRowDxfId="377"/>
    <tableColumn id="2" xr3:uid="{00000000-0010-0000-0200-000002000000}" uniqueName="2" name="antalPerioden" totalsRowFunction="sum" queryTableFieldId="2" dataDxfId="376" totalsRowDxfId="375"/>
    <tableColumn id="3" xr3:uid="{00000000-0010-0000-0200-000003000000}" uniqueName="3" name="antalPeriodenFG" totalsRowFunction="sum" queryTableFieldId="3" dataDxfId="374" totalsRowDxfId="373"/>
    <tableColumn id="6" xr3:uid="{00000000-0010-0000-0200-000006000000}" uniqueName="6" name="Column1" totalsRowFunction="sum" queryTableFieldId="6" dataDxfId="372" totalsRowDxfId="371">
      <calculatedColumnFormula>IF(getAggPBFuelTypes[[#This Row],[antalPerioden]]&gt;0,((B8/getAggPBFuelTypes[[#Totals],[antalPerioden]]) * 100),0)</calculatedColumnFormula>
    </tableColumn>
    <tableColumn id="7" xr3:uid="{00000000-0010-0000-0200-000007000000}" uniqueName="7" name="Column2" totalsRowFunction="custom" queryTableFieldId="7" dataDxfId="370" totalsRowDxfId="369">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68" totalsRowDxfId="367"/>
    <tableColumn id="5" xr3:uid="{00000000-0010-0000-0200-000005000000}" uniqueName="5" name="antalAretFG" totalsRowFunction="sum" queryTableFieldId="5" dataDxfId="366" totalsRowDxfId="365"/>
    <tableColumn id="8" xr3:uid="{00000000-0010-0000-0200-000008000000}" uniqueName="8" name="Column3" totalsRowFunction="custom" queryTableFieldId="9" dataDxfId="364" totalsRowDxfId="363">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62" totalsRowDxfId="361">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60" totalsRowDxfId="359">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55" tableType="queryTable" totalsRowCount="1" headerRowDxfId="358" dataDxfId="357" totalsRowDxfId="356">
  <autoFilter ref="A41:M254" xr:uid="{00000000-0009-0000-0100-000004000000}"/>
  <tableColumns count="13">
    <tableColumn id="1" xr3:uid="{00000000-0010-0000-0300-000001000000}" uniqueName="1" name="no" queryTableFieldId="1" dataDxfId="355" totalsRowDxfId="354"/>
    <tableColumn id="2" xr3:uid="{00000000-0010-0000-0300-000002000000}" uniqueName="2" name="modben" totalsRowLabel="Totalt" queryTableFieldId="2" dataDxfId="353" totalsRowDxfId="352"/>
    <tableColumn id="3" xr3:uid="{00000000-0010-0000-0300-000003000000}" uniqueName="3" name="miljoklass" queryTableFieldId="3" dataDxfId="351" totalsRowDxfId="350"/>
    <tableColumn id="4" xr3:uid="{00000000-0010-0000-0300-000004000000}" uniqueName="4" name="antalPerioden" totalsRowFunction="sum" queryTableFieldId="4" dataDxfId="349" totalsRowDxfId="348"/>
    <tableColumn id="5" xr3:uid="{00000000-0010-0000-0300-000005000000}" uniqueName="5" name="antalFGPeriod" totalsRowFunction="sum" queryTableFieldId="5" dataDxfId="347" totalsRowDxfId="346"/>
    <tableColumn id="6" xr3:uid="{00000000-0010-0000-0300-000006000000}" uniqueName="6" name="antalÅret" totalsRowFunction="sum" queryTableFieldId="6" dataDxfId="345" totalsRowDxfId="344"/>
    <tableColumn id="7" xr3:uid="{00000000-0010-0000-0300-000007000000}" uniqueName="7" name="antalFGAr" totalsRowFunction="sum" queryTableFieldId="7" dataDxfId="343" totalsRowDxfId="342"/>
    <tableColumn id="8" xr3:uid="{00000000-0010-0000-0300-000008000000}" uniqueName="8" name="changePeriod" totalsRowFunction="custom" queryTableFieldId="8" dataDxfId="341" totalsRowDxfId="340">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39" totalsRowDxfId="338">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37" totalsRowDxfId="336">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35" totalsRowDxfId="334">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33" totalsRowDxfId="332">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31" totalsRowDxfId="330">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53" tableType="queryTable" totalsRowCount="1" headerRowDxfId="329" dataDxfId="328" totalsRowDxfId="327">
  <autoFilter ref="A39:M252"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52">
    <sortCondition descending="1" ref="F40"/>
  </sortState>
  <tableColumns count="13">
    <tableColumn id="1" xr3:uid="{00000000-0010-0000-0400-000001000000}" uniqueName="1" name="no" queryTableFieldId="1" dataDxfId="326" totalsRowDxfId="325"/>
    <tableColumn id="2" xr3:uid="{00000000-0010-0000-0400-000002000000}" uniqueName="2" name="modben" totalsRowLabel="Totalt" queryTableFieldId="2" dataDxfId="324" totalsRowDxfId="323"/>
    <tableColumn id="3" xr3:uid="{00000000-0010-0000-0400-000003000000}" uniqueName="3" name="miljoklass" queryTableFieldId="3" dataDxfId="322" totalsRowDxfId="321"/>
    <tableColumn id="4" xr3:uid="{00000000-0010-0000-0400-000004000000}" uniqueName="4" name="antalPerioden" totalsRowFunction="sum" queryTableFieldId="4" dataDxfId="320" totalsRowDxfId="319"/>
    <tableColumn id="5" xr3:uid="{00000000-0010-0000-0400-000005000000}" uniqueName="5" name="antalFGPeriod" totalsRowFunction="sum" queryTableFieldId="5" dataDxfId="318" totalsRowDxfId="317"/>
    <tableColumn id="6" xr3:uid="{00000000-0010-0000-0400-000006000000}" uniqueName="6" name="antalÅret" totalsRowFunction="sum" queryTableFieldId="6" dataDxfId="316" totalsRowDxfId="315"/>
    <tableColumn id="7" xr3:uid="{00000000-0010-0000-0400-000007000000}" uniqueName="7" name="antalFGAr" totalsRowFunction="sum" queryTableFieldId="7" dataDxfId="314" totalsRowDxfId="313"/>
    <tableColumn id="8" xr3:uid="{00000000-0010-0000-0400-000008000000}" uniqueName="8" name="changePeriod" totalsRowFunction="custom" queryTableFieldId="8" dataDxfId="312" totalsRowDxfId="311">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310" totalsRowDxfId="309">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308" totalsRowDxfId="307">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306" totalsRowDxfId="305">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304" totalsRowDxfId="303">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302" totalsRowDxfId="301">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54" tableType="queryTable" totalsRowCount="1" headerRowDxfId="300" dataDxfId="299" totalsRowDxfId="298">
  <autoFilter ref="A40:M253"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53">
    <sortCondition descending="1" ref="F43"/>
  </sortState>
  <tableColumns count="13">
    <tableColumn id="1" xr3:uid="{00000000-0010-0000-0500-000001000000}" uniqueName="1" name="no" queryTableFieldId="1" dataDxfId="297" totalsRowDxfId="296"/>
    <tableColumn id="2" xr3:uid="{00000000-0010-0000-0500-000002000000}" uniqueName="2" name="modben" totalsRowLabel="Totalt" queryTableFieldId="2" dataDxfId="295" totalsRowDxfId="294"/>
    <tableColumn id="3" xr3:uid="{00000000-0010-0000-0500-000003000000}" uniqueName="3" name="miljoklass" queryTableFieldId="3" dataDxfId="293" totalsRowDxfId="292"/>
    <tableColumn id="4" xr3:uid="{00000000-0010-0000-0500-000004000000}" uniqueName="4" name="antalPerioden" totalsRowFunction="sum" queryTableFieldId="4" dataDxfId="291" totalsRowDxfId="290"/>
    <tableColumn id="5" xr3:uid="{00000000-0010-0000-0500-000005000000}" uniqueName="5" name="antalFGPeriod" totalsRowFunction="sum" queryTableFieldId="5" dataDxfId="289" totalsRowDxfId="288"/>
    <tableColumn id="6" xr3:uid="{00000000-0010-0000-0500-000006000000}" uniqueName="6" name="antalÅret" totalsRowFunction="sum" queryTableFieldId="6" dataDxfId="287" totalsRowDxfId="286"/>
    <tableColumn id="7" xr3:uid="{00000000-0010-0000-0500-000007000000}" uniqueName="7" name="antalFGAr" totalsRowFunction="sum" queryTableFieldId="7" dataDxfId="285" totalsRowDxfId="284"/>
    <tableColumn id="8" xr3:uid="{00000000-0010-0000-0500-000008000000}" uniqueName="8" name="changePeriod" totalsRowFunction="custom" queryTableFieldId="8" dataDxfId="283" totalsRowDxfId="282">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81" totalsRowDxfId="280">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79" totalsRowDxfId="278">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77" totalsRowDxfId="276">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75" totalsRowDxfId="274">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73" totalsRowDxfId="272">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getAggPBCO2Emissions" displayName="getAggPBCO2Emissions" ref="B7:K14" tableType="queryTable" totalsRowShown="0" headerRowDxfId="271" dataDxfId="270">
  <tableColumns count="10">
    <tableColumn id="2" xr3:uid="{00000000-0010-0000-0700-000002000000}" uniqueName="2" name="antalPerioden" queryTableFieldId="2" dataDxfId="269"/>
    <tableColumn id="3" xr3:uid="{00000000-0010-0000-0700-000003000000}" uniqueName="3" name="antalPeriodenFG" queryTableFieldId="3" dataDxfId="268"/>
    <tableColumn id="7" xr3:uid="{00000000-0010-0000-0700-000007000000}" uniqueName="7" name="Column2" queryTableFieldId="7" dataDxfId="267">
      <calculatedColumnFormula>(getAggPBCO2Emissions[[#This Row],[antalPerioden]]/$B$15)*100</calculatedColumnFormula>
    </tableColumn>
    <tableColumn id="6" xr3:uid="{00000000-0010-0000-0700-000006000000}" uniqueName="6" name="Column1" queryTableFieldId="6" dataDxfId="266">
      <calculatedColumnFormula>(getAggPBCO2Emissions[[#This Row],[antalPeriodenFG]]/$C$15)*100</calculatedColumnFormula>
    </tableColumn>
    <tableColumn id="4" xr3:uid="{00000000-0010-0000-0700-000004000000}" uniqueName="4" name="antalAret" queryTableFieldId="4" dataDxfId="265"/>
    <tableColumn id="5" xr3:uid="{00000000-0010-0000-0700-000005000000}" uniqueName="5" name="antalAretFG" queryTableFieldId="5" dataDxfId="264"/>
    <tableColumn id="8" xr3:uid="{00000000-0010-0000-0700-000008000000}" uniqueName="8" name="Column3" queryTableFieldId="9" dataDxfId="263">
      <calculatedColumnFormula>(getAggPBCO2Emissions[[#This Row],[antalAret]]/$F$15)*100</calculatedColumnFormula>
    </tableColumn>
    <tableColumn id="9" xr3:uid="{00000000-0010-0000-0700-000009000000}" uniqueName="9" name="Column4" queryTableFieldId="8" dataDxfId="262">
      <calculatedColumnFormula>(getAggPBCO2Emissions[[#This Row],[antalAretFG]]/$G$15)*100</calculatedColumnFormula>
    </tableColumn>
    <tableColumn id="11" xr3:uid="{00000000-0010-0000-0700-00000B000000}" uniqueName="11" name="Column5" queryTableFieldId="11" dataDxfId="261">
      <calculatedColumnFormula>((( getAggPBCO2Emissions[[#This Row],[antalPerioden]]  / getAggPBCO2Emissions[[#This Row],[antalPeriodenFG]]) - 1) * 100)</calculatedColumnFormula>
    </tableColumn>
    <tableColumn id="12" xr3:uid="{00000000-0010-0000-0700-00000C000000}" uniqueName="12" name="Column6" queryTableFieldId="12" dataDxfId="260">
      <calculatedColumnFormula>((( getAggPBCO2Emissions[[#This Row],[antalAret]]  / getAggPBCO2Emissions[[#This Row],[antalAretFG]])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27:K35" tableType="queryTable" headerRowDxfId="259" dataDxfId="258" totalsRowDxfId="257">
  <tableColumns count="11">
    <tableColumn id="1" xr3:uid="{00000000-0010-0000-0800-000001000000}" uniqueName="1" name="drivmedel" totalsRowLabel="Total" queryTableFieldId="1" dataDxfId="256"/>
    <tableColumn id="2" xr3:uid="{00000000-0010-0000-0800-000002000000}" uniqueName="2" name="antalPerioden" totalsRowFunction="sum" queryTableFieldId="2" dataDxfId="255" totalsRowDxfId="254"/>
    <tableColumn id="3" xr3:uid="{00000000-0010-0000-0800-000003000000}" uniqueName="3" name="antalPeriodenFG" totalsRowFunction="sum" queryTableFieldId="3" dataDxfId="253" totalsRowDxfId="252"/>
    <tableColumn id="6" xr3:uid="{00000000-0010-0000-0800-000006000000}" uniqueName="6" name="Column1" queryTableFieldId="6" dataDxfId="251" totalsRowDxfId="250">
      <calculatedColumnFormula>(B28/$B$36)*100</calculatedColumnFormula>
    </tableColumn>
    <tableColumn id="7" xr3:uid="{00000000-0010-0000-0800-000007000000}" uniqueName="7" name="Column2" queryTableFieldId="7" dataDxfId="249" totalsRowDxfId="248">
      <calculatedColumnFormula>(C28/$C$36)*100</calculatedColumnFormula>
    </tableColumn>
    <tableColumn id="4" xr3:uid="{00000000-0010-0000-0800-000004000000}" uniqueName="4" name="antalAret" totalsRowFunction="sum" queryTableFieldId="4" dataDxfId="247" totalsRowDxfId="246"/>
    <tableColumn id="5" xr3:uid="{00000000-0010-0000-0800-000005000000}" uniqueName="5" name="antalAretFG" totalsRowFunction="sum" queryTableFieldId="5" dataDxfId="245" totalsRowDxfId="244"/>
    <tableColumn id="8" xr3:uid="{00000000-0010-0000-0800-000008000000}" uniqueName="8" name="Column3" queryTableFieldId="8" dataDxfId="243">
      <calculatedColumnFormula>(F28/$F$36)*100</calculatedColumnFormula>
    </tableColumn>
    <tableColumn id="9" xr3:uid="{00000000-0010-0000-0800-000009000000}" uniqueName="9" name="Column4" queryTableFieldId="9" dataDxfId="242">
      <calculatedColumnFormula>(G28/$G$36)*100</calculatedColumnFormula>
    </tableColumn>
    <tableColumn id="10" xr3:uid="{00000000-0010-0000-0800-00000A000000}" uniqueName="10" name="Column5" queryTableFieldId="10" dataDxfId="241">
      <calculatedColumnFormula>((( B28  / C28) - 1) * 100)</calculatedColumnFormula>
    </tableColumn>
    <tableColumn id="11" xr3:uid="{00000000-0010-0000-0800-00000B000000}" uniqueName="11" name="Column6" queryTableFieldId="11" dataDxfId="240">
      <calculatedColumnFormula>((( F28  / G28) - 1) * 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152:B154" tableType="queryTable" totalsRowShown="0">
  <tableColumns count="2">
    <tableColumn id="1" xr3:uid="{00000000-0010-0000-0900-000001000000}" uniqueName="1" name="noRegs" queryTableFieldId="1" dataDxfId="239"/>
    <tableColumn id="2" xr3:uid="{00000000-0010-0000-0900-000002000000}" uniqueName="2" name="avgCO2" queryTableFieldId="2" dataDxfId="2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5" Type="http://schemas.openxmlformats.org/officeDocument/2006/relationships/table" Target="../tables/table9.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3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31.xml"/><Relationship Id="rId1" Type="http://schemas.openxmlformats.org/officeDocument/2006/relationships/printerSettings" Target="../printerSettings/printerSettings18.bin"/><Relationship Id="rId4"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3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3.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M37" sqref="M37"/>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7"/>
      <c r="B7" s="60" t="s">
        <v>495</v>
      </c>
      <c r="C7" s="60"/>
      <c r="D7" s="60"/>
      <c r="E7" s="60"/>
      <c r="F7" s="60"/>
      <c r="G7" s="60"/>
      <c r="H7" s="184" t="s">
        <v>1212</v>
      </c>
      <c r="I7" s="60"/>
    </row>
    <row r="8" spans="1:17">
      <c r="A8" s="27"/>
      <c r="B8" s="41"/>
      <c r="C8" s="27"/>
      <c r="D8" s="27"/>
      <c r="E8" s="27"/>
      <c r="F8" s="27"/>
      <c r="G8" s="27"/>
      <c r="H8" s="27"/>
      <c r="I8" s="27"/>
      <c r="J8" s="27"/>
    </row>
    <row r="9" spans="1:17">
      <c r="A9" s="27"/>
      <c r="B9" s="41"/>
      <c r="C9" s="27"/>
      <c r="D9" s="27"/>
      <c r="E9" s="27"/>
      <c r="F9" s="27"/>
      <c r="G9" s="27"/>
      <c r="H9" s="27"/>
      <c r="I9" s="27"/>
      <c r="J9" s="27"/>
    </row>
    <row r="10" spans="1:17" ht="18">
      <c r="A10" s="27"/>
      <c r="B10" s="27"/>
      <c r="C10" s="241" t="s">
        <v>611</v>
      </c>
      <c r="D10" s="241"/>
      <c r="E10" s="241"/>
      <c r="F10" s="241"/>
      <c r="G10" s="241"/>
      <c r="H10" s="241"/>
      <c r="I10" s="241"/>
      <c r="J10" s="53"/>
    </row>
    <row r="11" spans="1:17" ht="14" customHeight="1">
      <c r="A11" s="27"/>
      <c r="B11" s="27"/>
      <c r="C11" s="27"/>
      <c r="D11" s="27"/>
      <c r="E11" s="27"/>
      <c r="F11" s="27"/>
      <c r="G11" s="27"/>
      <c r="H11" s="27"/>
      <c r="I11" s="27"/>
      <c r="J11" s="27"/>
    </row>
    <row r="12" spans="1:17" ht="14" customHeight="1">
      <c r="A12" s="27"/>
      <c r="B12" s="42"/>
      <c r="C12" s="42"/>
      <c r="D12" s="42"/>
      <c r="E12" s="27"/>
      <c r="F12" s="43" t="str">
        <f>D79</f>
        <v xml:space="preserve"> 2023-04</v>
      </c>
      <c r="G12" s="43" t="str">
        <f>D80</f>
        <v xml:space="preserve"> 2022-04</v>
      </c>
      <c r="H12" s="242" t="s">
        <v>1039</v>
      </c>
      <c r="I12" s="242"/>
    </row>
    <row r="13" spans="1:17" ht="14" customHeight="1">
      <c r="A13" s="27"/>
      <c r="B13" s="42" t="s">
        <v>608</v>
      </c>
      <c r="C13" s="27"/>
      <c r="D13" s="27"/>
      <c r="E13" s="27"/>
      <c r="F13" s="27"/>
      <c r="G13" s="27"/>
      <c r="H13" s="187" t="s">
        <v>366</v>
      </c>
      <c r="I13" s="187" t="s">
        <v>561</v>
      </c>
      <c r="P13" s="231"/>
      <c r="Q13" s="231"/>
    </row>
    <row r="14" spans="1:17" ht="14" customHeight="1">
      <c r="A14" s="27"/>
      <c r="B14" s="45" t="s">
        <v>1028</v>
      </c>
      <c r="C14" s="27"/>
      <c r="D14" s="27"/>
      <c r="E14" s="27"/>
      <c r="F14" s="27">
        <f>INDEX('A.4 Drivmedel PB'!$B$8:$B$15,MATCH("El",'A.4 Drivmedel PB'!$A$8:$A$15,0))</f>
        <v>6928</v>
      </c>
      <c r="G14" s="27">
        <f>INDEX('A.4 Drivmedel PB'!$C$8:$C$15,MATCH("El",'A.4 Drivmedel PB'!$A$8:$A$15,0))</f>
        <v>5421</v>
      </c>
      <c r="H14" s="46">
        <f t="shared" ref="H14:H19" si="0">IF(G14=0,"",SUM(((F14-G14)/G14)))</f>
        <v>0.27799299022320606</v>
      </c>
      <c r="I14" s="46">
        <f>INDEX('A.4 Drivmedel PB'!$J$8:$J$15,MATCH("El",'A.4 Drivmedel PB'!$A$8:$A$15,0))</f>
        <v>0.18671175651481997</v>
      </c>
      <c r="P14" s="231"/>
      <c r="Q14" s="231"/>
    </row>
    <row r="15" spans="1:17" ht="14" customHeight="1">
      <c r="A15" s="27"/>
      <c r="B15" s="45" t="s">
        <v>1029</v>
      </c>
      <c r="C15" s="27"/>
      <c r="D15" s="27"/>
      <c r="E15" s="27"/>
      <c r="F15" s="27">
        <f>INDEX('A.4 Drivmedel PB'!$B$8:$B$15,MATCH("Laddhybrid",'A.4 Drivmedel PB'!$A$8:$A$15,0))</f>
        <v>4549</v>
      </c>
      <c r="G15" s="27">
        <f>INDEX('A.4 Drivmedel PB'!$C$8:$C$15,MATCH("Laddhybrid",'A.4 Drivmedel PB'!$A$8:$A$15,0))</f>
        <v>5146</v>
      </c>
      <c r="H15" s="46">
        <f t="shared" si="0"/>
        <v>-0.1160124368441508</v>
      </c>
      <c r="I15" s="46">
        <f>INDEX('A.4 Drivmedel PB'!$J$8:$J$15,MATCH("Laddhybrid",'A.4 Drivmedel PB'!$A$8:$A$15,0))</f>
        <v>-0.23924955069477929</v>
      </c>
      <c r="P15" s="231"/>
      <c r="Q15" s="231"/>
    </row>
    <row r="16" spans="1:17" ht="14" customHeight="1">
      <c r="A16" s="27"/>
      <c r="B16" s="229" t="s">
        <v>1033</v>
      </c>
      <c r="C16" s="230"/>
      <c r="D16" s="230"/>
      <c r="E16" s="230"/>
      <c r="F16" s="238">
        <f>INDEX('A.4 Drivmedel PB'!$D$8:$D$15,MATCH("El",'A.4 Drivmedel PB'!$A$8:$A$15,0))</f>
        <v>33.653939570581947</v>
      </c>
      <c r="G16" s="238">
        <f>INDEX('A.4 Drivmedel PB'!$E$8:$E$15,MATCH("El",'A.4 Drivmedel PB'!$A$8:$A$15,0))</f>
        <v>24.706043204812687</v>
      </c>
      <c r="H16" s="231">
        <f t="shared" si="0"/>
        <v>0.36217439966373199</v>
      </c>
      <c r="I16" s="236">
        <f>INDEX('A.4 Drivmedel PB'!$D$8:$D$15,MATCH("El",'A.4 Drivmedel PB'!$A$8:$A$15,0))</f>
        <v>33.653939570581947</v>
      </c>
      <c r="L16" s="235"/>
    </row>
    <row r="17" spans="1:15" ht="14" customHeight="1">
      <c r="A17" s="27"/>
      <c r="B17" s="229" t="s">
        <v>1034</v>
      </c>
      <c r="C17" s="230"/>
      <c r="D17" s="230"/>
      <c r="E17" s="230"/>
      <c r="F17" s="238">
        <f>INDEX('A.4 Drivmedel PB'!$D$8:$D$15,MATCH("Laddhybrid",'A.4 Drivmedel PB'!$A$8:$A$15,0))</f>
        <v>22.097542018847761</v>
      </c>
      <c r="G17" s="238">
        <f>INDEX('A.4 Drivmedel PB'!$E$8:$E$15,MATCH("Laddhybrid",'A.4 Drivmedel PB'!$A$8:$A$15,0))</f>
        <v>23.45273903928539</v>
      </c>
      <c r="H17" s="231">
        <f t="shared" si="0"/>
        <v>-5.7784168329658867E-2</v>
      </c>
      <c r="I17" s="236">
        <f>INDEX('A.4 Drivmedel PB'!$D$8:$D$15,MATCH("Laddhybrid",'A.4 Drivmedel PB'!$A$8:$A$15,0))</f>
        <v>22.097542018847761</v>
      </c>
    </row>
    <row r="18" spans="1:15" ht="14" customHeight="1">
      <c r="A18" s="27"/>
      <c r="B18" s="229" t="s">
        <v>1035</v>
      </c>
      <c r="C18" s="230"/>
      <c r="D18" s="230"/>
      <c r="E18" s="230"/>
      <c r="F18" s="238">
        <f>F16+F17</f>
        <v>55.751481589429709</v>
      </c>
      <c r="G18" s="238">
        <f>(G16+G17)</f>
        <v>48.158782244098077</v>
      </c>
      <c r="H18" s="231">
        <f t="shared" si="0"/>
        <v>0.15765970382820729</v>
      </c>
      <c r="I18" s="232">
        <f>AndelLaddbaraYTD/100</f>
        <v>-1.5787278415015642E-2</v>
      </c>
    </row>
    <row r="19" spans="1:15" ht="14" customHeight="1">
      <c r="A19" s="27"/>
      <c r="B19" s="47" t="s">
        <v>606</v>
      </c>
      <c r="C19" s="48"/>
      <c r="D19" s="48"/>
      <c r="E19" s="48"/>
      <c r="F19" s="234">
        <f>getAggModelsPB[[#Totals],[antalPerioden]]</f>
        <v>20586</v>
      </c>
      <c r="G19" s="49">
        <f>getAggModelsPB[[#Totals],[antalFGPeriod]]</f>
        <v>21942</v>
      </c>
      <c r="H19" s="50">
        <f t="shared" si="0"/>
        <v>-6.1799289034727922E-2</v>
      </c>
      <c r="I19" s="46">
        <f>IF(AntalTotaltYTDFGAR=0,"",((AntalTotaltYTD-AntalTotaltYTDFGAR)/AntalTotaltYTDFGAR))</f>
        <v>-8.4979439578538624E-2</v>
      </c>
    </row>
    <row r="20" spans="1:15" ht="14" customHeight="1">
      <c r="A20" s="27"/>
      <c r="B20" s="27"/>
      <c r="C20" s="27"/>
      <c r="D20" s="27"/>
      <c r="E20" s="27"/>
      <c r="F20" s="27"/>
      <c r="G20" s="27"/>
      <c r="H20" s="27"/>
      <c r="I20" s="27"/>
    </row>
    <row r="21" spans="1:15" ht="14" customHeight="1">
      <c r="A21" s="27"/>
      <c r="B21" s="42" t="s">
        <v>609</v>
      </c>
      <c r="C21" s="27"/>
      <c r="D21" s="27"/>
      <c r="E21" s="27"/>
      <c r="F21" s="27"/>
      <c r="G21" s="27"/>
      <c r="H21" s="27"/>
      <c r="I21" s="27"/>
    </row>
    <row r="22" spans="1:15" ht="14" customHeight="1">
      <c r="A22" s="27"/>
      <c r="B22" s="45" t="s">
        <v>1032</v>
      </c>
      <c r="C22" s="27"/>
      <c r="D22" s="27"/>
      <c r="E22" s="27"/>
      <c r="F22" s="27">
        <f>GETPIVOTDATA("Sum of antalPerioden",'B. Lastbilar'!$A$7,"klass","Över  16,0 ton")</f>
        <v>514</v>
      </c>
      <c r="G22" s="27">
        <f>GETPIVOTDATA("Sum of antalPeriodenFG",'B. Lastbilar'!$A$7,"klass","Över  16,0 ton")</f>
        <v>478</v>
      </c>
      <c r="H22" s="46">
        <f>IF(G22=0,"",SUM(((F22-G22)/G22)))</f>
        <v>7.5313807531380755E-2</v>
      </c>
      <c r="I22" s="46">
        <f>IF(AntalTLBYTDFGAR=0,"",((AntalTLBYTD-AntalTLBYTDFGAR)/AntalTLBYTDFGAR))</f>
        <v>0.31102850061957871</v>
      </c>
    </row>
    <row r="23" spans="1:15" ht="14" customHeight="1">
      <c r="A23" s="27"/>
      <c r="B23" s="45" t="s">
        <v>1030</v>
      </c>
      <c r="C23" s="27"/>
      <c r="D23" s="27"/>
      <c r="E23" s="27"/>
      <c r="F23" s="27">
        <f>GETPIVOTDATA("Sum of antalPerioden",'B. Lastbilar'!$A$7,"klass","Högst  3,5 ton")</f>
        <v>3203</v>
      </c>
      <c r="G23" s="27">
        <f>GETPIVOTDATA("Sum of antalPeriodenFG",'B. Lastbilar'!$A$7,"klass","Högst  3,5 ton")</f>
        <v>2954</v>
      </c>
      <c r="H23" s="46">
        <f t="shared" ref="H23:H24" si="1">IF(G23=0,"",SUM(((F23-G23)/G23)))</f>
        <v>8.4292484766418416E-2</v>
      </c>
      <c r="I23" s="46">
        <f>IF(AntalLLBYTDFGAR=0,"",((AntalLLBYTD-AntalLLBYTDFGAR)/AntalLLBYTDFGAR))</f>
        <v>0.1024134502395372</v>
      </c>
    </row>
    <row r="24" spans="1:15" ht="14" customHeight="1">
      <c r="A24" s="27"/>
      <c r="B24" s="45" t="s">
        <v>1031</v>
      </c>
      <c r="C24" s="27"/>
      <c r="D24" s="27"/>
      <c r="E24" s="27"/>
      <c r="F24" s="27">
        <f>AntalLLBEL</f>
        <v>499</v>
      </c>
      <c r="G24" s="27">
        <f>AntalLLBELFGAR</f>
        <v>218</v>
      </c>
      <c r="H24" s="46">
        <f t="shared" si="1"/>
        <v>1.2889908256880733</v>
      </c>
      <c r="I24" s="46">
        <f>ChangeLLBELYTD/100</f>
        <v>0.56238532110091743</v>
      </c>
    </row>
    <row r="25" spans="1:15" ht="14" customHeight="1">
      <c r="A25" s="27"/>
      <c r="B25" s="229" t="s">
        <v>1036</v>
      </c>
      <c r="C25" s="230"/>
      <c r="D25" s="230"/>
      <c r="E25" s="230"/>
      <c r="F25" s="231">
        <f>(F24/F23)</f>
        <v>0.15579144551982516</v>
      </c>
      <c r="G25" s="231">
        <f>(G24/G23)</f>
        <v>7.3798239675016933E-2</v>
      </c>
      <c r="H25" s="231">
        <f>IF(G25=0,"",SUM(((F25-G25)/G25)))</f>
        <v>1.1110455507594654</v>
      </c>
      <c r="I25" s="232"/>
      <c r="O25" s="233"/>
    </row>
    <row r="26" spans="1:15" ht="14" customHeight="1">
      <c r="A26" s="27"/>
      <c r="B26" s="47" t="s">
        <v>1038</v>
      </c>
      <c r="C26" s="48"/>
      <c r="D26" s="48"/>
      <c r="E26" s="48"/>
      <c r="F26" s="234">
        <f>GETPIVOTDATA("Sum of antalPerioden",'B. Lastbilar'!$A$7)</f>
        <v>3746</v>
      </c>
      <c r="G26" s="49">
        <f>GETPIVOTDATA("Sum of antalPeriodenFG",'B. Lastbilar'!$A$7)</f>
        <v>3467</v>
      </c>
      <c r="H26" s="50">
        <f>IF(G26=0,"",SUM(((F26-G26)/G26)))</f>
        <v>8.0473031439284679E-2</v>
      </c>
      <c r="I26" s="46">
        <f>IF(antalLBTotaltYTDFGAR=0,"",((AntalLBTotaltYTD-antalLBTotaltYTDFGAR)/antalLBTotaltYTDFGAR))</f>
        <v>0.12787524366471734</v>
      </c>
    </row>
    <row r="27" spans="1:15" ht="14" customHeight="1">
      <c r="A27" s="27"/>
      <c r="B27" s="27"/>
      <c r="C27" s="27"/>
      <c r="D27" s="27"/>
      <c r="E27" s="27"/>
      <c r="F27" s="27"/>
      <c r="G27" s="27"/>
      <c r="H27" s="27"/>
      <c r="I27" s="27"/>
    </row>
    <row r="28" spans="1:15" ht="14" customHeight="1">
      <c r="A28" s="27"/>
      <c r="B28" s="42" t="s">
        <v>610</v>
      </c>
      <c r="C28" s="27"/>
      <c r="D28" s="27"/>
      <c r="E28" s="27"/>
      <c r="F28" s="27"/>
      <c r="G28" s="27"/>
      <c r="H28" s="27"/>
      <c r="I28" s="27"/>
    </row>
    <row r="29" spans="1:15" ht="14" customHeight="1">
      <c r="A29" s="27"/>
      <c r="B29" s="45" t="s">
        <v>1027</v>
      </c>
      <c r="C29" s="27"/>
      <c r="D29" s="27"/>
      <c r="E29" s="27"/>
      <c r="F29" s="27">
        <f>AntalELBUSS</f>
        <v>43</v>
      </c>
      <c r="G29" s="27">
        <f>AntalELBUSSFGAR</f>
        <v>4</v>
      </c>
      <c r="H29" s="46">
        <f>IF(G29=0,"",SUM(((F29-G29)/G29)))</f>
        <v>9.75</v>
      </c>
      <c r="I29" s="46">
        <f>ChangeBUSSELYTD/100</f>
        <v>0.70454545454545459</v>
      </c>
      <c r="K29" s="45"/>
    </row>
    <row r="30" spans="1:15" ht="14" customHeight="1">
      <c r="A30" s="27"/>
      <c r="B30" s="229" t="s">
        <v>1037</v>
      </c>
      <c r="C30" s="230"/>
      <c r="D30" s="230"/>
      <c r="E30" s="230"/>
      <c r="F30" s="231">
        <f>(F29/F31)</f>
        <v>0.60563380281690138</v>
      </c>
      <c r="G30" s="231">
        <f>(G29/G31)</f>
        <v>5.7142857142857141E-2</v>
      </c>
      <c r="H30" s="231">
        <f>IF(G30=0,"",SUM(((F30-G30)/G30)))</f>
        <v>9.5985915492957741</v>
      </c>
      <c r="I30" s="232"/>
    </row>
    <row r="31" spans="1:15" ht="14" customHeight="1">
      <c r="A31" s="27"/>
      <c r="B31" s="47" t="s">
        <v>607</v>
      </c>
      <c r="C31" s="47"/>
      <c r="D31" s="47"/>
      <c r="E31" s="47"/>
      <c r="F31" s="98">
        <f>getAggBussAll[[#Totals],[antalPerioden]]</f>
        <v>71</v>
      </c>
      <c r="G31" s="48">
        <f>getAggBussAll[[#Totals],[antalPeriodenFG]]</f>
        <v>70</v>
      </c>
      <c r="H31" s="50">
        <f>IF(G31=0,"",SUM(((F31-G31)/G31)))</f>
        <v>1.4285714285714285E-2</v>
      </c>
      <c r="I31" s="46">
        <f>IF(AntalBUSSYTDFGAR=0,"",((AntalBUSSYTD-AntalBUSSYTDFGAR)/AntalBUSSYTDFGAR))</f>
        <v>0.13812154696132597</v>
      </c>
    </row>
    <row r="32" spans="1:15">
      <c r="A32" s="27"/>
      <c r="B32" s="45"/>
      <c r="C32" s="27"/>
      <c r="D32" s="27"/>
      <c r="E32" s="27"/>
      <c r="F32" s="27"/>
      <c r="G32" s="46"/>
      <c r="H32" s="27"/>
      <c r="I32" s="27"/>
      <c r="J32" s="27"/>
    </row>
    <row r="33" spans="1:11">
      <c r="A33" s="27"/>
      <c r="B33" s="45"/>
      <c r="C33" s="27"/>
      <c r="D33" s="27"/>
      <c r="E33" s="27"/>
      <c r="F33" s="27"/>
      <c r="G33" s="46"/>
      <c r="H33" s="27"/>
      <c r="I33" s="27"/>
      <c r="J33" s="27"/>
    </row>
    <row r="34" spans="1:11">
      <c r="A34" s="27"/>
      <c r="B34" s="27" t="s">
        <v>0</v>
      </c>
      <c r="C34" s="27"/>
      <c r="D34" s="27"/>
      <c r="E34" s="27"/>
      <c r="F34" s="27"/>
      <c r="G34" s="27"/>
      <c r="H34" s="27"/>
      <c r="I34" s="27"/>
      <c r="J34" s="27"/>
    </row>
    <row r="35" spans="1:11">
      <c r="A35" s="27"/>
      <c r="B35" s="27"/>
      <c r="C35" s="27"/>
      <c r="D35" s="27"/>
      <c r="E35" s="27"/>
      <c r="F35" s="27"/>
      <c r="G35" s="27"/>
      <c r="H35" s="27"/>
      <c r="I35" s="27"/>
      <c r="J35" s="27"/>
    </row>
    <row r="36" spans="1:11" ht="18">
      <c r="A36" s="27"/>
      <c r="B36" s="51" t="s">
        <v>465</v>
      </c>
      <c r="C36" s="51"/>
      <c r="D36" s="52"/>
      <c r="E36" s="52"/>
      <c r="F36" s="52"/>
      <c r="G36" s="27"/>
      <c r="H36" s="27"/>
      <c r="I36" s="27"/>
      <c r="J36" s="27"/>
    </row>
    <row r="37" spans="1:11" ht="18">
      <c r="A37" s="27"/>
      <c r="B37" s="53"/>
      <c r="C37" s="51" t="s">
        <v>466</v>
      </c>
      <c r="D37" s="52"/>
      <c r="E37" s="52"/>
      <c r="F37" s="52"/>
      <c r="G37" s="27"/>
      <c r="H37" s="27"/>
      <c r="I37" s="27"/>
      <c r="J37" s="27"/>
    </row>
    <row r="38" spans="1:11" ht="18">
      <c r="A38" s="27"/>
      <c r="B38" s="53"/>
      <c r="C38" s="51" t="s">
        <v>553</v>
      </c>
      <c r="D38" s="52"/>
      <c r="E38" s="52"/>
      <c r="F38" s="52"/>
      <c r="G38" s="27"/>
      <c r="H38" s="27"/>
      <c r="I38" s="27"/>
      <c r="J38" s="27"/>
    </row>
    <row r="39" spans="1:11" ht="18">
      <c r="A39" s="27"/>
      <c r="B39" s="53"/>
      <c r="C39" s="51" t="s">
        <v>485</v>
      </c>
      <c r="D39" s="52"/>
      <c r="E39" s="52"/>
      <c r="F39" s="52"/>
      <c r="G39" s="27"/>
      <c r="H39" s="27"/>
      <c r="I39" s="27"/>
      <c r="J39" s="27"/>
    </row>
    <row r="40" spans="1:11" ht="18">
      <c r="A40" s="27"/>
      <c r="B40" s="53"/>
      <c r="C40" s="51" t="s">
        <v>470</v>
      </c>
      <c r="D40" s="52"/>
      <c r="E40" s="52"/>
      <c r="F40" s="52"/>
      <c r="G40" s="27"/>
      <c r="H40" s="27"/>
      <c r="I40" s="27"/>
      <c r="J40" s="27"/>
    </row>
    <row r="41" spans="1:11" ht="18">
      <c r="A41" s="27"/>
      <c r="B41" s="53"/>
      <c r="C41" s="51" t="s">
        <v>471</v>
      </c>
      <c r="D41" s="52"/>
      <c r="E41" s="52"/>
      <c r="F41" s="52"/>
      <c r="G41" s="27"/>
      <c r="H41" s="27"/>
      <c r="I41" s="27"/>
      <c r="J41" s="27"/>
    </row>
    <row r="42" spans="1:11" ht="18">
      <c r="A42" s="27"/>
      <c r="B42" s="53"/>
      <c r="C42" s="51" t="s">
        <v>646</v>
      </c>
      <c r="D42" s="52"/>
      <c r="E42" s="52"/>
      <c r="F42" s="52"/>
      <c r="G42" s="27"/>
      <c r="H42" s="27"/>
      <c r="I42" s="27"/>
      <c r="J42" s="27"/>
    </row>
    <row r="43" spans="1:11" ht="18">
      <c r="A43" s="27"/>
      <c r="B43" s="53"/>
      <c r="C43" s="51" t="s">
        <v>647</v>
      </c>
      <c r="D43" s="52"/>
      <c r="E43" s="52"/>
      <c r="F43" s="52"/>
      <c r="G43" s="27"/>
      <c r="H43" s="27"/>
      <c r="I43" s="27"/>
      <c r="J43" s="27"/>
    </row>
    <row r="44" spans="1:11" ht="18">
      <c r="A44" s="27"/>
      <c r="B44" s="54"/>
      <c r="C44" s="51" t="s">
        <v>472</v>
      </c>
      <c r="D44" s="52"/>
      <c r="E44" s="52"/>
      <c r="F44" s="41" t="s">
        <v>1276</v>
      </c>
      <c r="G44" s="27"/>
      <c r="H44" s="27"/>
      <c r="I44" s="27"/>
      <c r="J44" s="27"/>
    </row>
    <row r="45" spans="1:11" ht="18">
      <c r="A45" s="27"/>
      <c r="B45" s="54"/>
      <c r="C45" s="51" t="s">
        <v>558</v>
      </c>
      <c r="D45" s="52"/>
      <c r="E45" s="52"/>
      <c r="F45" s="52"/>
      <c r="G45" s="52"/>
      <c r="H45" s="52"/>
      <c r="I45" s="52"/>
      <c r="J45" s="27"/>
    </row>
    <row r="46" spans="1:11" ht="18">
      <c r="A46" s="27"/>
      <c r="B46" s="54"/>
      <c r="C46" s="51" t="s">
        <v>559</v>
      </c>
      <c r="D46" s="52"/>
      <c r="E46" s="52"/>
      <c r="F46" s="52"/>
      <c r="G46" s="27"/>
      <c r="H46" s="27"/>
      <c r="I46" s="27"/>
      <c r="J46" s="27"/>
    </row>
    <row r="47" spans="1:11" ht="18">
      <c r="A47" s="27"/>
      <c r="B47" s="54"/>
      <c r="C47" s="54"/>
      <c r="D47" s="52"/>
      <c r="E47" s="52"/>
      <c r="F47" s="27"/>
      <c r="G47" s="27"/>
      <c r="H47" s="27"/>
      <c r="I47" s="27"/>
      <c r="J47" s="27"/>
    </row>
    <row r="48" spans="1:11" ht="18">
      <c r="A48" s="27"/>
      <c r="B48" s="51" t="s">
        <v>467</v>
      </c>
      <c r="C48" s="51"/>
      <c r="D48" s="51"/>
      <c r="E48" s="51"/>
      <c r="F48" s="51"/>
      <c r="G48" s="55"/>
      <c r="H48" s="55"/>
      <c r="I48" s="55"/>
      <c r="J48" s="55"/>
      <c r="K48" s="18"/>
    </row>
    <row r="49" spans="1:11" ht="18">
      <c r="A49" s="27"/>
      <c r="B49" s="54"/>
      <c r="C49" s="51" t="s">
        <v>554</v>
      </c>
      <c r="D49" s="51"/>
      <c r="E49" s="51"/>
      <c r="F49" s="51"/>
      <c r="G49" s="55"/>
      <c r="H49" s="55"/>
      <c r="I49" s="55"/>
      <c r="J49" s="55"/>
      <c r="K49" s="18"/>
    </row>
    <row r="50" spans="1:11" ht="18">
      <c r="A50" s="27"/>
      <c r="B50" s="54"/>
      <c r="C50" s="51" t="s">
        <v>388</v>
      </c>
      <c r="D50" s="51"/>
      <c r="E50" s="51"/>
      <c r="F50" s="51"/>
      <c r="G50" s="55"/>
      <c r="H50" s="55"/>
      <c r="I50" s="55"/>
      <c r="J50" s="55"/>
      <c r="K50" s="18"/>
    </row>
    <row r="51" spans="1:11" ht="18">
      <c r="A51" s="27"/>
      <c r="B51" s="54"/>
      <c r="C51" s="51" t="s">
        <v>317</v>
      </c>
      <c r="D51" s="51"/>
      <c r="E51" s="51"/>
      <c r="F51" s="51"/>
      <c r="G51" s="55"/>
      <c r="H51" s="55"/>
      <c r="I51" s="55"/>
      <c r="J51" s="55"/>
      <c r="K51" s="18"/>
    </row>
    <row r="52" spans="1:11" ht="18">
      <c r="A52" s="27"/>
      <c r="B52" s="54"/>
      <c r="C52" s="51" t="s">
        <v>555</v>
      </c>
      <c r="D52" s="51"/>
      <c r="E52" s="51"/>
      <c r="F52" s="51"/>
      <c r="G52" s="55"/>
      <c r="H52" s="55"/>
      <c r="I52" s="55"/>
      <c r="J52" s="55"/>
      <c r="K52" s="18"/>
    </row>
    <row r="53" spans="1:11" ht="18">
      <c r="A53" s="27"/>
      <c r="B53" s="54"/>
      <c r="C53" s="51" t="s">
        <v>370</v>
      </c>
      <c r="D53" s="51"/>
      <c r="E53" s="51"/>
      <c r="F53" s="51"/>
      <c r="G53" s="27"/>
      <c r="H53" s="27"/>
      <c r="I53" s="27"/>
      <c r="J53" s="27"/>
    </row>
    <row r="54" spans="1:11" ht="18">
      <c r="A54" s="27"/>
      <c r="B54" s="56"/>
      <c r="C54" s="54"/>
      <c r="D54" s="51"/>
      <c r="E54" s="51"/>
      <c r="F54" s="53"/>
      <c r="G54" s="27"/>
      <c r="H54" s="27"/>
      <c r="I54" s="27"/>
      <c r="J54" s="27"/>
    </row>
    <row r="55" spans="1:11" ht="18">
      <c r="A55" s="27"/>
      <c r="B55" s="51" t="s">
        <v>468</v>
      </c>
      <c r="C55" s="51"/>
      <c r="D55" s="51"/>
      <c r="E55" s="51"/>
      <c r="F55" s="51"/>
      <c r="G55" s="27"/>
      <c r="H55" s="27"/>
      <c r="I55" s="27"/>
      <c r="J55" s="27"/>
    </row>
    <row r="56" spans="1:11" ht="18">
      <c r="A56" s="27"/>
      <c r="B56" s="54"/>
      <c r="C56" s="51" t="s">
        <v>318</v>
      </c>
      <c r="D56" s="51"/>
      <c r="E56" s="51"/>
      <c r="F56" s="51"/>
      <c r="G56" s="27"/>
      <c r="H56" s="27"/>
      <c r="I56" s="27"/>
      <c r="J56" s="27"/>
    </row>
    <row r="57" spans="1:11" ht="18">
      <c r="A57" s="27"/>
      <c r="B57" s="27"/>
      <c r="C57" s="51" t="s">
        <v>552</v>
      </c>
      <c r="D57" s="52"/>
      <c r="E57" s="52"/>
      <c r="F57" s="52"/>
      <c r="G57" s="27"/>
      <c r="H57" s="27"/>
      <c r="I57" s="27"/>
      <c r="J57" s="27"/>
    </row>
    <row r="58" spans="1:11" ht="18">
      <c r="A58" s="27"/>
      <c r="B58" s="27"/>
      <c r="C58" s="51"/>
      <c r="D58" s="27"/>
      <c r="E58" s="27"/>
      <c r="F58" s="27"/>
      <c r="G58" s="27"/>
      <c r="H58" s="27"/>
      <c r="I58" s="27"/>
      <c r="J58" s="27"/>
    </row>
    <row r="59" spans="1:11">
      <c r="A59" s="27"/>
      <c r="B59" s="57" t="s">
        <v>704</v>
      </c>
      <c r="C59" s="27"/>
      <c r="D59" s="27"/>
      <c r="E59" s="27"/>
      <c r="F59" s="27"/>
      <c r="G59" s="27"/>
      <c r="H59" s="27"/>
      <c r="I59" s="27"/>
      <c r="J59" s="27"/>
    </row>
    <row r="60" spans="1:11">
      <c r="A60" s="27"/>
      <c r="B60" s="58"/>
      <c r="C60" s="27"/>
      <c r="D60" s="27"/>
      <c r="E60" s="27"/>
      <c r="F60" s="27"/>
      <c r="G60" s="27"/>
      <c r="H60" s="27"/>
      <c r="I60" s="27"/>
      <c r="J60" s="27"/>
    </row>
    <row r="61" spans="1:11">
      <c r="A61" s="27"/>
      <c r="B61" s="59" t="s">
        <v>708</v>
      </c>
      <c r="C61" s="52"/>
      <c r="D61" s="52"/>
      <c r="E61" s="52"/>
      <c r="F61" s="52"/>
      <c r="G61" s="27"/>
      <c r="H61" s="27"/>
      <c r="I61" s="27"/>
      <c r="J61" s="27"/>
    </row>
    <row r="62" spans="1:11">
      <c r="A62" s="27"/>
      <c r="B62" s="59" t="s">
        <v>556</v>
      </c>
      <c r="C62" s="27"/>
      <c r="D62" s="27"/>
      <c r="E62" s="27"/>
      <c r="F62" s="27"/>
      <c r="G62" s="27"/>
      <c r="H62" s="27"/>
      <c r="I62" s="27"/>
      <c r="J62" s="27"/>
    </row>
    <row r="63" spans="1:11">
      <c r="A63" s="27"/>
      <c r="B63" s="55"/>
      <c r="C63" s="27"/>
      <c r="D63" s="27"/>
      <c r="E63" s="27"/>
      <c r="F63" s="27"/>
      <c r="G63" s="27"/>
      <c r="H63" s="27"/>
      <c r="I63" s="27"/>
      <c r="J63" s="27"/>
    </row>
    <row r="64" spans="1:11">
      <c r="A64" s="27"/>
      <c r="B64" s="22" t="s">
        <v>557</v>
      </c>
      <c r="C64" s="55"/>
      <c r="D64" s="55"/>
      <c r="E64" s="55"/>
      <c r="F64" s="55"/>
      <c r="G64" s="27"/>
      <c r="H64" s="27"/>
      <c r="I64" s="27"/>
      <c r="J64" s="27"/>
    </row>
    <row r="65" spans="1:10">
      <c r="A65" s="27"/>
      <c r="B65" s="8" t="s">
        <v>705</v>
      </c>
      <c r="C65" s="55"/>
      <c r="D65" s="55"/>
      <c r="E65" s="55"/>
      <c r="F65" s="55"/>
      <c r="G65" s="27"/>
      <c r="H65" s="27"/>
      <c r="I65" s="27"/>
      <c r="J65" s="27"/>
    </row>
    <row r="66" spans="1:10">
      <c r="A66" s="27"/>
      <c r="B66" s="8" t="s">
        <v>499</v>
      </c>
      <c r="C66" s="55"/>
      <c r="D66" s="55"/>
      <c r="E66" s="55"/>
      <c r="F66" s="55"/>
      <c r="G66" s="27"/>
      <c r="H66" s="27"/>
      <c r="I66" s="27"/>
      <c r="J66" s="27"/>
    </row>
    <row r="67" spans="1:10">
      <c r="A67" s="27"/>
      <c r="B67" s="8" t="s">
        <v>500</v>
      </c>
      <c r="C67" s="55"/>
      <c r="D67" s="55"/>
      <c r="E67" s="55"/>
      <c r="F67" s="55"/>
      <c r="G67" s="27"/>
      <c r="H67" s="27"/>
      <c r="I67" s="27"/>
      <c r="J67" s="27"/>
    </row>
    <row r="68" spans="1:10">
      <c r="A68" s="27"/>
      <c r="B68" s="8" t="s">
        <v>706</v>
      </c>
      <c r="C68" s="55"/>
      <c r="D68" s="55"/>
      <c r="E68" s="55"/>
      <c r="F68" s="55"/>
      <c r="G68" s="27"/>
      <c r="H68" s="27"/>
      <c r="I68" s="27"/>
      <c r="J68" s="27"/>
    </row>
    <row r="69" spans="1:10">
      <c r="A69" s="27"/>
      <c r="B69" s="8" t="s">
        <v>469</v>
      </c>
      <c r="C69" s="27"/>
      <c r="D69" s="27"/>
      <c r="E69" s="27"/>
      <c r="F69" s="27"/>
      <c r="G69" s="27"/>
      <c r="H69" s="27"/>
      <c r="I69" s="27"/>
      <c r="J69" s="27"/>
    </row>
    <row r="70" spans="1:10">
      <c r="A70" s="27"/>
      <c r="B70" s="27"/>
      <c r="C70" s="27"/>
      <c r="D70" s="27"/>
      <c r="E70" s="27"/>
      <c r="F70" s="27"/>
      <c r="G70" s="27"/>
      <c r="H70" s="27"/>
      <c r="I70" s="27"/>
      <c r="J70" s="27"/>
    </row>
    <row r="71" spans="1:10">
      <c r="A71" s="27"/>
      <c r="B71" s="27"/>
      <c r="C71" s="27"/>
      <c r="D71" s="27"/>
      <c r="E71" s="27"/>
      <c r="F71" s="27"/>
      <c r="G71" s="27"/>
      <c r="H71" s="27"/>
      <c r="I71" s="27"/>
      <c r="J71" s="27"/>
    </row>
    <row r="72" spans="1:10" hidden="1">
      <c r="A72" s="27"/>
      <c r="B72" s="27"/>
      <c r="C72" s="27"/>
      <c r="D72" s="27"/>
      <c r="E72" s="27"/>
      <c r="F72" s="27"/>
      <c r="G72" s="27"/>
      <c r="H72" s="27"/>
      <c r="I72" s="27"/>
      <c r="J72" s="27"/>
    </row>
    <row r="73" spans="1:10" hidden="1"/>
    <row r="74" spans="1:10" hidden="1">
      <c r="A74" t="s">
        <v>376</v>
      </c>
      <c r="D74" s="185" t="s">
        <v>547</v>
      </c>
    </row>
    <row r="75" spans="1:10" hidden="1">
      <c r="A75" t="s">
        <v>366</v>
      </c>
      <c r="D75" s="185" t="s">
        <v>5</v>
      </c>
    </row>
    <row r="76" spans="1:10" hidden="1">
      <c r="A76" t="s">
        <v>367</v>
      </c>
      <c r="D76" s="185" t="s">
        <v>1213</v>
      </c>
    </row>
    <row r="77" spans="1:10" hidden="1">
      <c r="A77" t="s">
        <v>364</v>
      </c>
      <c r="D77" s="185" t="s">
        <v>1106</v>
      </c>
    </row>
    <row r="78" spans="1:10" hidden="1">
      <c r="A78" t="s">
        <v>365</v>
      </c>
      <c r="D78" s="185" t="s">
        <v>685</v>
      </c>
    </row>
    <row r="79" spans="1:10" hidden="1">
      <c r="A79" t="s">
        <v>360</v>
      </c>
      <c r="D79" s="185" t="s">
        <v>1214</v>
      </c>
    </row>
    <row r="80" spans="1:10" hidden="1">
      <c r="A80" t="s">
        <v>361</v>
      </c>
      <c r="D80" s="185" t="s">
        <v>1215</v>
      </c>
    </row>
    <row r="81" spans="1:4" hidden="1">
      <c r="A81" t="s">
        <v>362</v>
      </c>
      <c r="D81" s="185" t="s">
        <v>1107</v>
      </c>
    </row>
    <row r="82" spans="1:4" hidden="1">
      <c r="A82" t="s">
        <v>363</v>
      </c>
      <c r="D82" s="185" t="s">
        <v>686</v>
      </c>
    </row>
    <row r="83" spans="1:4" hidden="1">
      <c r="D83" s="27"/>
    </row>
    <row r="84" spans="1:4" hidden="1">
      <c r="A84" t="s">
        <v>363</v>
      </c>
      <c r="D84" s="185" t="s">
        <v>1217</v>
      </c>
    </row>
    <row r="85" spans="1:4" hidden="1">
      <c r="A85" t="s">
        <v>362</v>
      </c>
      <c r="D85" s="185" t="s">
        <v>1216</v>
      </c>
    </row>
    <row r="86" spans="1:4" hidden="1">
      <c r="D86" s="27"/>
    </row>
    <row r="87" spans="1:4" hidden="1">
      <c r="A87" t="s">
        <v>377</v>
      </c>
      <c r="D87" s="185" t="s">
        <v>1218</v>
      </c>
    </row>
    <row r="88" spans="1:4" hidden="1"/>
    <row r="89" spans="1:4" hidden="1"/>
    <row r="90" spans="1:4" hidden="1"/>
    <row r="98" spans="2:2">
      <c r="B98" s="4"/>
    </row>
    <row r="99" spans="2:2">
      <c r="B99" s="4"/>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R156"/>
  <sheetViews>
    <sheetView workbookViewId="0">
      <selection activeCell="K17" sqref="K17"/>
    </sheetView>
  </sheetViews>
  <sheetFormatPr baseColWidth="10" defaultColWidth="8.83203125" defaultRowHeight="15"/>
  <cols>
    <col min="1" max="1" width="12.5" style="5" customWidth="1"/>
    <col min="2" max="2" width="9.83203125" customWidth="1"/>
    <col min="3" max="3" width="16.33203125" style="5" customWidth="1"/>
    <col min="4" max="4" width="10.33203125" style="5" customWidth="1"/>
    <col min="5" max="5" width="12.5" style="13" customWidth="1"/>
    <col min="6" max="6" width="10.6640625" style="13" customWidth="1"/>
    <col min="7" max="8" width="10.6640625" style="5" customWidth="1"/>
    <col min="9" max="11" width="10.6640625" style="9"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9.25" customHeight="1" thickBot="1">
      <c r="A2" s="150"/>
      <c r="B2" s="150"/>
      <c r="C2" s="60" t="s">
        <v>350</v>
      </c>
      <c r="D2" s="60"/>
      <c r="E2" s="60"/>
      <c r="F2" s="60"/>
      <c r="G2" s="60"/>
      <c r="H2" s="60"/>
      <c r="I2" s="60"/>
      <c r="J2" s="150"/>
      <c r="O2" s="2"/>
    </row>
    <row r="3" spans="1:15" ht="15.75" customHeight="1"/>
    <row r="4" spans="1:15" ht="15.75" customHeight="1">
      <c r="G4" s="272" t="s">
        <v>475</v>
      </c>
      <c r="H4" s="272"/>
      <c r="I4" s="272"/>
      <c r="J4" s="272"/>
      <c r="K4" s="272"/>
    </row>
    <row r="5" spans="1:15">
      <c r="A5" s="135"/>
      <c r="B5" s="278" t="s">
        <v>562</v>
      </c>
      <c r="C5" s="279"/>
      <c r="D5" s="280" t="s">
        <v>564</v>
      </c>
      <c r="E5" s="281"/>
      <c r="F5" s="136" t="s">
        <v>562</v>
      </c>
      <c r="G5" s="137"/>
      <c r="H5" s="282" t="s">
        <v>564</v>
      </c>
      <c r="I5" s="283"/>
      <c r="J5" s="282" t="s">
        <v>563</v>
      </c>
      <c r="K5" s="283"/>
      <c r="L5" s="27"/>
    </row>
    <row r="6" spans="1:15">
      <c r="A6" s="122"/>
      <c r="B6" s="138" t="str">
        <f>Innehåll!D79</f>
        <v xml:space="preserve"> 2023-04</v>
      </c>
      <c r="C6" s="138" t="str">
        <f>Innehåll!D80</f>
        <v xml:space="preserve"> 2022-04</v>
      </c>
      <c r="D6" s="139" t="str">
        <f>B6</f>
        <v xml:space="preserve"> 2023-04</v>
      </c>
      <c r="E6" s="140" t="str">
        <f>C6</f>
        <v xml:space="preserve"> 2022-04</v>
      </c>
      <c r="F6" s="138" t="str">
        <f>Innehåll!D81</f>
        <v>YTD  2023</v>
      </c>
      <c r="G6" s="138" t="str">
        <f>Innehåll!D82</f>
        <v>YTD  2022</v>
      </c>
      <c r="H6" s="141" t="str">
        <f>F6</f>
        <v>YTD  2023</v>
      </c>
      <c r="I6" s="142" t="str">
        <f>G6</f>
        <v>YTD  2022</v>
      </c>
      <c r="J6" s="143" t="str">
        <f>B6</f>
        <v xml:space="preserve"> 2023-04</v>
      </c>
      <c r="K6" s="141" t="str">
        <f>F6</f>
        <v>YTD  2023</v>
      </c>
      <c r="L6" s="27"/>
    </row>
    <row r="7" spans="1:15" ht="15" hidden="1" customHeight="1">
      <c r="A7" s="66" t="s">
        <v>356</v>
      </c>
      <c r="B7" s="66" t="s">
        <v>35</v>
      </c>
      <c r="C7" s="66" t="s">
        <v>310</v>
      </c>
      <c r="D7" s="86" t="s">
        <v>346</v>
      </c>
      <c r="E7" s="86" t="s">
        <v>345</v>
      </c>
      <c r="F7" s="66" t="s">
        <v>311</v>
      </c>
      <c r="G7" s="66" t="s">
        <v>312</v>
      </c>
      <c r="H7" s="63" t="s">
        <v>347</v>
      </c>
      <c r="I7" s="63" t="s">
        <v>348</v>
      </c>
      <c r="J7" s="63" t="s">
        <v>349</v>
      </c>
      <c r="K7" s="63" t="s">
        <v>357</v>
      </c>
      <c r="L7" s="27"/>
    </row>
    <row r="8" spans="1:15">
      <c r="A8" s="5" t="s">
        <v>1010</v>
      </c>
      <c r="B8" s="66">
        <v>9150</v>
      </c>
      <c r="C8" s="66">
        <v>9304</v>
      </c>
      <c r="D8" s="86">
        <f>(getAggPBCO2Emissions[[#This Row],[antalPerioden]]/$B$15)*100</f>
        <v>44.447682891285339</v>
      </c>
      <c r="E8" s="86">
        <f>(getAggPBCO2Emissions[[#This Row],[antalPeriodenFG]]/$C$15)*100</f>
        <v>42.402698022058154</v>
      </c>
      <c r="F8" s="66">
        <v>39012</v>
      </c>
      <c r="G8" s="66">
        <v>42240</v>
      </c>
      <c r="H8" s="63">
        <f>(getAggPBCO2Emissions[[#This Row],[antalAret]]/$F$15)*100</f>
        <v>46.503754917153415</v>
      </c>
      <c r="I8" s="63">
        <f>(getAggPBCO2Emissions[[#This Row],[antalAretFG]]/$G$15)*100</f>
        <v>46.072795890097183</v>
      </c>
      <c r="J8" s="63">
        <f>((( getAggPBCO2Emissions[[#This Row],[antalPerioden]]  / getAggPBCO2Emissions[[#This Row],[antalPeriodenFG]]) - 1) * 100)</f>
        <v>-1.6552020636285469</v>
      </c>
      <c r="K8" s="63">
        <f>((( getAggPBCO2Emissions[[#This Row],[antalAret]]  / getAggPBCO2Emissions[[#This Row],[antalAretFG]]) - 1) * 100)</f>
        <v>-7.6420454545454541</v>
      </c>
      <c r="L8" s="27"/>
    </row>
    <row r="9" spans="1:15">
      <c r="A9" s="87" t="s">
        <v>1021</v>
      </c>
      <c r="B9" s="66">
        <v>26</v>
      </c>
      <c r="C9" s="66">
        <v>85</v>
      </c>
      <c r="D9" s="86">
        <f>(getAggPBCO2Emissions[[#This Row],[antalPerioden]]/$B$15)*100</f>
        <v>0.12629942679490916</v>
      </c>
      <c r="E9" s="86">
        <f>(getAggPBCO2Emissions[[#This Row],[antalPeriodenFG]]/$C$15)*100</f>
        <v>0.38738492389025614</v>
      </c>
      <c r="F9" s="66">
        <v>134</v>
      </c>
      <c r="G9" s="66">
        <v>300</v>
      </c>
      <c r="H9" s="63">
        <f>(getAggPBCO2Emissions[[#This Row],[antalAret]]/$F$15)*100</f>
        <v>0.15973298366909047</v>
      </c>
      <c r="I9" s="63">
        <f>(getAggPBCO2Emissions[[#This Row],[antalAretFG]]/$G$15)*100</f>
        <v>0.32722156171944022</v>
      </c>
      <c r="J9" s="63">
        <f>((( getAggPBCO2Emissions[[#This Row],[antalPerioden]]  / getAggPBCO2Emissions[[#This Row],[antalPeriodenFG]]) - 1) * 100)</f>
        <v>-69.411764705882348</v>
      </c>
      <c r="K9" s="63">
        <f>((( getAggPBCO2Emissions[[#This Row],[antalAret]]  / getAggPBCO2Emissions[[#This Row],[antalAretFG]]) - 1) * 100)</f>
        <v>-55.333333333333336</v>
      </c>
      <c r="L9" s="27"/>
    </row>
    <row r="10" spans="1:15">
      <c r="A10" s="88" t="s">
        <v>351</v>
      </c>
      <c r="B10" s="66">
        <v>387</v>
      </c>
      <c r="C10" s="66">
        <v>311</v>
      </c>
      <c r="D10" s="86">
        <f>(getAggPBCO2Emissions[[#This Row],[antalPerioden]]/$B$15)*100</f>
        <v>1.8799183911396096</v>
      </c>
      <c r="E10" s="86">
        <f>(getAggPBCO2Emissions[[#This Row],[antalPeriodenFG]]/$C$15)*100</f>
        <v>1.4173730744690547</v>
      </c>
      <c r="F10" s="66">
        <v>1270</v>
      </c>
      <c r="G10" s="66">
        <v>2366</v>
      </c>
      <c r="H10" s="63">
        <f>(getAggPBCO2Emissions[[#This Row],[antalAret]]/$F$15)*100</f>
        <v>1.5138872332816784</v>
      </c>
      <c r="I10" s="63">
        <f>(getAggPBCO2Emissions[[#This Row],[antalAretFG]]/$G$15)*100</f>
        <v>2.5806873834273185</v>
      </c>
      <c r="J10" s="63">
        <f>((( getAggPBCO2Emissions[[#This Row],[antalPerioden]]  / getAggPBCO2Emissions[[#This Row],[antalPeriodenFG]]) - 1) * 100)</f>
        <v>24.437299035369776</v>
      </c>
      <c r="K10" s="63">
        <f>((( getAggPBCO2Emissions[[#This Row],[antalAret]]  / getAggPBCO2Emissions[[#This Row],[antalAretFG]]) - 1) * 100)</f>
        <v>-46.322907861369401</v>
      </c>
      <c r="L10" s="27"/>
    </row>
    <row r="11" spans="1:15">
      <c r="A11" s="87" t="s">
        <v>352</v>
      </c>
      <c r="B11" s="66">
        <v>2531</v>
      </c>
      <c r="C11" s="66">
        <v>3198</v>
      </c>
      <c r="D11" s="86">
        <f>(getAggPBCO2Emissions[[#This Row],[antalPerioden]]/$B$15)*100</f>
        <v>12.294763431458271</v>
      </c>
      <c r="E11" s="86">
        <f>(getAggPBCO2Emissions[[#This Row],[antalPeriodenFG]]/$C$15)*100</f>
        <v>14.574788077659285</v>
      </c>
      <c r="F11" s="66">
        <v>9995</v>
      </c>
      <c r="G11" s="66">
        <v>12573</v>
      </c>
      <c r="H11" s="63">
        <f>(getAggPBCO2Emissions[[#This Row],[antalAret]]/$F$15)*100</f>
        <v>11.914411729645966</v>
      </c>
      <c r="I11" s="63">
        <f>(getAggPBCO2Emissions[[#This Row],[antalAretFG]]/$G$15)*100</f>
        <v>13.71385565166174</v>
      </c>
      <c r="J11" s="63">
        <f>((( getAggPBCO2Emissions[[#This Row],[antalPerioden]]  / getAggPBCO2Emissions[[#This Row],[antalPeriodenFG]]) - 1) * 100)</f>
        <v>-20.856785490931827</v>
      </c>
      <c r="K11" s="63">
        <f>((( getAggPBCO2Emissions[[#This Row],[antalAret]]  / getAggPBCO2Emissions[[#This Row],[antalAretFG]]) - 1) * 100)</f>
        <v>-20.504255149924443</v>
      </c>
      <c r="L11" s="27"/>
    </row>
    <row r="12" spans="1:15">
      <c r="A12" s="88" t="s">
        <v>353</v>
      </c>
      <c r="B12" s="66">
        <v>1116</v>
      </c>
      <c r="C12" s="66">
        <v>1408</v>
      </c>
      <c r="D12" s="86">
        <f>(getAggPBCO2Emissions[[#This Row],[antalPerioden]]/$B$15)*100</f>
        <v>5.4211600116584089</v>
      </c>
      <c r="E12" s="86">
        <f>(getAggPBCO2Emissions[[#This Row],[antalPeriodenFG]]/$C$15)*100</f>
        <v>6.4169173274997711</v>
      </c>
      <c r="F12" s="66">
        <v>4316</v>
      </c>
      <c r="G12" s="66">
        <v>5837</v>
      </c>
      <c r="H12" s="63">
        <f>(getAggPBCO2Emissions[[#This Row],[antalAret]]/$F$15)*100</f>
        <v>5.144832518774586</v>
      </c>
      <c r="I12" s="63">
        <f>(getAggPBCO2Emissions[[#This Row],[antalAretFG]]/$G$15)*100</f>
        <v>6.3666408525212423</v>
      </c>
      <c r="J12" s="63">
        <f>((( getAggPBCO2Emissions[[#This Row],[antalPerioden]]  / getAggPBCO2Emissions[[#This Row],[antalPeriodenFG]]) - 1) * 100)</f>
        <v>-20.738636363636363</v>
      </c>
      <c r="K12" s="63">
        <f>((( getAggPBCO2Emissions[[#This Row],[antalAret]]  / getAggPBCO2Emissions[[#This Row],[antalAretFG]]) - 1) * 100)</f>
        <v>-26.05790645879733</v>
      </c>
      <c r="L12" s="27"/>
    </row>
    <row r="13" spans="1:15">
      <c r="A13" s="87" t="s">
        <v>354</v>
      </c>
      <c r="B13" s="66">
        <v>649</v>
      </c>
      <c r="C13" s="66">
        <v>1227</v>
      </c>
      <c r="D13" s="86">
        <f>(getAggPBCO2Emissions[[#This Row],[antalPerioden]]/$B$15)*100</f>
        <v>3.1526279996113864</v>
      </c>
      <c r="E13" s="86">
        <f>(getAggPBCO2Emissions[[#This Row],[antalPeriodenFG]]/$C$15)*100</f>
        <v>5.5920153130981678</v>
      </c>
      <c r="F13" s="66">
        <v>2558</v>
      </c>
      <c r="G13" s="66">
        <v>4766</v>
      </c>
      <c r="H13" s="63">
        <f>(getAggPBCO2Emissions[[#This Row],[antalAret]]/$F$15)*100</f>
        <v>3.0492311360114437</v>
      </c>
      <c r="I13" s="63">
        <f>(getAggPBCO2Emissions[[#This Row],[antalAretFG]]/$G$15)*100</f>
        <v>5.1984598771828407</v>
      </c>
      <c r="J13" s="63">
        <f>((( getAggPBCO2Emissions[[#This Row],[antalPerioden]]  / getAggPBCO2Emissions[[#This Row],[antalPeriodenFG]]) - 1) * 100)</f>
        <v>-47.106764466177665</v>
      </c>
      <c r="K13" s="63">
        <f>((( getAggPBCO2Emissions[[#This Row],[antalAret]]  / getAggPBCO2Emissions[[#This Row],[antalAretFG]]) - 1) * 100)</f>
        <v>-46.328157784305503</v>
      </c>
      <c r="L13" s="27"/>
    </row>
    <row r="14" spans="1:15">
      <c r="A14" s="88" t="s">
        <v>32</v>
      </c>
      <c r="B14" s="163">
        <v>6727</v>
      </c>
      <c r="C14" s="163">
        <v>6409</v>
      </c>
      <c r="D14" s="171">
        <f>(getAggPBCO2Emissions[[#This Row],[antalPerioden]]/$B$15)*100</f>
        <v>32.677547848052072</v>
      </c>
      <c r="E14" s="171">
        <f>(getAggPBCO2Emissions[[#This Row],[antalPeriodenFG]]/$C$15)*100</f>
        <v>29.20882326132531</v>
      </c>
      <c r="F14" s="163">
        <v>26605</v>
      </c>
      <c r="G14" s="163">
        <v>23599</v>
      </c>
      <c r="H14" s="164">
        <f>(getAggPBCO2Emissions[[#This Row],[antalAret]]/$F$15)*100</f>
        <v>31.714149481463821</v>
      </c>
      <c r="I14" s="164">
        <f>(getAggPBCO2Emissions[[#This Row],[antalAretFG]]/$G$15)*100</f>
        <v>25.740338783390232</v>
      </c>
      <c r="J14" s="164">
        <f>((( getAggPBCO2Emissions[[#This Row],[antalPerioden]]  / getAggPBCO2Emissions[[#This Row],[antalPeriodenFG]]) - 1) * 100)</f>
        <v>4.9617725074114549</v>
      </c>
      <c r="K14" s="164">
        <f>((( getAggPBCO2Emissions[[#This Row],[antalAret]]  / getAggPBCO2Emissions[[#This Row],[antalAretFG]]) - 1) * 100)</f>
        <v>12.737827874062457</v>
      </c>
      <c r="L14" s="27"/>
    </row>
    <row r="15" spans="1:15" s="6" customFormat="1">
      <c r="A15" s="89" t="s">
        <v>477</v>
      </c>
      <c r="B15" s="89">
        <f t="shared" ref="B15:I15" si="0">SUM(B8:B14)</f>
        <v>20586</v>
      </c>
      <c r="C15" s="89">
        <f t="shared" si="0"/>
        <v>21942</v>
      </c>
      <c r="D15" s="90">
        <f t="shared" si="0"/>
        <v>100</v>
      </c>
      <c r="E15" s="90">
        <f t="shared" si="0"/>
        <v>100</v>
      </c>
      <c r="F15" s="89">
        <f t="shared" si="0"/>
        <v>83890</v>
      </c>
      <c r="G15" s="89">
        <f t="shared" si="0"/>
        <v>91681</v>
      </c>
      <c r="H15" s="90">
        <f t="shared" si="0"/>
        <v>100</v>
      </c>
      <c r="I15" s="90">
        <f t="shared" si="0"/>
        <v>99.999999999999986</v>
      </c>
      <c r="J15" s="91">
        <f>((( B15  / C15) - 1) * 100)</f>
        <v>-6.1799289034727867</v>
      </c>
      <c r="K15" s="91">
        <f>((( F15  / G15) - 1) * 100)</f>
        <v>-8.4979439578538596</v>
      </c>
      <c r="L15" s="42"/>
    </row>
    <row r="16" spans="1:15">
      <c r="A16" s="66"/>
      <c r="B16" s="27"/>
      <c r="C16" s="66"/>
      <c r="D16" s="66"/>
      <c r="E16" s="86"/>
      <c r="F16" s="86"/>
      <c r="G16" s="66"/>
      <c r="H16" s="66"/>
      <c r="I16" s="63"/>
      <c r="J16" s="79"/>
      <c r="K16" s="63"/>
      <c r="L16" s="27"/>
    </row>
    <row r="17" spans="1:15">
      <c r="A17" s="66"/>
      <c r="B17" s="27"/>
      <c r="C17" s="66"/>
      <c r="D17" s="66"/>
      <c r="E17" s="86"/>
      <c r="F17" s="86"/>
      <c r="G17" s="66"/>
      <c r="H17" s="66"/>
      <c r="I17" s="63"/>
      <c r="J17" s="63"/>
      <c r="K17" s="63"/>
      <c r="L17" s="27"/>
    </row>
    <row r="18" spans="1:15">
      <c r="A18" s="59" t="s">
        <v>714</v>
      </c>
      <c r="B18" s="27"/>
      <c r="C18" s="66"/>
      <c r="D18" s="66"/>
      <c r="E18" s="86"/>
      <c r="F18" s="86"/>
      <c r="G18" s="66"/>
      <c r="H18" s="66"/>
      <c r="I18" s="63"/>
      <c r="J18" s="63"/>
      <c r="K18" s="63"/>
      <c r="L18" s="27"/>
    </row>
    <row r="19" spans="1:15">
      <c r="A19" s="59" t="s">
        <v>355</v>
      </c>
      <c r="B19" s="27"/>
      <c r="C19" s="66"/>
      <c r="D19" s="66"/>
      <c r="E19" s="86"/>
      <c r="F19" s="86"/>
      <c r="G19" s="66"/>
      <c r="H19" s="66"/>
      <c r="I19" s="63"/>
      <c r="J19" s="63"/>
      <c r="K19" s="63"/>
      <c r="L19" s="27"/>
    </row>
    <row r="22" spans="1:15" ht="19.25" customHeight="1" thickBot="1">
      <c r="A22" s="60" t="s">
        <v>374</v>
      </c>
      <c r="B22" s="60"/>
      <c r="C22" s="60"/>
      <c r="D22" s="60"/>
      <c r="E22" s="60"/>
      <c r="F22" s="60"/>
      <c r="G22"/>
    </row>
    <row r="24" spans="1:15">
      <c r="A24" s="66"/>
      <c r="B24" s="27"/>
      <c r="C24" s="66"/>
      <c r="D24" s="66"/>
      <c r="E24" s="86"/>
      <c r="F24" s="92"/>
      <c r="G24" s="272" t="s">
        <v>475</v>
      </c>
      <c r="H24" s="272"/>
      <c r="I24" s="272"/>
      <c r="J24" s="272"/>
      <c r="K24" s="272"/>
      <c r="L24" s="27"/>
    </row>
    <row r="25" spans="1:15">
      <c r="A25" s="110"/>
      <c r="B25" s="278" t="s">
        <v>562</v>
      </c>
      <c r="C25" s="279"/>
      <c r="D25" s="280" t="s">
        <v>564</v>
      </c>
      <c r="E25" s="281"/>
      <c r="F25" s="136" t="s">
        <v>562</v>
      </c>
      <c r="G25" s="137"/>
      <c r="H25" s="282" t="s">
        <v>564</v>
      </c>
      <c r="I25" s="283"/>
      <c r="J25" s="282" t="s">
        <v>563</v>
      </c>
      <c r="K25" s="283"/>
      <c r="L25" s="27"/>
    </row>
    <row r="26" spans="1:15">
      <c r="A26" s="110"/>
      <c r="B26" s="138" t="str">
        <f>Innehåll!D79</f>
        <v xml:space="preserve"> 2023-04</v>
      </c>
      <c r="C26" s="138" t="str">
        <f>Innehåll!D80</f>
        <v xml:space="preserve"> 2022-04</v>
      </c>
      <c r="D26" s="139" t="str">
        <f>B26</f>
        <v xml:space="preserve"> 2023-04</v>
      </c>
      <c r="E26" s="140" t="str">
        <f>C26</f>
        <v xml:space="preserve"> 2022-04</v>
      </c>
      <c r="F26" s="138" t="str">
        <f>Innehåll!D81</f>
        <v>YTD  2023</v>
      </c>
      <c r="G26" s="138" t="str">
        <f>Innehåll!D82</f>
        <v>YTD  2022</v>
      </c>
      <c r="H26" s="141" t="str">
        <f>F26</f>
        <v>YTD  2023</v>
      </c>
      <c r="I26" s="142" t="str">
        <f>G26</f>
        <v>YTD  2022</v>
      </c>
      <c r="J26" s="143" t="str">
        <f>B26</f>
        <v xml:space="preserve"> 2023-04</v>
      </c>
      <c r="K26" s="141" t="str">
        <f>F26</f>
        <v>YTD  2023</v>
      </c>
      <c r="L26" s="27"/>
    </row>
    <row r="27" spans="1:15" ht="15" hidden="1" customHeight="1">
      <c r="A27" s="66" t="s">
        <v>344</v>
      </c>
      <c r="B27" s="66" t="s">
        <v>35</v>
      </c>
      <c r="C27" s="66" t="s">
        <v>310</v>
      </c>
      <c r="D27" s="66" t="s">
        <v>345</v>
      </c>
      <c r="E27" s="66" t="s">
        <v>346</v>
      </c>
      <c r="F27" s="66" t="s">
        <v>311</v>
      </c>
      <c r="G27" s="66" t="s">
        <v>312</v>
      </c>
      <c r="H27" s="66" t="s">
        <v>347</v>
      </c>
      <c r="I27" s="66" t="s">
        <v>348</v>
      </c>
      <c r="J27" s="66" t="s">
        <v>349</v>
      </c>
      <c r="K27" s="66" t="s">
        <v>357</v>
      </c>
      <c r="L27" s="66"/>
      <c r="M27" s="9"/>
      <c r="N27" s="9"/>
      <c r="O27" s="9"/>
    </row>
    <row r="28" spans="1:15">
      <c r="A28" s="66" t="s">
        <v>1010</v>
      </c>
      <c r="B28" s="66">
        <v>11570</v>
      </c>
      <c r="C28" s="66">
        <v>10709</v>
      </c>
      <c r="D28" s="86">
        <f t="shared" ref="D28:D35" si="1">(B28/$B$36)*100</f>
        <v>56.203244923734573</v>
      </c>
      <c r="E28" s="86">
        <f t="shared" ref="E28:E35" si="2">(C28/$C$36)*100</f>
        <v>48.805942940479447</v>
      </c>
      <c r="F28" s="66">
        <v>47201</v>
      </c>
      <c r="G28" s="66">
        <v>47487</v>
      </c>
      <c r="H28" s="86">
        <f t="shared" ref="H28:H35" si="3">(F28/$F$36)*100</f>
        <v>56.265347478841342</v>
      </c>
      <c r="I28" s="86">
        <f t="shared" ref="I28:I35" si="4">(G28/$G$36)*100</f>
        <v>51.795901004570197</v>
      </c>
      <c r="J28" s="63">
        <f t="shared" ref="J28:J35" si="5">((( B28  / C28) - 1) * 100)</f>
        <v>8.0399663834158197</v>
      </c>
      <c r="K28" s="63">
        <f t="shared" ref="K28:K35" si="6">((( F28  / G28) - 1) * 100)</f>
        <v>-0.60227009497335615</v>
      </c>
      <c r="L28" s="66"/>
      <c r="M28" s="9"/>
      <c r="N28" s="9"/>
      <c r="O28" s="9"/>
    </row>
    <row r="29" spans="1:15">
      <c r="A29" s="66" t="s">
        <v>1011</v>
      </c>
      <c r="B29" s="66">
        <v>63</v>
      </c>
      <c r="C29" s="66">
        <v>220</v>
      </c>
      <c r="D29" s="86">
        <f t="shared" si="1"/>
        <v>0.30603322646458758</v>
      </c>
      <c r="E29" s="63">
        <f t="shared" si="2"/>
        <v>1.0026433324218396</v>
      </c>
      <c r="F29" s="66">
        <v>288</v>
      </c>
      <c r="G29" s="66">
        <v>884</v>
      </c>
      <c r="H29" s="63">
        <f t="shared" si="3"/>
        <v>0.34330671116938849</v>
      </c>
      <c r="I29" s="63">
        <f t="shared" si="4"/>
        <v>0.96421286853328392</v>
      </c>
      <c r="J29" s="63">
        <f t="shared" si="5"/>
        <v>-71.36363636363636</v>
      </c>
      <c r="K29" s="63">
        <f t="shared" si="6"/>
        <v>-67.420814479638011</v>
      </c>
      <c r="L29" s="66"/>
      <c r="M29" s="9"/>
      <c r="N29" s="9"/>
      <c r="O29" s="9"/>
    </row>
    <row r="30" spans="1:15">
      <c r="A30" s="66" t="s">
        <v>615</v>
      </c>
      <c r="B30" s="66">
        <v>4</v>
      </c>
      <c r="C30" s="66">
        <v>20</v>
      </c>
      <c r="D30" s="86">
        <f t="shared" si="1"/>
        <v>1.943068104537064E-2</v>
      </c>
      <c r="E30" s="63">
        <f t="shared" si="2"/>
        <v>9.1149393856530855E-2</v>
      </c>
      <c r="F30" s="66">
        <v>42</v>
      </c>
      <c r="G30" s="66">
        <v>102</v>
      </c>
      <c r="H30" s="63">
        <f t="shared" si="3"/>
        <v>5.0065562045535826E-2</v>
      </c>
      <c r="I30" s="63">
        <f t="shared" si="4"/>
        <v>0.11125533098460967</v>
      </c>
      <c r="J30" s="63">
        <f t="shared" si="5"/>
        <v>-80</v>
      </c>
      <c r="K30" s="63">
        <f t="shared" si="6"/>
        <v>-58.82352941176471</v>
      </c>
      <c r="L30" s="66"/>
      <c r="M30" s="9"/>
      <c r="N30" s="9"/>
      <c r="O30" s="9"/>
    </row>
    <row r="31" spans="1:15">
      <c r="A31" s="66" t="s">
        <v>616</v>
      </c>
      <c r="B31" s="66">
        <v>391</v>
      </c>
      <c r="C31" s="66">
        <v>274</v>
      </c>
      <c r="D31" s="86">
        <f t="shared" si="1"/>
        <v>1.8993490721849799</v>
      </c>
      <c r="E31" s="63">
        <f t="shared" si="2"/>
        <v>1.2487466958344728</v>
      </c>
      <c r="F31" s="66">
        <v>1236</v>
      </c>
      <c r="G31" s="66">
        <v>960</v>
      </c>
      <c r="H31" s="63">
        <f t="shared" si="3"/>
        <v>1.4733579687686256</v>
      </c>
      <c r="I31" s="63">
        <f t="shared" si="4"/>
        <v>1.0471089975022088</v>
      </c>
      <c r="J31" s="63">
        <f t="shared" si="5"/>
        <v>42.700729927007309</v>
      </c>
      <c r="K31" s="63">
        <f t="shared" si="6"/>
        <v>28.750000000000007</v>
      </c>
      <c r="L31" s="66"/>
      <c r="M31" s="9"/>
      <c r="N31" s="9"/>
      <c r="O31" s="9"/>
    </row>
    <row r="32" spans="1:15">
      <c r="A32" s="66" t="s">
        <v>617</v>
      </c>
      <c r="B32" s="66">
        <v>1468</v>
      </c>
      <c r="C32" s="66">
        <v>2390</v>
      </c>
      <c r="D32" s="86">
        <f t="shared" si="1"/>
        <v>7.1310599436510245</v>
      </c>
      <c r="E32" s="63">
        <f t="shared" si="2"/>
        <v>10.892352565855438</v>
      </c>
      <c r="F32" s="66">
        <v>7154</v>
      </c>
      <c r="G32" s="66">
        <v>8312</v>
      </c>
      <c r="H32" s="63">
        <f t="shared" si="3"/>
        <v>8.5278340684229352</v>
      </c>
      <c r="I32" s="63">
        <f t="shared" si="4"/>
        <v>9.0662187367066238</v>
      </c>
      <c r="J32" s="63">
        <f t="shared" si="5"/>
        <v>-38.577405857740587</v>
      </c>
      <c r="K32" s="63">
        <f t="shared" si="6"/>
        <v>-13.93166506256015</v>
      </c>
      <c r="L32" s="66"/>
      <c r="M32" s="9"/>
      <c r="N32" s="9"/>
      <c r="O32" s="9"/>
    </row>
    <row r="33" spans="1:18">
      <c r="A33" s="66" t="s">
        <v>353</v>
      </c>
      <c r="B33" s="66">
        <v>1298</v>
      </c>
      <c r="C33" s="66">
        <v>1265</v>
      </c>
      <c r="D33" s="86">
        <f t="shared" si="1"/>
        <v>6.3052559992227728</v>
      </c>
      <c r="E33" s="63">
        <f t="shared" si="2"/>
        <v>5.765199161425576</v>
      </c>
      <c r="F33" s="66">
        <v>5593</v>
      </c>
      <c r="G33" s="66">
        <v>5448</v>
      </c>
      <c r="H33" s="63">
        <f t="shared" si="3"/>
        <v>6.6670640123971863</v>
      </c>
      <c r="I33" s="63">
        <f t="shared" si="4"/>
        <v>5.9423435608250346</v>
      </c>
      <c r="J33" s="63">
        <f t="shared" si="5"/>
        <v>2.6086956521739202</v>
      </c>
      <c r="K33" s="63">
        <f t="shared" si="6"/>
        <v>2.6615271659324424</v>
      </c>
      <c r="L33" s="66"/>
      <c r="M33" s="9"/>
      <c r="N33" s="9"/>
      <c r="O33" s="9"/>
    </row>
    <row r="34" spans="1:18">
      <c r="A34" s="66" t="s">
        <v>354</v>
      </c>
      <c r="B34" s="66">
        <v>1761</v>
      </c>
      <c r="C34" s="66">
        <v>1610</v>
      </c>
      <c r="D34" s="86">
        <f t="shared" si="1"/>
        <v>8.5543573302244234</v>
      </c>
      <c r="E34" s="63">
        <f t="shared" si="2"/>
        <v>7.3375262054507342</v>
      </c>
      <c r="F34" s="66">
        <v>7073</v>
      </c>
      <c r="G34" s="66">
        <v>6816</v>
      </c>
      <c r="H34" s="63">
        <f t="shared" si="3"/>
        <v>8.4312790559065451</v>
      </c>
      <c r="I34" s="63">
        <f t="shared" si="4"/>
        <v>7.4344738822656824</v>
      </c>
      <c r="J34" s="63">
        <f t="shared" si="5"/>
        <v>9.3788819875776355</v>
      </c>
      <c r="K34" s="63">
        <f t="shared" si="6"/>
        <v>3.7705399061032763</v>
      </c>
      <c r="L34" s="66"/>
      <c r="M34" s="9"/>
      <c r="N34" s="9"/>
      <c r="O34" s="9"/>
    </row>
    <row r="35" spans="1:18">
      <c r="A35" s="163" t="s">
        <v>32</v>
      </c>
      <c r="B35" s="163">
        <v>4031</v>
      </c>
      <c r="C35" s="163">
        <v>5454</v>
      </c>
      <c r="D35" s="171">
        <f t="shared" si="1"/>
        <v>19.581268823472261</v>
      </c>
      <c r="E35" s="164">
        <f t="shared" si="2"/>
        <v>24.856439704675964</v>
      </c>
      <c r="F35" s="163">
        <v>15303</v>
      </c>
      <c r="G35" s="163">
        <v>21672</v>
      </c>
      <c r="H35" s="164">
        <f t="shared" si="3"/>
        <v>18.241745142448444</v>
      </c>
      <c r="I35" s="164">
        <f t="shared" si="4"/>
        <v>23.638485618612361</v>
      </c>
      <c r="J35" s="164">
        <f t="shared" si="5"/>
        <v>-26.090942427576092</v>
      </c>
      <c r="K35" s="164">
        <f t="shared" si="6"/>
        <v>-29.388150609080842</v>
      </c>
      <c r="L35" s="66"/>
      <c r="M35" s="9"/>
      <c r="N35" s="9"/>
      <c r="O35" s="9"/>
    </row>
    <row r="36" spans="1:18">
      <c r="A36" s="93" t="s">
        <v>477</v>
      </c>
      <c r="B36" s="93">
        <f>SUM(B28:B35)</f>
        <v>20586</v>
      </c>
      <c r="C36" s="226">
        <f>SUM(C28:C35)</f>
        <v>21942</v>
      </c>
      <c r="D36" s="94">
        <f t="shared" ref="D36" si="7">(B36/$B$36)*100</f>
        <v>100</v>
      </c>
      <c r="E36" s="94">
        <f t="shared" ref="E36" si="8">(C36/$C$36)*100</f>
        <v>100</v>
      </c>
      <c r="F36" s="226">
        <f>SUM(F28:F35)</f>
        <v>83890</v>
      </c>
      <c r="G36" s="226">
        <f>SUM(G28:G35)</f>
        <v>91681</v>
      </c>
      <c r="H36" s="94">
        <f t="shared" ref="H36" si="9">(F36/$F$36)*100</f>
        <v>100</v>
      </c>
      <c r="I36" s="94">
        <f t="shared" ref="I36" si="10">(G36/$G$36)*100</f>
        <v>100</v>
      </c>
      <c r="J36" s="95">
        <f>((( B36  / C36) - 1) * 100)</f>
        <v>-6.1799289034727867</v>
      </c>
      <c r="K36" s="95">
        <f>((( F36  / G36) - 1) * 100)</f>
        <v>-8.4979439578538596</v>
      </c>
      <c r="L36" s="86"/>
      <c r="M36" s="5"/>
      <c r="N36" s="5"/>
      <c r="O36" s="9"/>
      <c r="P36" s="9"/>
      <c r="Q36" s="9"/>
    </row>
    <row r="37" spans="1:18">
      <c r="Q37" s="16"/>
    </row>
    <row r="39" spans="1:18">
      <c r="Q39" s="16"/>
    </row>
    <row r="44" spans="1:18" ht="19.25" customHeight="1" thickBot="1">
      <c r="N44" s="72" t="s">
        <v>369</v>
      </c>
      <c r="O44" s="61"/>
      <c r="P44" s="61"/>
      <c r="Q44" s="61"/>
      <c r="R44" s="127"/>
    </row>
    <row r="45" spans="1:18">
      <c r="N45" s="27"/>
      <c r="O45" s="27"/>
      <c r="P45" s="27"/>
      <c r="Q45" s="27"/>
      <c r="R45" s="27"/>
    </row>
    <row r="46" spans="1:18">
      <c r="N46" s="27"/>
      <c r="O46" s="27"/>
      <c r="P46" s="27"/>
      <c r="Q46" s="27"/>
      <c r="R46" s="27"/>
    </row>
    <row r="47" spans="1:18" ht="16" thickBot="1">
      <c r="N47" s="80" t="str">
        <f>Innehåll!D85</f>
        <v>Jan - apr 2023</v>
      </c>
      <c r="O47" s="81" t="s">
        <v>565</v>
      </c>
      <c r="P47" s="27"/>
      <c r="Q47" s="27"/>
      <c r="R47" s="27"/>
    </row>
    <row r="48" spans="1:18">
      <c r="N48" s="27"/>
      <c r="O48" s="27"/>
      <c r="P48" s="27"/>
      <c r="Q48" s="27"/>
      <c r="R48" s="27"/>
    </row>
    <row r="49" spans="1:18">
      <c r="N49" s="27" t="s">
        <v>1010</v>
      </c>
      <c r="O49" s="46">
        <f t="shared" ref="O49:O55" si="11">H8/100</f>
        <v>0.46503754917153417</v>
      </c>
      <c r="P49" s="27"/>
      <c r="Q49" s="27"/>
      <c r="R49" s="27"/>
    </row>
    <row r="50" spans="1:18">
      <c r="N50" s="27" t="s">
        <v>1012</v>
      </c>
      <c r="O50" s="46">
        <f t="shared" si="11"/>
        <v>1.5973298366909047E-3</v>
      </c>
      <c r="P50" s="27"/>
      <c r="Q50" s="27"/>
      <c r="R50" s="27"/>
    </row>
    <row r="51" spans="1:18">
      <c r="N51" s="27" t="s">
        <v>17</v>
      </c>
      <c r="O51" s="46">
        <f t="shared" si="11"/>
        <v>1.5138872332816784E-2</v>
      </c>
      <c r="P51" s="27"/>
      <c r="Q51" s="27"/>
      <c r="R51" s="27"/>
    </row>
    <row r="52" spans="1:18">
      <c r="N52" s="8" t="s">
        <v>18</v>
      </c>
      <c r="O52" s="46">
        <f t="shared" si="11"/>
        <v>0.11914411729645966</v>
      </c>
      <c r="P52" s="27"/>
      <c r="Q52" s="27"/>
      <c r="R52" s="27"/>
    </row>
    <row r="53" spans="1:18">
      <c r="N53" s="8" t="s">
        <v>358</v>
      </c>
      <c r="O53" s="46">
        <f t="shared" si="11"/>
        <v>5.1448325187745864E-2</v>
      </c>
      <c r="P53" s="27"/>
      <c r="Q53" s="27"/>
      <c r="R53" s="27"/>
    </row>
    <row r="54" spans="1:18">
      <c r="N54" s="8" t="s">
        <v>359</v>
      </c>
      <c r="O54" s="46">
        <f t="shared" si="11"/>
        <v>3.0492311360114436E-2</v>
      </c>
      <c r="P54" s="27"/>
      <c r="Q54" s="27"/>
      <c r="R54" s="27"/>
    </row>
    <row r="55" spans="1:18">
      <c r="N55" s="8" t="s">
        <v>19</v>
      </c>
      <c r="O55" s="46">
        <f t="shared" si="11"/>
        <v>0.31714149481463821</v>
      </c>
      <c r="P55" s="27"/>
      <c r="Q55" s="27"/>
      <c r="R55" s="27"/>
    </row>
    <row r="57" spans="1:18">
      <c r="O57" s="227"/>
    </row>
    <row r="60" spans="1:18" ht="20" thickBot="1">
      <c r="A60" s="60"/>
    </row>
    <row r="70" spans="14:18">
      <c r="N70" s="27"/>
      <c r="O70" s="27"/>
      <c r="P70" s="27"/>
      <c r="Q70" s="27"/>
    </row>
    <row r="71" spans="14:18" ht="19.25" customHeight="1" thickBot="1">
      <c r="N71" s="72" t="s">
        <v>27</v>
      </c>
      <c r="O71" s="96"/>
      <c r="P71" s="96"/>
      <c r="Q71" s="96"/>
      <c r="R71" s="151"/>
    </row>
    <row r="72" spans="14:18">
      <c r="N72" s="17"/>
      <c r="O72" s="17"/>
      <c r="P72" s="17"/>
      <c r="Q72" s="17"/>
    </row>
    <row r="73" spans="14:18" ht="16" thickBot="1">
      <c r="N73" s="20" t="s">
        <v>497</v>
      </c>
      <c r="O73" s="97"/>
      <c r="P73" s="21" t="s">
        <v>1079</v>
      </c>
      <c r="Q73" s="21" t="str">
        <f>Innehåll!D85</f>
        <v>Jan - apr 2023</v>
      </c>
    </row>
    <row r="74" spans="14:18">
      <c r="N74" t="s">
        <v>1010</v>
      </c>
      <c r="P74" s="34">
        <f t="shared" ref="P74:P80" si="12">G8</f>
        <v>42240</v>
      </c>
      <c r="Q74" s="34">
        <f t="shared" ref="Q74:Q80" si="13">F8</f>
        <v>39012</v>
      </c>
    </row>
    <row r="75" spans="14:18">
      <c r="N75" s="17" t="s">
        <v>1013</v>
      </c>
      <c r="O75" s="27"/>
      <c r="P75" s="34">
        <f t="shared" si="12"/>
        <v>300</v>
      </c>
      <c r="Q75" s="34">
        <f t="shared" si="13"/>
        <v>134</v>
      </c>
    </row>
    <row r="76" spans="14:18">
      <c r="N76" s="17" t="s">
        <v>28</v>
      </c>
      <c r="O76" s="27"/>
      <c r="P76" s="34">
        <f t="shared" si="12"/>
        <v>2366</v>
      </c>
      <c r="Q76" s="34">
        <f t="shared" si="13"/>
        <v>1270</v>
      </c>
    </row>
    <row r="77" spans="14:18">
      <c r="N77" s="17" t="s">
        <v>29</v>
      </c>
      <c r="O77" s="27"/>
      <c r="P77" s="34">
        <f t="shared" si="12"/>
        <v>12573</v>
      </c>
      <c r="Q77" s="34">
        <f t="shared" si="13"/>
        <v>9995</v>
      </c>
    </row>
    <row r="78" spans="14:18">
      <c r="N78" s="17" t="s">
        <v>30</v>
      </c>
      <c r="O78" s="27"/>
      <c r="P78" s="34">
        <f t="shared" si="12"/>
        <v>5837</v>
      </c>
      <c r="Q78" s="34">
        <f t="shared" si="13"/>
        <v>4316</v>
      </c>
    </row>
    <row r="79" spans="14:18">
      <c r="N79" s="17" t="s">
        <v>31</v>
      </c>
      <c r="O79" s="27"/>
      <c r="P79" s="34">
        <f t="shared" si="12"/>
        <v>4766</v>
      </c>
      <c r="Q79" s="34">
        <f t="shared" si="13"/>
        <v>2558</v>
      </c>
    </row>
    <row r="80" spans="14:18">
      <c r="N80" s="17" t="s">
        <v>32</v>
      </c>
      <c r="O80" s="27"/>
      <c r="P80" s="34">
        <f t="shared" si="12"/>
        <v>23599</v>
      </c>
      <c r="Q80" s="34">
        <f t="shared" si="13"/>
        <v>26605</v>
      </c>
    </row>
    <row r="81" spans="13:17">
      <c r="N81" s="31" t="s">
        <v>561</v>
      </c>
      <c r="O81" s="98"/>
      <c r="P81" s="32">
        <f>SUM(P74:P80)</f>
        <v>91681</v>
      </c>
      <c r="Q81" s="32">
        <f>SUM(Q74:Q80)</f>
        <v>83890</v>
      </c>
    </row>
    <row r="86" spans="13:17">
      <c r="M86" s="17"/>
    </row>
    <row r="103" spans="14:18">
      <c r="N103" s="27"/>
      <c r="O103" s="27"/>
      <c r="P103" s="27"/>
      <c r="Q103" s="27"/>
      <c r="R103" s="27"/>
    </row>
    <row r="104" spans="14:18">
      <c r="N104" s="27"/>
      <c r="O104" s="27"/>
      <c r="P104" s="27"/>
      <c r="Q104" s="27"/>
      <c r="R104" s="27"/>
    </row>
    <row r="105" spans="14:18" ht="19.25" customHeight="1" thickBot="1">
      <c r="N105" s="70" t="s">
        <v>389</v>
      </c>
      <c r="O105" s="61"/>
      <c r="P105" s="61"/>
      <c r="Q105" s="61"/>
      <c r="R105" s="27"/>
    </row>
    <row r="106" spans="14:18" ht="16" thickTop="1">
      <c r="N106" s="7"/>
      <c r="O106" s="7"/>
      <c r="P106" s="17"/>
      <c r="R106" s="27"/>
    </row>
    <row r="107" spans="14:18" ht="15" hidden="1" customHeight="1">
      <c r="N107" s="17"/>
      <c r="O107" s="17"/>
      <c r="P107" s="17"/>
      <c r="Q107" s="17">
        <v>39.299999999999997</v>
      </c>
      <c r="R107" s="27"/>
    </row>
    <row r="108" spans="14:18" ht="16" thickBot="1">
      <c r="N108" s="20" t="s">
        <v>478</v>
      </c>
      <c r="O108" s="20">
        <v>2021</v>
      </c>
      <c r="P108" s="20">
        <v>2022</v>
      </c>
      <c r="Q108" s="20">
        <v>2023</v>
      </c>
      <c r="R108" s="27"/>
    </row>
    <row r="109" spans="14:18">
      <c r="N109" s="17" t="s">
        <v>2</v>
      </c>
      <c r="O109" s="82">
        <v>91.9</v>
      </c>
      <c r="P109" s="82">
        <v>70.7</v>
      </c>
      <c r="Q109" s="82">
        <v>27.7</v>
      </c>
      <c r="R109" s="27"/>
    </row>
    <row r="110" spans="14:18">
      <c r="N110" s="17" t="s">
        <v>3</v>
      </c>
      <c r="O110" s="82">
        <v>90</v>
      </c>
      <c r="P110" s="82">
        <v>51.1</v>
      </c>
      <c r="Q110" s="82">
        <v>18.8</v>
      </c>
      <c r="R110" s="27"/>
    </row>
    <row r="111" spans="14:18">
      <c r="N111" s="17" t="s">
        <v>4</v>
      </c>
      <c r="O111" s="82">
        <v>88.4</v>
      </c>
      <c r="P111" s="82">
        <v>44.8</v>
      </c>
      <c r="Q111" s="82">
        <v>10.9</v>
      </c>
      <c r="R111" s="27"/>
    </row>
    <row r="112" spans="14:18">
      <c r="N112" s="17" t="s">
        <v>5</v>
      </c>
      <c r="O112" s="82">
        <v>72.8</v>
      </c>
      <c r="P112" s="82">
        <v>46.5</v>
      </c>
      <c r="Q112" s="82">
        <v>10</v>
      </c>
      <c r="R112" s="27"/>
    </row>
    <row r="113" spans="1:18">
      <c r="N113" s="17" t="s">
        <v>6</v>
      </c>
      <c r="O113" s="82">
        <v>78.900000000000006</v>
      </c>
      <c r="P113" s="82">
        <v>47.7</v>
      </c>
      <c r="Q113" s="82"/>
      <c r="R113" s="27"/>
    </row>
    <row r="114" spans="1:18" hidden="1">
      <c r="A114" s="6"/>
      <c r="B114" s="6"/>
      <c r="C114" s="6"/>
      <c r="D114" s="6"/>
      <c r="E114" s="6"/>
      <c r="F114" s="6"/>
      <c r="G114" s="6"/>
      <c r="H114" s="6"/>
      <c r="I114" s="6"/>
      <c r="J114" s="6"/>
      <c r="K114" s="6"/>
      <c r="N114" s="17" t="s">
        <v>7</v>
      </c>
      <c r="O114" s="82">
        <v>67</v>
      </c>
      <c r="P114" s="82">
        <v>45.2</v>
      </c>
      <c r="Q114" s="82"/>
      <c r="R114" s="27"/>
    </row>
    <row r="115" spans="1:18" s="6" customFormat="1">
      <c r="A115" s="5"/>
      <c r="B115"/>
      <c r="C115" s="5"/>
      <c r="D115" s="5"/>
      <c r="E115" s="13"/>
      <c r="F115" s="13"/>
      <c r="G115" s="5"/>
      <c r="H115" s="5"/>
      <c r="I115" s="9"/>
      <c r="J115" s="9"/>
      <c r="K115" s="9"/>
      <c r="N115" s="17" t="s">
        <v>7</v>
      </c>
      <c r="O115" s="82">
        <v>67</v>
      </c>
      <c r="P115" s="82">
        <v>45.3</v>
      </c>
      <c r="Q115" s="82"/>
      <c r="R115" s="42"/>
    </row>
    <row r="116" spans="1:18">
      <c r="N116" s="17" t="s">
        <v>8</v>
      </c>
      <c r="O116" s="82">
        <v>73.900000000000006</v>
      </c>
      <c r="P116" s="17">
        <v>42.9</v>
      </c>
      <c r="Q116" s="17"/>
      <c r="R116" s="27"/>
    </row>
    <row r="117" spans="1:18">
      <c r="N117" s="17" t="s">
        <v>9</v>
      </c>
      <c r="O117" s="82">
        <v>62.2</v>
      </c>
      <c r="P117" s="82">
        <v>32.5</v>
      </c>
      <c r="Q117" s="82"/>
      <c r="R117" s="27"/>
    </row>
    <row r="118" spans="1:18">
      <c r="N118" s="17" t="s">
        <v>10</v>
      </c>
      <c r="O118" s="82">
        <v>53</v>
      </c>
      <c r="P118" s="82">
        <v>30.3</v>
      </c>
      <c r="Q118" s="82"/>
      <c r="R118" s="27"/>
    </row>
    <row r="119" spans="1:18">
      <c r="N119" s="17" t="s">
        <v>11</v>
      </c>
      <c r="O119" s="82">
        <v>58.6</v>
      </c>
      <c r="P119" s="82">
        <v>30.3</v>
      </c>
      <c r="Q119" s="82"/>
      <c r="R119" s="27"/>
    </row>
    <row r="120" spans="1:18">
      <c r="N120" s="17" t="s">
        <v>12</v>
      </c>
      <c r="O120" s="82">
        <v>53.5</v>
      </c>
      <c r="P120" s="82"/>
      <c r="Q120" s="82"/>
      <c r="R120" s="27"/>
    </row>
    <row r="121" spans="1:18">
      <c r="N121" s="28" t="s">
        <v>13</v>
      </c>
      <c r="O121" s="83">
        <v>45.1</v>
      </c>
      <c r="P121" s="83"/>
      <c r="Q121" s="83"/>
      <c r="R121" s="27"/>
    </row>
    <row r="122" spans="1:18">
      <c r="N122" s="30" t="s">
        <v>560</v>
      </c>
      <c r="O122" s="30">
        <v>94</v>
      </c>
      <c r="P122" s="30">
        <v>43.3</v>
      </c>
      <c r="Q122" s="30">
        <v>15.3</v>
      </c>
      <c r="R122" s="27"/>
    </row>
    <row r="123" spans="1:18">
      <c r="N123" s="27"/>
      <c r="O123" s="27"/>
      <c r="P123" s="27"/>
      <c r="Q123" s="27"/>
      <c r="R123" s="27"/>
    </row>
    <row r="124" spans="1:18">
      <c r="N124" s="27"/>
      <c r="O124" s="27"/>
      <c r="P124" s="27"/>
      <c r="Q124" s="27"/>
      <c r="R124" s="27"/>
    </row>
    <row r="125" spans="1:18">
      <c r="N125" s="27"/>
      <c r="O125" s="27"/>
      <c r="P125" s="27"/>
      <c r="Q125" s="27"/>
      <c r="R125" s="27"/>
    </row>
    <row r="126" spans="1:18" ht="15" hidden="1" customHeight="1"/>
    <row r="135" spans="1:1">
      <c r="A135" s="5" t="s">
        <v>707</v>
      </c>
    </row>
    <row r="141" spans="1:1">
      <c r="A141" s="5" t="s">
        <v>707</v>
      </c>
    </row>
    <row r="151" spans="1:2" hidden="1"/>
    <row r="152" spans="1:2" ht="15" hidden="1" customHeight="1">
      <c r="A152" s="5" t="s">
        <v>400</v>
      </c>
      <c r="B152" t="s">
        <v>401</v>
      </c>
    </row>
    <row r="153" spans="1:2" ht="15" hidden="1" customHeight="1">
      <c r="A153" s="5">
        <v>20586</v>
      </c>
      <c r="B153" s="9">
        <v>10</v>
      </c>
    </row>
    <row r="154" spans="1:2" ht="15" hidden="1" customHeight="1">
      <c r="A154" s="5">
        <v>83890</v>
      </c>
      <c r="B154" s="9">
        <v>15.3</v>
      </c>
    </row>
    <row r="155" spans="1:2" hidden="1"/>
    <row r="156" spans="1:2" hidden="1"/>
  </sheetData>
  <mergeCells count="10">
    <mergeCell ref="G4:K4"/>
    <mergeCell ref="B25:C25"/>
    <mergeCell ref="D25:E25"/>
    <mergeCell ref="J5:K5"/>
    <mergeCell ref="B5:C5"/>
    <mergeCell ref="D5:E5"/>
    <mergeCell ref="H5:I5"/>
    <mergeCell ref="H25:I25"/>
    <mergeCell ref="J25:K25"/>
    <mergeCell ref="G24:K24"/>
  </mergeCells>
  <dataValidations count="4">
    <dataValidation allowBlank="1" showInputMessage="1" showErrorMessage="1" prompt="antalet registreringar ackumulerat från föregående års början t.o.m den aktuella månaden i föregående år." sqref="I6 I26" xr:uid="{00000000-0002-0000-0A00-000000000000}"/>
    <dataValidation allowBlank="1" showInputMessage="1" showErrorMessage="1" prompt="visar antalet registreringar för den aktuella månaden föregående år." sqref="E6 E26" xr:uid="{00000000-0002-0000-0A00-000001000000}"/>
    <dataValidation allowBlank="1" showInputMessage="1" showErrorMessage="1" prompt="visar antalet registreringar för den aktuella månaden i år." sqref="B6:D6 J6 F6:G6 B26:D26 J26 F26:G26" xr:uid="{00000000-0002-0000-0A00-000002000000}"/>
    <dataValidation allowBlank="1" showInputMessage="1" showErrorMessage="1" prompt="förändring i marknads-andelen ackumulerat från årets början t.o.m den aktuella månaden." sqref="H6 K6 H26 K26" xr:uid="{00000000-0002-0000-0A00-000003000000}"/>
  </dataValidations>
  <pageMargins left="0.70866141732283472" right="0.70866141732283472" top="0.74803149606299213" bottom="0.74803149606299213" header="0.31496062992125984" footer="0.31496062992125984"/>
  <pageSetup paperSize="9" orientation="landscape" r:id="rId1"/>
  <rowBreaks count="3" manualBreakCount="3">
    <brk id="38" max="16383" man="1"/>
    <brk id="70" max="16383" man="1"/>
    <brk id="101" max="16383" man="1"/>
  </rowBreaks>
  <drawing r:id="rId2"/>
  <tableParts count="3">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76"/>
  <sheetViews>
    <sheetView workbookViewId="0">
      <pane ySplit="8" topLeftCell="A9" activePane="bottomLeft" state="frozen"/>
      <selection pane="bottomLeft" activeCell="M24" sqref="M24"/>
    </sheetView>
  </sheetViews>
  <sheetFormatPr baseColWidth="10" defaultColWidth="8.83203125" defaultRowHeight="15"/>
  <cols>
    <col min="1" max="1" width="17" customWidth="1"/>
    <col min="2" max="5" width="11.6640625" customWidth="1"/>
    <col min="6" max="7" width="8.6640625" customWidth="1"/>
    <col min="8" max="9" width="11.6640625" style="6" customWidth="1"/>
    <col min="10" max="13" width="11.6640625" customWidth="1"/>
    <col min="14" max="15" width="8.6640625" customWidth="1"/>
    <col min="16" max="17" width="11.6640625" style="6" customWidth="1"/>
  </cols>
  <sheetData>
    <row r="1" spans="1:17">
      <c r="H1"/>
      <c r="I1"/>
      <c r="P1"/>
      <c r="Q1"/>
    </row>
    <row r="2" spans="1:17" ht="19.25" customHeight="1" thickBot="1">
      <c r="C2" s="10"/>
      <c r="D2" s="60" t="s">
        <v>251</v>
      </c>
      <c r="E2" s="60"/>
      <c r="F2" s="60"/>
      <c r="G2" s="60"/>
      <c r="H2" s="60"/>
      <c r="I2" s="60"/>
      <c r="J2" s="60"/>
      <c r="P2"/>
      <c r="Q2"/>
    </row>
    <row r="4" spans="1:17" ht="15.75" customHeight="1">
      <c r="A4" s="100" t="s">
        <v>480</v>
      </c>
      <c r="B4" s="27"/>
      <c r="C4" s="27"/>
      <c r="D4" s="27"/>
      <c r="E4" s="27"/>
      <c r="F4" s="27"/>
      <c r="G4" s="27"/>
      <c r="H4" s="42"/>
      <c r="I4" s="42"/>
      <c r="J4" s="27"/>
      <c r="K4" s="27"/>
      <c r="L4" s="27"/>
      <c r="M4" s="27"/>
      <c r="N4" s="27"/>
      <c r="O4" s="27"/>
      <c r="P4" s="42"/>
      <c r="Q4" s="42"/>
    </row>
    <row r="5" spans="1:17">
      <c r="A5" s="144"/>
      <c r="B5" s="284" t="str">
        <f>Innehåll!D75</f>
        <v>April</v>
      </c>
      <c r="C5" s="286"/>
      <c r="D5" s="286"/>
      <c r="E5" s="286"/>
      <c r="F5" s="286"/>
      <c r="G5" s="286"/>
      <c r="H5" s="286"/>
      <c r="I5" s="286"/>
      <c r="J5" s="284" t="str">
        <f>Innehåll!D76</f>
        <v>Januari - april</v>
      </c>
      <c r="K5" s="286"/>
      <c r="L5" s="286"/>
      <c r="M5" s="286"/>
      <c r="N5" s="286"/>
      <c r="O5" s="286"/>
      <c r="P5" s="286"/>
      <c r="Q5" s="286"/>
    </row>
    <row r="6" spans="1:17">
      <c r="A6" s="144"/>
      <c r="B6" s="284" t="s">
        <v>567</v>
      </c>
      <c r="C6" s="285"/>
      <c r="D6" s="284" t="s">
        <v>568</v>
      </c>
      <c r="E6" s="285"/>
      <c r="F6" s="284" t="s">
        <v>569</v>
      </c>
      <c r="G6" s="285"/>
      <c r="H6" s="284" t="s">
        <v>477</v>
      </c>
      <c r="I6" s="285"/>
      <c r="J6" s="284" t="s">
        <v>567</v>
      </c>
      <c r="K6" s="285"/>
      <c r="L6" s="284" t="s">
        <v>568</v>
      </c>
      <c r="M6" s="285"/>
      <c r="N6" s="284" t="s">
        <v>569</v>
      </c>
      <c r="O6" s="285"/>
      <c r="P6" s="284" t="s">
        <v>477</v>
      </c>
      <c r="Q6" s="286"/>
    </row>
    <row r="7" spans="1:17">
      <c r="A7" s="144" t="s">
        <v>486</v>
      </c>
      <c r="B7" s="144" t="str">
        <f>Innehåll!D77</f>
        <v xml:space="preserve"> 2023</v>
      </c>
      <c r="C7" s="144" t="str">
        <f>Innehåll!D78</f>
        <v xml:space="preserve"> 2022</v>
      </c>
      <c r="D7" s="144" t="str">
        <f>B7</f>
        <v xml:space="preserve"> 2023</v>
      </c>
      <c r="E7" s="144" t="str">
        <f>C7</f>
        <v xml:space="preserve"> 2022</v>
      </c>
      <c r="F7" s="144" t="str">
        <f>B7</f>
        <v xml:space="preserve"> 2023</v>
      </c>
      <c r="G7" s="144" t="str">
        <f>C7</f>
        <v xml:space="preserve"> 2022</v>
      </c>
      <c r="H7" s="144" t="str">
        <f>B7</f>
        <v xml:space="preserve"> 2023</v>
      </c>
      <c r="I7" s="144" t="str">
        <f>C7</f>
        <v xml:space="preserve"> 2022</v>
      </c>
      <c r="J7" s="144" t="str">
        <f>B7</f>
        <v xml:space="preserve"> 2023</v>
      </c>
      <c r="K7" s="144" t="str">
        <f>C7</f>
        <v xml:space="preserve"> 2022</v>
      </c>
      <c r="L7" s="144" t="str">
        <f>B7</f>
        <v xml:space="preserve"> 2023</v>
      </c>
      <c r="M7" s="144" t="str">
        <f>C7</f>
        <v xml:space="preserve"> 2022</v>
      </c>
      <c r="N7" s="144" t="str">
        <f>B7</f>
        <v xml:space="preserve"> 2023</v>
      </c>
      <c r="O7" s="144" t="str">
        <f>C7</f>
        <v xml:space="preserve"> 2022</v>
      </c>
      <c r="P7" s="144" t="str">
        <f>B7</f>
        <v xml:space="preserve"> 2023</v>
      </c>
      <c r="Q7" s="144" t="str">
        <f>C7</f>
        <v xml:space="preserve"> 2022</v>
      </c>
    </row>
    <row r="8" spans="1:17" ht="15" hidden="1" customHeight="1">
      <c r="A8" s="27" t="s">
        <v>252</v>
      </c>
      <c r="B8" s="27" t="s">
        <v>253</v>
      </c>
      <c r="C8" s="27" t="s">
        <v>254</v>
      </c>
      <c r="D8" s="27" t="s">
        <v>255</v>
      </c>
      <c r="E8" s="27" t="s">
        <v>256</v>
      </c>
      <c r="F8" s="27" t="s">
        <v>257</v>
      </c>
      <c r="G8" s="27" t="s">
        <v>258</v>
      </c>
      <c r="H8" s="42" t="s">
        <v>259</v>
      </c>
      <c r="I8" s="42" t="s">
        <v>260</v>
      </c>
      <c r="J8" s="27" t="s">
        <v>261</v>
      </c>
      <c r="K8" s="27" t="s">
        <v>262</v>
      </c>
      <c r="L8" s="27" t="s">
        <v>263</v>
      </c>
      <c r="M8" s="27" t="s">
        <v>264</v>
      </c>
      <c r="N8" s="27" t="s">
        <v>265</v>
      </c>
      <c r="O8" s="27" t="s">
        <v>266</v>
      </c>
      <c r="P8" s="42" t="s">
        <v>267</v>
      </c>
      <c r="Q8" s="42" t="s">
        <v>268</v>
      </c>
    </row>
    <row r="9" spans="1:17">
      <c r="A9" s="27" t="s">
        <v>269</v>
      </c>
      <c r="B9" s="66">
        <v>5</v>
      </c>
      <c r="C9" s="66">
        <v>1</v>
      </c>
      <c r="D9" s="66">
        <v>31</v>
      </c>
      <c r="E9" s="66">
        <v>0</v>
      </c>
      <c r="F9" s="27">
        <v>86.1</v>
      </c>
      <c r="G9" s="27">
        <v>0</v>
      </c>
      <c r="H9" s="99">
        <v>36</v>
      </c>
      <c r="I9" s="99">
        <v>1</v>
      </c>
      <c r="J9" s="66">
        <v>9</v>
      </c>
      <c r="K9" s="66">
        <v>6</v>
      </c>
      <c r="L9" s="66">
        <v>121</v>
      </c>
      <c r="M9" s="66">
        <v>21</v>
      </c>
      <c r="N9" s="27">
        <v>93.1</v>
      </c>
      <c r="O9" s="27">
        <v>77.8</v>
      </c>
      <c r="P9" s="99">
        <v>130</v>
      </c>
      <c r="Q9" s="99">
        <v>27</v>
      </c>
    </row>
    <row r="10" spans="1:17">
      <c r="A10" s="27" t="s">
        <v>579</v>
      </c>
      <c r="B10" s="66">
        <v>0</v>
      </c>
      <c r="C10" s="66">
        <v>1</v>
      </c>
      <c r="D10" s="66">
        <v>1</v>
      </c>
      <c r="E10" s="66">
        <v>1</v>
      </c>
      <c r="F10" s="27">
        <v>100</v>
      </c>
      <c r="G10" s="27">
        <v>50</v>
      </c>
      <c r="H10" s="99">
        <v>1</v>
      </c>
      <c r="I10" s="99">
        <v>2</v>
      </c>
      <c r="J10" s="66">
        <v>0</v>
      </c>
      <c r="K10" s="66">
        <v>2</v>
      </c>
      <c r="L10" s="66">
        <v>2</v>
      </c>
      <c r="M10" s="66">
        <v>4</v>
      </c>
      <c r="N10" s="27">
        <v>100</v>
      </c>
      <c r="O10" s="27">
        <v>66.7</v>
      </c>
      <c r="P10" s="99">
        <v>2</v>
      </c>
      <c r="Q10" s="99">
        <v>6</v>
      </c>
    </row>
    <row r="11" spans="1:17">
      <c r="A11" s="27" t="s">
        <v>270</v>
      </c>
      <c r="B11" s="66">
        <v>585</v>
      </c>
      <c r="C11" s="66">
        <v>417</v>
      </c>
      <c r="D11" s="66">
        <v>901</v>
      </c>
      <c r="E11" s="66">
        <v>568</v>
      </c>
      <c r="F11" s="27">
        <v>60.6</v>
      </c>
      <c r="G11" s="27">
        <v>57.7</v>
      </c>
      <c r="H11" s="99">
        <v>1486</v>
      </c>
      <c r="I11" s="99">
        <v>985</v>
      </c>
      <c r="J11" s="66">
        <v>1936</v>
      </c>
      <c r="K11" s="66">
        <v>1675</v>
      </c>
      <c r="L11" s="66">
        <v>3182</v>
      </c>
      <c r="M11" s="66">
        <v>2553</v>
      </c>
      <c r="N11" s="27">
        <v>62.2</v>
      </c>
      <c r="O11" s="27">
        <v>60.4</v>
      </c>
      <c r="P11" s="99">
        <v>5118</v>
      </c>
      <c r="Q11" s="99">
        <v>4228</v>
      </c>
    </row>
    <row r="12" spans="1:17">
      <c r="A12" s="27" t="s">
        <v>271</v>
      </c>
      <c r="B12" s="66">
        <v>2</v>
      </c>
      <c r="C12" s="66">
        <v>1</v>
      </c>
      <c r="D12" s="66">
        <v>1</v>
      </c>
      <c r="E12" s="66">
        <v>0</v>
      </c>
      <c r="F12" s="27">
        <v>33.299999999999997</v>
      </c>
      <c r="G12" s="27">
        <v>0</v>
      </c>
      <c r="H12" s="99">
        <v>3</v>
      </c>
      <c r="I12" s="99">
        <v>1</v>
      </c>
      <c r="J12" s="66">
        <v>3</v>
      </c>
      <c r="K12" s="66">
        <v>6</v>
      </c>
      <c r="L12" s="66">
        <v>3</v>
      </c>
      <c r="M12" s="66">
        <v>2</v>
      </c>
      <c r="N12" s="27">
        <v>50</v>
      </c>
      <c r="O12" s="27">
        <v>25</v>
      </c>
      <c r="P12" s="99">
        <v>6</v>
      </c>
      <c r="Q12" s="99">
        <v>8</v>
      </c>
    </row>
    <row r="13" spans="1:17">
      <c r="A13" s="27" t="s">
        <v>272</v>
      </c>
      <c r="B13" s="66">
        <v>262</v>
      </c>
      <c r="C13" s="66">
        <v>660</v>
      </c>
      <c r="D13" s="66">
        <v>1063</v>
      </c>
      <c r="E13" s="66">
        <v>875</v>
      </c>
      <c r="F13" s="27">
        <v>80.2</v>
      </c>
      <c r="G13" s="27">
        <v>57</v>
      </c>
      <c r="H13" s="99">
        <v>1325</v>
      </c>
      <c r="I13" s="99">
        <v>1535</v>
      </c>
      <c r="J13" s="66">
        <v>943</v>
      </c>
      <c r="K13" s="66">
        <v>2677</v>
      </c>
      <c r="L13" s="66">
        <v>4129</v>
      </c>
      <c r="M13" s="66">
        <v>3441</v>
      </c>
      <c r="N13" s="27">
        <v>81.400000000000006</v>
      </c>
      <c r="O13" s="27">
        <v>56.2</v>
      </c>
      <c r="P13" s="99">
        <v>5072</v>
      </c>
      <c r="Q13" s="99">
        <v>6118</v>
      </c>
    </row>
    <row r="14" spans="1:17">
      <c r="A14" s="27" t="s">
        <v>703</v>
      </c>
      <c r="B14" s="66">
        <v>20</v>
      </c>
      <c r="C14" s="66">
        <v>0</v>
      </c>
      <c r="D14" s="66">
        <v>43</v>
      </c>
      <c r="E14" s="66">
        <v>0</v>
      </c>
      <c r="F14" s="27">
        <v>68.3</v>
      </c>
      <c r="G14" s="27">
        <v>0</v>
      </c>
      <c r="H14" s="99">
        <v>63</v>
      </c>
      <c r="I14" s="99">
        <v>0</v>
      </c>
      <c r="J14" s="66">
        <v>57</v>
      </c>
      <c r="K14" s="66">
        <v>0</v>
      </c>
      <c r="L14" s="66">
        <v>213</v>
      </c>
      <c r="M14" s="66">
        <v>0</v>
      </c>
      <c r="N14" s="27">
        <v>78.900000000000006</v>
      </c>
      <c r="O14" s="27">
        <v>0</v>
      </c>
      <c r="P14" s="99">
        <v>270</v>
      </c>
      <c r="Q14" s="99">
        <v>0</v>
      </c>
    </row>
    <row r="15" spans="1:17">
      <c r="A15" s="27" t="s">
        <v>700</v>
      </c>
      <c r="B15" s="66">
        <v>1</v>
      </c>
      <c r="C15" s="66">
        <v>0</v>
      </c>
      <c r="D15" s="66">
        <v>1</v>
      </c>
      <c r="E15" s="66">
        <v>1</v>
      </c>
      <c r="F15" s="27">
        <v>50</v>
      </c>
      <c r="G15" s="27">
        <v>100</v>
      </c>
      <c r="H15" s="99">
        <v>2</v>
      </c>
      <c r="I15" s="99">
        <v>1</v>
      </c>
      <c r="J15" s="66">
        <v>3</v>
      </c>
      <c r="K15" s="66">
        <v>0</v>
      </c>
      <c r="L15" s="66">
        <v>4</v>
      </c>
      <c r="M15" s="66">
        <v>1</v>
      </c>
      <c r="N15" s="27">
        <v>57.1</v>
      </c>
      <c r="O15" s="27">
        <v>100</v>
      </c>
      <c r="P15" s="99">
        <v>7</v>
      </c>
      <c r="Q15" s="99">
        <v>1</v>
      </c>
    </row>
    <row r="16" spans="1:17">
      <c r="A16" s="27" t="s">
        <v>273</v>
      </c>
      <c r="B16" s="66">
        <v>4</v>
      </c>
      <c r="C16" s="66">
        <v>3</v>
      </c>
      <c r="D16" s="66">
        <v>5</v>
      </c>
      <c r="E16" s="66">
        <v>5</v>
      </c>
      <c r="F16" s="27">
        <v>55.6</v>
      </c>
      <c r="G16" s="27">
        <v>62.5</v>
      </c>
      <c r="H16" s="99">
        <v>9</v>
      </c>
      <c r="I16" s="99">
        <v>8</v>
      </c>
      <c r="J16" s="66">
        <v>8</v>
      </c>
      <c r="K16" s="66">
        <v>5</v>
      </c>
      <c r="L16" s="66">
        <v>11</v>
      </c>
      <c r="M16" s="66">
        <v>10</v>
      </c>
      <c r="N16" s="27">
        <v>57.9</v>
      </c>
      <c r="O16" s="27">
        <v>66.7</v>
      </c>
      <c r="P16" s="99">
        <v>19</v>
      </c>
      <c r="Q16" s="99">
        <v>15</v>
      </c>
    </row>
    <row r="17" spans="1:17">
      <c r="A17" s="27" t="s">
        <v>274</v>
      </c>
      <c r="B17" s="66">
        <v>94</v>
      </c>
      <c r="C17" s="66">
        <v>84</v>
      </c>
      <c r="D17" s="66">
        <v>109</v>
      </c>
      <c r="E17" s="66">
        <v>176</v>
      </c>
      <c r="F17" s="27">
        <v>53.7</v>
      </c>
      <c r="G17" s="27">
        <v>67.7</v>
      </c>
      <c r="H17" s="99">
        <v>203</v>
      </c>
      <c r="I17" s="99">
        <v>260</v>
      </c>
      <c r="J17" s="66">
        <v>254</v>
      </c>
      <c r="K17" s="66">
        <v>392</v>
      </c>
      <c r="L17" s="66">
        <v>795</v>
      </c>
      <c r="M17" s="66">
        <v>454</v>
      </c>
      <c r="N17" s="27">
        <v>75.8</v>
      </c>
      <c r="O17" s="27">
        <v>53.7</v>
      </c>
      <c r="P17" s="99">
        <v>1049</v>
      </c>
      <c r="Q17" s="99">
        <v>846</v>
      </c>
    </row>
    <row r="18" spans="1:17">
      <c r="A18" s="27" t="s">
        <v>1101</v>
      </c>
      <c r="B18" s="66">
        <v>143</v>
      </c>
      <c r="C18" s="66">
        <v>0</v>
      </c>
      <c r="D18" s="66">
        <v>113</v>
      </c>
      <c r="E18" s="66">
        <v>0</v>
      </c>
      <c r="F18" s="27">
        <v>44.1</v>
      </c>
      <c r="G18" s="27">
        <v>0</v>
      </c>
      <c r="H18" s="99">
        <v>256</v>
      </c>
      <c r="I18" s="99">
        <v>0</v>
      </c>
      <c r="J18" s="66">
        <v>324</v>
      </c>
      <c r="K18" s="66">
        <v>0</v>
      </c>
      <c r="L18" s="66">
        <v>380</v>
      </c>
      <c r="M18" s="66">
        <v>0</v>
      </c>
      <c r="N18" s="27">
        <v>54</v>
      </c>
      <c r="O18" s="27">
        <v>0</v>
      </c>
      <c r="P18" s="99">
        <v>704</v>
      </c>
      <c r="Q18" s="99">
        <v>0</v>
      </c>
    </row>
    <row r="19" spans="1:17">
      <c r="A19" s="27" t="s">
        <v>275</v>
      </c>
      <c r="B19" s="66">
        <v>122</v>
      </c>
      <c r="C19" s="66">
        <v>204</v>
      </c>
      <c r="D19" s="66">
        <v>33</v>
      </c>
      <c r="E19" s="66">
        <v>72</v>
      </c>
      <c r="F19" s="27">
        <v>21.3</v>
      </c>
      <c r="G19" s="27">
        <v>26.1</v>
      </c>
      <c r="H19" s="99">
        <v>155</v>
      </c>
      <c r="I19" s="99">
        <v>276</v>
      </c>
      <c r="J19" s="66">
        <v>486</v>
      </c>
      <c r="K19" s="66">
        <v>707</v>
      </c>
      <c r="L19" s="66">
        <v>554</v>
      </c>
      <c r="M19" s="66">
        <v>346</v>
      </c>
      <c r="N19" s="27">
        <v>53.3</v>
      </c>
      <c r="O19" s="27">
        <v>32.9</v>
      </c>
      <c r="P19" s="99">
        <v>1040</v>
      </c>
      <c r="Q19" s="99">
        <v>1053</v>
      </c>
    </row>
    <row r="20" spans="1:17">
      <c r="A20" s="27" t="s">
        <v>307</v>
      </c>
      <c r="B20" s="66">
        <v>2</v>
      </c>
      <c r="C20" s="66">
        <v>23</v>
      </c>
      <c r="D20" s="66">
        <v>5</v>
      </c>
      <c r="E20" s="66">
        <v>32</v>
      </c>
      <c r="F20" s="27">
        <v>71.400000000000006</v>
      </c>
      <c r="G20" s="27">
        <v>58.2</v>
      </c>
      <c r="H20" s="99">
        <v>7</v>
      </c>
      <c r="I20" s="99">
        <v>55</v>
      </c>
      <c r="J20" s="66">
        <v>35</v>
      </c>
      <c r="K20" s="66">
        <v>95</v>
      </c>
      <c r="L20" s="66">
        <v>88</v>
      </c>
      <c r="M20" s="66">
        <v>72</v>
      </c>
      <c r="N20" s="27">
        <v>71.5</v>
      </c>
      <c r="O20" s="27">
        <v>43.1</v>
      </c>
      <c r="P20" s="99">
        <v>123</v>
      </c>
      <c r="Q20" s="99">
        <v>167</v>
      </c>
    </row>
    <row r="21" spans="1:17">
      <c r="A21" s="27" t="s">
        <v>701</v>
      </c>
      <c r="B21" s="66">
        <v>10</v>
      </c>
      <c r="C21" s="66">
        <v>5</v>
      </c>
      <c r="D21" s="66">
        <v>5</v>
      </c>
      <c r="E21" s="66">
        <v>3</v>
      </c>
      <c r="F21" s="27">
        <v>33.299999999999997</v>
      </c>
      <c r="G21" s="27">
        <v>37.5</v>
      </c>
      <c r="H21" s="99">
        <v>15</v>
      </c>
      <c r="I21" s="99">
        <v>8</v>
      </c>
      <c r="J21" s="66">
        <v>16</v>
      </c>
      <c r="K21" s="66">
        <v>8</v>
      </c>
      <c r="L21" s="66">
        <v>9</v>
      </c>
      <c r="M21" s="66">
        <v>4</v>
      </c>
      <c r="N21" s="27">
        <v>36</v>
      </c>
      <c r="O21" s="27">
        <v>33.299999999999997</v>
      </c>
      <c r="P21" s="99">
        <v>25</v>
      </c>
      <c r="Q21" s="99">
        <v>12</v>
      </c>
    </row>
    <row r="22" spans="1:17">
      <c r="A22" s="27" t="s">
        <v>276</v>
      </c>
      <c r="B22" s="66">
        <v>185</v>
      </c>
      <c r="C22" s="66">
        <v>330</v>
      </c>
      <c r="D22" s="66">
        <v>17</v>
      </c>
      <c r="E22" s="66">
        <v>56</v>
      </c>
      <c r="F22" s="27">
        <v>8.4</v>
      </c>
      <c r="G22" s="27">
        <v>14.5</v>
      </c>
      <c r="H22" s="99">
        <v>202</v>
      </c>
      <c r="I22" s="99">
        <v>386</v>
      </c>
      <c r="J22" s="66">
        <v>394</v>
      </c>
      <c r="K22" s="66">
        <v>778</v>
      </c>
      <c r="L22" s="66">
        <v>224</v>
      </c>
      <c r="M22" s="66">
        <v>141</v>
      </c>
      <c r="N22" s="27">
        <v>36.200000000000003</v>
      </c>
      <c r="O22" s="27">
        <v>15.3</v>
      </c>
      <c r="P22" s="99">
        <v>618</v>
      </c>
      <c r="Q22" s="99">
        <v>919</v>
      </c>
    </row>
    <row r="23" spans="1:17">
      <c r="A23" s="27" t="s">
        <v>277</v>
      </c>
      <c r="B23" s="66">
        <v>157</v>
      </c>
      <c r="C23" s="66">
        <v>328</v>
      </c>
      <c r="D23" s="66">
        <v>614</v>
      </c>
      <c r="E23" s="66">
        <v>229</v>
      </c>
      <c r="F23" s="27">
        <v>79.599999999999994</v>
      </c>
      <c r="G23" s="27">
        <v>41.1</v>
      </c>
      <c r="H23" s="99">
        <v>771</v>
      </c>
      <c r="I23" s="99">
        <v>557</v>
      </c>
      <c r="J23" s="66">
        <v>403</v>
      </c>
      <c r="K23" s="66">
        <v>1686</v>
      </c>
      <c r="L23" s="66">
        <v>1792</v>
      </c>
      <c r="M23" s="66">
        <v>1503</v>
      </c>
      <c r="N23" s="27">
        <v>81.599999999999994</v>
      </c>
      <c r="O23" s="27">
        <v>47.1</v>
      </c>
      <c r="P23" s="99">
        <v>2195</v>
      </c>
      <c r="Q23" s="99">
        <v>3189</v>
      </c>
    </row>
    <row r="24" spans="1:17">
      <c r="A24" s="27" t="s">
        <v>278</v>
      </c>
      <c r="B24" s="66">
        <v>30</v>
      </c>
      <c r="C24" s="66">
        <v>94</v>
      </c>
      <c r="D24" s="66">
        <v>23</v>
      </c>
      <c r="E24" s="66">
        <v>25</v>
      </c>
      <c r="F24" s="27">
        <v>43.4</v>
      </c>
      <c r="G24" s="27">
        <v>21</v>
      </c>
      <c r="H24" s="99">
        <v>53</v>
      </c>
      <c r="I24" s="99">
        <v>119</v>
      </c>
      <c r="J24" s="66">
        <v>95</v>
      </c>
      <c r="K24" s="66">
        <v>299</v>
      </c>
      <c r="L24" s="66">
        <v>110</v>
      </c>
      <c r="M24" s="66">
        <v>151</v>
      </c>
      <c r="N24" s="27">
        <v>53.7</v>
      </c>
      <c r="O24" s="27">
        <v>33.6</v>
      </c>
      <c r="P24" s="99">
        <v>205</v>
      </c>
      <c r="Q24" s="99">
        <v>450</v>
      </c>
    </row>
    <row r="25" spans="1:17">
      <c r="A25" s="27" t="s">
        <v>1089</v>
      </c>
      <c r="B25" s="66">
        <v>0</v>
      </c>
      <c r="C25" s="66">
        <v>0</v>
      </c>
      <c r="D25" s="66">
        <v>2</v>
      </c>
      <c r="E25" s="66">
        <v>0</v>
      </c>
      <c r="F25" s="27">
        <v>100</v>
      </c>
      <c r="G25" s="27">
        <v>0</v>
      </c>
      <c r="H25" s="99">
        <v>2</v>
      </c>
      <c r="I25" s="99">
        <v>0</v>
      </c>
      <c r="J25" s="66">
        <v>2</v>
      </c>
      <c r="K25" s="66">
        <v>0</v>
      </c>
      <c r="L25" s="66">
        <v>23</v>
      </c>
      <c r="M25" s="66">
        <v>0</v>
      </c>
      <c r="N25" s="27">
        <v>92</v>
      </c>
      <c r="O25" s="27">
        <v>0</v>
      </c>
      <c r="P25" s="99">
        <v>25</v>
      </c>
      <c r="Q25" s="99">
        <v>0</v>
      </c>
    </row>
    <row r="26" spans="1:17">
      <c r="A26" s="27" t="s">
        <v>279</v>
      </c>
      <c r="B26" s="66">
        <v>202</v>
      </c>
      <c r="C26" s="66">
        <v>204</v>
      </c>
      <c r="D26" s="66">
        <v>201</v>
      </c>
      <c r="E26" s="66">
        <v>212</v>
      </c>
      <c r="F26" s="27">
        <v>49.9</v>
      </c>
      <c r="G26" s="27">
        <v>51</v>
      </c>
      <c r="H26" s="99">
        <v>403</v>
      </c>
      <c r="I26" s="99">
        <v>416</v>
      </c>
      <c r="J26" s="66">
        <v>835</v>
      </c>
      <c r="K26" s="66">
        <v>998</v>
      </c>
      <c r="L26" s="66">
        <v>820</v>
      </c>
      <c r="M26" s="66">
        <v>938</v>
      </c>
      <c r="N26" s="27">
        <v>49.5</v>
      </c>
      <c r="O26" s="27">
        <v>48.5</v>
      </c>
      <c r="P26" s="99">
        <v>1655</v>
      </c>
      <c r="Q26" s="99">
        <v>1936</v>
      </c>
    </row>
    <row r="27" spans="1:17">
      <c r="A27" s="27" t="s">
        <v>280</v>
      </c>
      <c r="B27" s="66">
        <v>6</v>
      </c>
      <c r="C27" s="66">
        <v>4</v>
      </c>
      <c r="D27" s="66">
        <v>0</v>
      </c>
      <c r="E27" s="66">
        <v>2</v>
      </c>
      <c r="F27" s="27">
        <v>0</v>
      </c>
      <c r="G27" s="27">
        <v>33.299999999999997</v>
      </c>
      <c r="H27" s="99">
        <v>6</v>
      </c>
      <c r="I27" s="99">
        <v>6</v>
      </c>
      <c r="J27" s="66">
        <v>12</v>
      </c>
      <c r="K27" s="66">
        <v>10</v>
      </c>
      <c r="L27" s="66">
        <v>1</v>
      </c>
      <c r="M27" s="66">
        <v>2</v>
      </c>
      <c r="N27" s="27">
        <v>7.7</v>
      </c>
      <c r="O27" s="27">
        <v>16.7</v>
      </c>
      <c r="P27" s="99">
        <v>13</v>
      </c>
      <c r="Q27" s="99">
        <v>12</v>
      </c>
    </row>
    <row r="28" spans="1:17">
      <c r="A28" s="27" t="s">
        <v>281</v>
      </c>
      <c r="B28" s="66">
        <v>1</v>
      </c>
      <c r="C28" s="66">
        <v>1</v>
      </c>
      <c r="D28" s="66">
        <v>0</v>
      </c>
      <c r="E28" s="66">
        <v>8</v>
      </c>
      <c r="F28" s="27">
        <v>0</v>
      </c>
      <c r="G28" s="27">
        <v>88.9</v>
      </c>
      <c r="H28" s="99">
        <v>1</v>
      </c>
      <c r="I28" s="99">
        <v>9</v>
      </c>
      <c r="J28" s="66">
        <v>3</v>
      </c>
      <c r="K28" s="66">
        <v>5</v>
      </c>
      <c r="L28" s="66">
        <v>23</v>
      </c>
      <c r="M28" s="66">
        <v>21</v>
      </c>
      <c r="N28" s="27">
        <v>88.5</v>
      </c>
      <c r="O28" s="27">
        <v>80.8</v>
      </c>
      <c r="P28" s="99">
        <v>26</v>
      </c>
      <c r="Q28" s="99">
        <v>26</v>
      </c>
    </row>
    <row r="29" spans="1:17">
      <c r="A29" s="27" t="s">
        <v>282</v>
      </c>
      <c r="B29" s="66">
        <v>5</v>
      </c>
      <c r="C29" s="66">
        <v>4</v>
      </c>
      <c r="D29" s="66">
        <v>19</v>
      </c>
      <c r="E29" s="66">
        <v>20</v>
      </c>
      <c r="F29" s="27">
        <v>79.2</v>
      </c>
      <c r="G29" s="27">
        <v>83.3</v>
      </c>
      <c r="H29" s="99">
        <v>24</v>
      </c>
      <c r="I29" s="99">
        <v>24</v>
      </c>
      <c r="J29" s="66">
        <v>6</v>
      </c>
      <c r="K29" s="66">
        <v>54</v>
      </c>
      <c r="L29" s="66">
        <v>26</v>
      </c>
      <c r="M29" s="66">
        <v>87</v>
      </c>
      <c r="N29" s="27">
        <v>81.3</v>
      </c>
      <c r="O29" s="27">
        <v>61.7</v>
      </c>
      <c r="P29" s="99">
        <v>32</v>
      </c>
      <c r="Q29" s="99">
        <v>141</v>
      </c>
    </row>
    <row r="30" spans="1:17">
      <c r="A30" s="27" t="s">
        <v>283</v>
      </c>
      <c r="B30" s="66">
        <v>821</v>
      </c>
      <c r="C30" s="66">
        <v>1864</v>
      </c>
      <c r="D30" s="66">
        <v>812</v>
      </c>
      <c r="E30" s="66">
        <v>885</v>
      </c>
      <c r="F30" s="27">
        <v>49.7</v>
      </c>
      <c r="G30" s="27">
        <v>32.200000000000003</v>
      </c>
      <c r="H30" s="99">
        <v>1633</v>
      </c>
      <c r="I30" s="99">
        <v>2749</v>
      </c>
      <c r="J30" s="66">
        <v>3090</v>
      </c>
      <c r="K30" s="66">
        <v>7445</v>
      </c>
      <c r="L30" s="66">
        <v>4151</v>
      </c>
      <c r="M30" s="66">
        <v>3175</v>
      </c>
      <c r="N30" s="27">
        <v>57.3</v>
      </c>
      <c r="O30" s="27">
        <v>29.9</v>
      </c>
      <c r="P30" s="99">
        <v>7241</v>
      </c>
      <c r="Q30" s="99">
        <v>10620</v>
      </c>
    </row>
    <row r="31" spans="1:17">
      <c r="A31" s="27" t="s">
        <v>284</v>
      </c>
      <c r="B31" s="66">
        <v>2</v>
      </c>
      <c r="C31" s="66">
        <v>4</v>
      </c>
      <c r="D31" s="66">
        <v>3</v>
      </c>
      <c r="E31" s="66">
        <v>4</v>
      </c>
      <c r="F31" s="27">
        <v>60</v>
      </c>
      <c r="G31" s="27">
        <v>50</v>
      </c>
      <c r="H31" s="99">
        <v>5</v>
      </c>
      <c r="I31" s="99">
        <v>8</v>
      </c>
      <c r="J31" s="66">
        <v>10</v>
      </c>
      <c r="K31" s="66">
        <v>11</v>
      </c>
      <c r="L31" s="66">
        <v>12</v>
      </c>
      <c r="M31" s="66">
        <v>8</v>
      </c>
      <c r="N31" s="27">
        <v>54.5</v>
      </c>
      <c r="O31" s="27">
        <v>42.1</v>
      </c>
      <c r="P31" s="99">
        <v>22</v>
      </c>
      <c r="Q31" s="99">
        <v>19</v>
      </c>
    </row>
    <row r="32" spans="1:17">
      <c r="A32" s="27" t="s">
        <v>285</v>
      </c>
      <c r="B32" s="66">
        <v>11</v>
      </c>
      <c r="C32" s="66">
        <v>10</v>
      </c>
      <c r="D32" s="66">
        <v>20</v>
      </c>
      <c r="E32" s="66">
        <v>11</v>
      </c>
      <c r="F32" s="27">
        <v>64.5</v>
      </c>
      <c r="G32" s="27">
        <v>52.4</v>
      </c>
      <c r="H32" s="99">
        <v>31</v>
      </c>
      <c r="I32" s="99">
        <v>21</v>
      </c>
      <c r="J32" s="66">
        <v>29</v>
      </c>
      <c r="K32" s="66">
        <v>50</v>
      </c>
      <c r="L32" s="66">
        <v>90</v>
      </c>
      <c r="M32" s="66">
        <v>112</v>
      </c>
      <c r="N32" s="27">
        <v>75.599999999999994</v>
      </c>
      <c r="O32" s="27">
        <v>69.099999999999994</v>
      </c>
      <c r="P32" s="99">
        <v>119</v>
      </c>
      <c r="Q32" s="99">
        <v>162</v>
      </c>
    </row>
    <row r="33" spans="1:17">
      <c r="A33" s="27" t="s">
        <v>1142</v>
      </c>
      <c r="B33" s="66">
        <v>0</v>
      </c>
      <c r="C33" s="66">
        <v>0</v>
      </c>
      <c r="D33" s="66">
        <v>0</v>
      </c>
      <c r="E33" s="66">
        <v>1</v>
      </c>
      <c r="F33" s="27">
        <v>0</v>
      </c>
      <c r="G33" s="27">
        <v>100</v>
      </c>
      <c r="H33" s="99">
        <v>0</v>
      </c>
      <c r="I33" s="99">
        <v>1</v>
      </c>
      <c r="J33" s="66">
        <v>0</v>
      </c>
      <c r="K33" s="66">
        <v>0</v>
      </c>
      <c r="L33" s="66">
        <v>1</v>
      </c>
      <c r="M33" s="66">
        <v>1</v>
      </c>
      <c r="N33" s="27">
        <v>100</v>
      </c>
      <c r="O33" s="27">
        <v>100</v>
      </c>
      <c r="P33" s="99">
        <v>1</v>
      </c>
      <c r="Q33" s="99">
        <v>1</v>
      </c>
    </row>
    <row r="34" spans="1:17">
      <c r="A34" s="27" t="s">
        <v>286</v>
      </c>
      <c r="B34" s="66">
        <v>73</v>
      </c>
      <c r="C34" s="66">
        <v>46</v>
      </c>
      <c r="D34" s="66">
        <v>123</v>
      </c>
      <c r="E34" s="66">
        <v>47</v>
      </c>
      <c r="F34" s="27">
        <v>62.8</v>
      </c>
      <c r="G34" s="27">
        <v>50.5</v>
      </c>
      <c r="H34" s="99">
        <v>196</v>
      </c>
      <c r="I34" s="99">
        <v>93</v>
      </c>
      <c r="J34" s="66">
        <v>225</v>
      </c>
      <c r="K34" s="66">
        <v>144</v>
      </c>
      <c r="L34" s="66">
        <v>425</v>
      </c>
      <c r="M34" s="66">
        <v>213</v>
      </c>
      <c r="N34" s="27">
        <v>65.400000000000006</v>
      </c>
      <c r="O34" s="27">
        <v>59.7</v>
      </c>
      <c r="P34" s="99">
        <v>650</v>
      </c>
      <c r="Q34" s="99">
        <v>357</v>
      </c>
    </row>
    <row r="35" spans="1:17">
      <c r="A35" s="27" t="s">
        <v>601</v>
      </c>
      <c r="B35" s="66">
        <v>0</v>
      </c>
      <c r="C35" s="66">
        <v>1</v>
      </c>
      <c r="D35" s="66">
        <v>143</v>
      </c>
      <c r="E35" s="66">
        <v>210</v>
      </c>
      <c r="F35" s="27">
        <v>100</v>
      </c>
      <c r="G35" s="27">
        <v>99.5</v>
      </c>
      <c r="H35" s="99">
        <v>143</v>
      </c>
      <c r="I35" s="99">
        <v>211</v>
      </c>
      <c r="J35" s="66">
        <v>0</v>
      </c>
      <c r="K35" s="66">
        <v>7</v>
      </c>
      <c r="L35" s="66">
        <v>580</v>
      </c>
      <c r="M35" s="66">
        <v>655</v>
      </c>
      <c r="N35" s="27">
        <v>100</v>
      </c>
      <c r="O35" s="27">
        <v>98.9</v>
      </c>
      <c r="P35" s="99">
        <v>580</v>
      </c>
      <c r="Q35" s="99">
        <v>662</v>
      </c>
    </row>
    <row r="36" spans="1:17">
      <c r="A36" s="27" t="s">
        <v>580</v>
      </c>
      <c r="B36" s="66">
        <v>0</v>
      </c>
      <c r="C36" s="66">
        <v>0</v>
      </c>
      <c r="D36" s="66">
        <v>0</v>
      </c>
      <c r="E36" s="66">
        <v>0</v>
      </c>
      <c r="F36" s="27">
        <v>0</v>
      </c>
      <c r="G36" s="27">
        <v>0</v>
      </c>
      <c r="H36" s="99">
        <v>0</v>
      </c>
      <c r="I36" s="99">
        <v>0</v>
      </c>
      <c r="J36" s="66">
        <v>0</v>
      </c>
      <c r="K36" s="66">
        <v>2</v>
      </c>
      <c r="L36" s="66">
        <v>0</v>
      </c>
      <c r="M36" s="66">
        <v>1</v>
      </c>
      <c r="N36" s="27">
        <v>0</v>
      </c>
      <c r="O36" s="27">
        <v>33.299999999999997</v>
      </c>
      <c r="P36" s="99">
        <v>0</v>
      </c>
      <c r="Q36" s="99">
        <v>3</v>
      </c>
    </row>
    <row r="37" spans="1:17">
      <c r="A37" s="27" t="s">
        <v>437</v>
      </c>
      <c r="B37" s="66">
        <v>0</v>
      </c>
      <c r="C37" s="66">
        <v>4</v>
      </c>
      <c r="D37" s="66">
        <v>13</v>
      </c>
      <c r="E37" s="66">
        <v>2</v>
      </c>
      <c r="F37" s="27">
        <v>100</v>
      </c>
      <c r="G37" s="27">
        <v>33.299999999999997</v>
      </c>
      <c r="H37" s="99">
        <v>13</v>
      </c>
      <c r="I37" s="99">
        <v>6</v>
      </c>
      <c r="J37" s="66">
        <v>23</v>
      </c>
      <c r="K37" s="66">
        <v>5</v>
      </c>
      <c r="L37" s="66">
        <v>41</v>
      </c>
      <c r="M37" s="66">
        <v>12</v>
      </c>
      <c r="N37" s="27">
        <v>64.099999999999994</v>
      </c>
      <c r="O37" s="27">
        <v>70.599999999999994</v>
      </c>
      <c r="P37" s="99">
        <v>64</v>
      </c>
      <c r="Q37" s="99">
        <v>17</v>
      </c>
    </row>
    <row r="38" spans="1:17">
      <c r="A38" s="27" t="s">
        <v>288</v>
      </c>
      <c r="B38" s="66">
        <v>46</v>
      </c>
      <c r="C38" s="66">
        <v>154</v>
      </c>
      <c r="D38" s="66">
        <v>45</v>
      </c>
      <c r="E38" s="66">
        <v>21</v>
      </c>
      <c r="F38" s="27">
        <v>49.5</v>
      </c>
      <c r="G38" s="27">
        <v>12</v>
      </c>
      <c r="H38" s="99">
        <v>91</v>
      </c>
      <c r="I38" s="99">
        <v>175</v>
      </c>
      <c r="J38" s="66">
        <v>745</v>
      </c>
      <c r="K38" s="66">
        <v>372</v>
      </c>
      <c r="L38" s="66">
        <v>904</v>
      </c>
      <c r="M38" s="66">
        <v>77</v>
      </c>
      <c r="N38" s="27">
        <v>54.8</v>
      </c>
      <c r="O38" s="27">
        <v>17.100000000000001</v>
      </c>
      <c r="P38" s="99">
        <v>1649</v>
      </c>
      <c r="Q38" s="99">
        <v>449</v>
      </c>
    </row>
    <row r="39" spans="1:17">
      <c r="A39" s="27" t="s">
        <v>526</v>
      </c>
      <c r="B39" s="66">
        <v>1</v>
      </c>
      <c r="C39" s="66">
        <v>0</v>
      </c>
      <c r="D39" s="66">
        <v>1</v>
      </c>
      <c r="E39" s="66">
        <v>0</v>
      </c>
      <c r="F39" s="27">
        <v>50</v>
      </c>
      <c r="G39" s="27">
        <v>0</v>
      </c>
      <c r="H39" s="99">
        <v>2</v>
      </c>
      <c r="I39" s="99">
        <v>0</v>
      </c>
      <c r="J39" s="66">
        <v>2</v>
      </c>
      <c r="K39" s="66">
        <v>4</v>
      </c>
      <c r="L39" s="66">
        <v>5</v>
      </c>
      <c r="M39" s="66">
        <v>4</v>
      </c>
      <c r="N39" s="27">
        <v>71.400000000000006</v>
      </c>
      <c r="O39" s="27">
        <v>50</v>
      </c>
      <c r="P39" s="99">
        <v>7</v>
      </c>
      <c r="Q39" s="99">
        <v>8</v>
      </c>
    </row>
    <row r="40" spans="1:17">
      <c r="A40" s="27" t="s">
        <v>399</v>
      </c>
      <c r="B40" s="66">
        <v>385</v>
      </c>
      <c r="C40" s="66">
        <v>400</v>
      </c>
      <c r="D40" s="66">
        <v>884</v>
      </c>
      <c r="E40" s="66">
        <v>868</v>
      </c>
      <c r="F40" s="27">
        <v>69.7</v>
      </c>
      <c r="G40" s="27">
        <v>68.5</v>
      </c>
      <c r="H40" s="99">
        <v>1269</v>
      </c>
      <c r="I40" s="99">
        <v>1268</v>
      </c>
      <c r="J40" s="66">
        <v>1238</v>
      </c>
      <c r="K40" s="66">
        <v>1381</v>
      </c>
      <c r="L40" s="66">
        <v>3159</v>
      </c>
      <c r="M40" s="66">
        <v>3177</v>
      </c>
      <c r="N40" s="27">
        <v>71.8</v>
      </c>
      <c r="O40" s="27">
        <v>69.7</v>
      </c>
      <c r="P40" s="99">
        <v>4397</v>
      </c>
      <c r="Q40" s="99">
        <v>4558</v>
      </c>
    </row>
    <row r="41" spans="1:17">
      <c r="A41" s="27" t="s">
        <v>289</v>
      </c>
      <c r="B41" s="66">
        <v>10</v>
      </c>
      <c r="C41" s="66">
        <v>3</v>
      </c>
      <c r="D41" s="66">
        <v>12</v>
      </c>
      <c r="E41" s="66">
        <v>1</v>
      </c>
      <c r="F41" s="27">
        <v>54.5</v>
      </c>
      <c r="G41" s="27">
        <v>25</v>
      </c>
      <c r="H41" s="99">
        <v>22</v>
      </c>
      <c r="I41" s="99">
        <v>4</v>
      </c>
      <c r="J41" s="66">
        <v>20</v>
      </c>
      <c r="K41" s="66">
        <v>6</v>
      </c>
      <c r="L41" s="66">
        <v>27</v>
      </c>
      <c r="M41" s="66">
        <v>14</v>
      </c>
      <c r="N41" s="27">
        <v>57.4</v>
      </c>
      <c r="O41" s="27">
        <v>70</v>
      </c>
      <c r="P41" s="99">
        <v>47</v>
      </c>
      <c r="Q41" s="99">
        <v>20</v>
      </c>
    </row>
    <row r="42" spans="1:17">
      <c r="A42" s="27" t="s">
        <v>618</v>
      </c>
      <c r="B42" s="66">
        <v>251</v>
      </c>
      <c r="C42" s="66">
        <v>353</v>
      </c>
      <c r="D42" s="66">
        <v>166</v>
      </c>
      <c r="E42" s="66">
        <v>31</v>
      </c>
      <c r="F42" s="27">
        <v>39.799999999999997</v>
      </c>
      <c r="G42" s="27">
        <v>8.1</v>
      </c>
      <c r="H42" s="99">
        <v>417</v>
      </c>
      <c r="I42" s="99">
        <v>384</v>
      </c>
      <c r="J42" s="66">
        <v>1273</v>
      </c>
      <c r="K42" s="66">
        <v>1326</v>
      </c>
      <c r="L42" s="66">
        <v>793</v>
      </c>
      <c r="M42" s="66">
        <v>289</v>
      </c>
      <c r="N42" s="27">
        <v>38.4</v>
      </c>
      <c r="O42" s="27">
        <v>17.899999999999999</v>
      </c>
      <c r="P42" s="99">
        <v>2066</v>
      </c>
      <c r="Q42" s="99">
        <v>1615</v>
      </c>
    </row>
    <row r="43" spans="1:17">
      <c r="A43" s="27" t="s">
        <v>290</v>
      </c>
      <c r="B43" s="66">
        <v>57</v>
      </c>
      <c r="C43" s="66">
        <v>87</v>
      </c>
      <c r="D43" s="66">
        <v>112</v>
      </c>
      <c r="E43" s="66">
        <v>78</v>
      </c>
      <c r="F43" s="27">
        <v>66.3</v>
      </c>
      <c r="G43" s="27">
        <v>47.3</v>
      </c>
      <c r="H43" s="99">
        <v>169</v>
      </c>
      <c r="I43" s="99">
        <v>165</v>
      </c>
      <c r="J43" s="66">
        <v>236</v>
      </c>
      <c r="K43" s="66">
        <v>515</v>
      </c>
      <c r="L43" s="66">
        <v>453</v>
      </c>
      <c r="M43" s="66">
        <v>306</v>
      </c>
      <c r="N43" s="27">
        <v>65.7</v>
      </c>
      <c r="O43" s="27">
        <v>37.299999999999997</v>
      </c>
      <c r="P43" s="99">
        <v>689</v>
      </c>
      <c r="Q43" s="99">
        <v>821</v>
      </c>
    </row>
    <row r="44" spans="1:17">
      <c r="A44" s="27" t="s">
        <v>291</v>
      </c>
      <c r="B44" s="66">
        <v>6</v>
      </c>
      <c r="C44" s="66">
        <v>10</v>
      </c>
      <c r="D44" s="66">
        <v>66</v>
      </c>
      <c r="E44" s="66">
        <v>23</v>
      </c>
      <c r="F44" s="27">
        <v>91.7</v>
      </c>
      <c r="G44" s="27">
        <v>69.7</v>
      </c>
      <c r="H44" s="99">
        <v>72</v>
      </c>
      <c r="I44" s="99">
        <v>33</v>
      </c>
      <c r="J44" s="66">
        <v>32</v>
      </c>
      <c r="K44" s="66">
        <v>44</v>
      </c>
      <c r="L44" s="66">
        <v>178</v>
      </c>
      <c r="M44" s="66">
        <v>173</v>
      </c>
      <c r="N44" s="27">
        <v>84.8</v>
      </c>
      <c r="O44" s="27">
        <v>79.7</v>
      </c>
      <c r="P44" s="99">
        <v>210</v>
      </c>
      <c r="Q44" s="99">
        <v>217</v>
      </c>
    </row>
    <row r="45" spans="1:17">
      <c r="A45" s="27" t="s">
        <v>292</v>
      </c>
      <c r="B45" s="66">
        <v>1</v>
      </c>
      <c r="C45" s="66">
        <v>2</v>
      </c>
      <c r="D45" s="66">
        <v>1</v>
      </c>
      <c r="E45" s="66">
        <v>0</v>
      </c>
      <c r="F45" s="27">
        <v>50</v>
      </c>
      <c r="G45" s="27">
        <v>0</v>
      </c>
      <c r="H45" s="99">
        <v>2</v>
      </c>
      <c r="I45" s="99">
        <v>2</v>
      </c>
      <c r="J45" s="66">
        <v>1</v>
      </c>
      <c r="K45" s="66">
        <v>6</v>
      </c>
      <c r="L45" s="66">
        <v>2</v>
      </c>
      <c r="M45" s="66">
        <v>0</v>
      </c>
      <c r="N45" s="27">
        <v>66.7</v>
      </c>
      <c r="O45" s="27">
        <v>0</v>
      </c>
      <c r="P45" s="99">
        <v>3</v>
      </c>
      <c r="Q45" s="99">
        <v>6</v>
      </c>
    </row>
    <row r="46" spans="1:17">
      <c r="A46" s="27" t="s">
        <v>1102</v>
      </c>
      <c r="B46" s="66">
        <v>1</v>
      </c>
      <c r="C46" s="66">
        <v>0</v>
      </c>
      <c r="D46" s="66">
        <v>13</v>
      </c>
      <c r="E46" s="66">
        <v>0</v>
      </c>
      <c r="F46" s="27">
        <v>92.9</v>
      </c>
      <c r="G46" s="27">
        <v>0</v>
      </c>
      <c r="H46" s="99">
        <v>14</v>
      </c>
      <c r="I46" s="99">
        <v>0</v>
      </c>
      <c r="J46" s="66">
        <v>1</v>
      </c>
      <c r="K46" s="66">
        <v>0</v>
      </c>
      <c r="L46" s="66">
        <v>54</v>
      </c>
      <c r="M46" s="66">
        <v>0</v>
      </c>
      <c r="N46" s="27">
        <v>98.2</v>
      </c>
      <c r="O46" s="27">
        <v>0</v>
      </c>
      <c r="P46" s="99">
        <v>55</v>
      </c>
      <c r="Q46" s="99">
        <v>0</v>
      </c>
    </row>
    <row r="47" spans="1:17">
      <c r="A47" s="27" t="s">
        <v>293</v>
      </c>
      <c r="B47" s="66">
        <v>156</v>
      </c>
      <c r="C47" s="66">
        <v>514</v>
      </c>
      <c r="D47" s="66">
        <v>176</v>
      </c>
      <c r="E47" s="66">
        <v>140</v>
      </c>
      <c r="F47" s="27">
        <v>53</v>
      </c>
      <c r="G47" s="27">
        <v>21.4</v>
      </c>
      <c r="H47" s="99">
        <v>332</v>
      </c>
      <c r="I47" s="99">
        <v>654</v>
      </c>
      <c r="J47" s="66">
        <v>713</v>
      </c>
      <c r="K47" s="66">
        <v>1563</v>
      </c>
      <c r="L47" s="66">
        <v>869</v>
      </c>
      <c r="M47" s="66">
        <v>485</v>
      </c>
      <c r="N47" s="27">
        <v>54.9</v>
      </c>
      <c r="O47" s="27">
        <v>23.7</v>
      </c>
      <c r="P47" s="99">
        <v>1582</v>
      </c>
      <c r="Q47" s="99">
        <v>2048</v>
      </c>
    </row>
    <row r="48" spans="1:17">
      <c r="A48" s="27" t="s">
        <v>294</v>
      </c>
      <c r="B48" s="66">
        <v>42</v>
      </c>
      <c r="C48" s="66">
        <v>100</v>
      </c>
      <c r="D48" s="66">
        <v>91</v>
      </c>
      <c r="E48" s="66">
        <v>241</v>
      </c>
      <c r="F48" s="27">
        <v>68.400000000000006</v>
      </c>
      <c r="G48" s="27">
        <v>70.7</v>
      </c>
      <c r="H48" s="99">
        <v>133</v>
      </c>
      <c r="I48" s="99">
        <v>341</v>
      </c>
      <c r="J48" s="66">
        <v>173</v>
      </c>
      <c r="K48" s="66">
        <v>728</v>
      </c>
      <c r="L48" s="66">
        <v>558</v>
      </c>
      <c r="M48" s="66">
        <v>634</v>
      </c>
      <c r="N48" s="27">
        <v>76.3</v>
      </c>
      <c r="O48" s="27">
        <v>46.5</v>
      </c>
      <c r="P48" s="99">
        <v>731</v>
      </c>
      <c r="Q48" s="99">
        <v>1362</v>
      </c>
    </row>
    <row r="49" spans="1:17">
      <c r="A49" s="27" t="s">
        <v>1076</v>
      </c>
      <c r="B49" s="66">
        <v>6</v>
      </c>
      <c r="C49" s="66">
        <v>0</v>
      </c>
      <c r="D49" s="66">
        <v>6</v>
      </c>
      <c r="E49" s="66">
        <v>0</v>
      </c>
      <c r="F49" s="27">
        <v>50</v>
      </c>
      <c r="G49" s="27">
        <v>0</v>
      </c>
      <c r="H49" s="99">
        <v>12</v>
      </c>
      <c r="I49" s="99">
        <v>0</v>
      </c>
      <c r="J49" s="66">
        <v>11</v>
      </c>
      <c r="K49" s="66">
        <v>0</v>
      </c>
      <c r="L49" s="66">
        <v>29</v>
      </c>
      <c r="M49" s="66">
        <v>0</v>
      </c>
      <c r="N49" s="27">
        <v>72.5</v>
      </c>
      <c r="O49" s="27">
        <v>0</v>
      </c>
      <c r="P49" s="99">
        <v>40</v>
      </c>
      <c r="Q49" s="99">
        <v>0</v>
      </c>
    </row>
    <row r="50" spans="1:17">
      <c r="A50" s="27" t="s">
        <v>295</v>
      </c>
      <c r="B50" s="66">
        <v>132</v>
      </c>
      <c r="C50" s="66">
        <v>238</v>
      </c>
      <c r="D50" s="66">
        <v>384</v>
      </c>
      <c r="E50" s="66">
        <v>382</v>
      </c>
      <c r="F50" s="27">
        <v>74.400000000000006</v>
      </c>
      <c r="G50" s="27">
        <v>61.6</v>
      </c>
      <c r="H50" s="99">
        <v>516</v>
      </c>
      <c r="I50" s="99">
        <v>620</v>
      </c>
      <c r="J50" s="66">
        <v>668</v>
      </c>
      <c r="K50" s="66">
        <v>1199</v>
      </c>
      <c r="L50" s="66">
        <v>1874</v>
      </c>
      <c r="M50" s="66">
        <v>1283</v>
      </c>
      <c r="N50" s="27">
        <v>73.7</v>
      </c>
      <c r="O50" s="27">
        <v>51.7</v>
      </c>
      <c r="P50" s="99">
        <v>2542</v>
      </c>
      <c r="Q50" s="99">
        <v>2482</v>
      </c>
    </row>
    <row r="51" spans="1:17">
      <c r="A51" s="27" t="s">
        <v>334</v>
      </c>
      <c r="B51" s="66">
        <v>14</v>
      </c>
      <c r="C51" s="66">
        <v>134</v>
      </c>
      <c r="D51" s="66">
        <v>106</v>
      </c>
      <c r="E51" s="66">
        <v>364</v>
      </c>
      <c r="F51" s="27">
        <v>88.3</v>
      </c>
      <c r="G51" s="27">
        <v>73.099999999999994</v>
      </c>
      <c r="H51" s="99">
        <v>120</v>
      </c>
      <c r="I51" s="99">
        <v>498</v>
      </c>
      <c r="J51" s="66">
        <v>102</v>
      </c>
      <c r="K51" s="66">
        <v>436</v>
      </c>
      <c r="L51" s="66">
        <v>542</v>
      </c>
      <c r="M51" s="66">
        <v>1253</v>
      </c>
      <c r="N51" s="27">
        <v>84.2</v>
      </c>
      <c r="O51" s="27">
        <v>74.2</v>
      </c>
      <c r="P51" s="99">
        <v>644</v>
      </c>
      <c r="Q51" s="99">
        <v>1689</v>
      </c>
    </row>
    <row r="52" spans="1:17">
      <c r="A52" s="27" t="s">
        <v>296</v>
      </c>
      <c r="B52" s="66">
        <v>148</v>
      </c>
      <c r="C52" s="66">
        <v>146</v>
      </c>
      <c r="D52" s="66">
        <v>175</v>
      </c>
      <c r="E52" s="66">
        <v>85</v>
      </c>
      <c r="F52" s="27">
        <v>54.2</v>
      </c>
      <c r="G52" s="27">
        <v>36.799999999999997</v>
      </c>
      <c r="H52" s="99">
        <v>323</v>
      </c>
      <c r="I52" s="99">
        <v>231</v>
      </c>
      <c r="J52" s="66">
        <v>471</v>
      </c>
      <c r="K52" s="66">
        <v>487</v>
      </c>
      <c r="L52" s="66">
        <v>622</v>
      </c>
      <c r="M52" s="66">
        <v>450</v>
      </c>
      <c r="N52" s="27">
        <v>56.9</v>
      </c>
      <c r="O52" s="27">
        <v>48</v>
      </c>
      <c r="P52" s="99">
        <v>1093</v>
      </c>
      <c r="Q52" s="99">
        <v>937</v>
      </c>
    </row>
    <row r="53" spans="1:17">
      <c r="A53" s="27" t="s">
        <v>297</v>
      </c>
      <c r="B53" s="66">
        <v>254</v>
      </c>
      <c r="C53" s="66">
        <v>455</v>
      </c>
      <c r="D53" s="66">
        <v>279</v>
      </c>
      <c r="E53" s="66">
        <v>230</v>
      </c>
      <c r="F53" s="63">
        <v>52.3</v>
      </c>
      <c r="G53" s="63">
        <v>33.6</v>
      </c>
      <c r="H53" s="99">
        <v>533</v>
      </c>
      <c r="I53" s="99">
        <v>685</v>
      </c>
      <c r="J53" s="66">
        <v>705</v>
      </c>
      <c r="K53" s="66">
        <v>1354</v>
      </c>
      <c r="L53" s="66">
        <v>972</v>
      </c>
      <c r="M53" s="66">
        <v>726</v>
      </c>
      <c r="N53" s="63">
        <v>58</v>
      </c>
      <c r="O53" s="63">
        <v>34.9</v>
      </c>
      <c r="P53" s="99">
        <v>1677</v>
      </c>
      <c r="Q53" s="99">
        <v>2080</v>
      </c>
    </row>
    <row r="54" spans="1:17">
      <c r="A54" s="27" t="s">
        <v>298</v>
      </c>
      <c r="B54" s="66">
        <v>123</v>
      </c>
      <c r="C54" s="66">
        <v>255</v>
      </c>
      <c r="D54" s="66">
        <v>89</v>
      </c>
      <c r="E54" s="66">
        <v>193</v>
      </c>
      <c r="F54" s="27">
        <v>42</v>
      </c>
      <c r="G54" s="27">
        <v>43.1</v>
      </c>
      <c r="H54" s="99">
        <v>212</v>
      </c>
      <c r="I54" s="99">
        <v>448</v>
      </c>
      <c r="J54" s="66">
        <v>522</v>
      </c>
      <c r="K54" s="66">
        <v>854</v>
      </c>
      <c r="L54" s="66">
        <v>376</v>
      </c>
      <c r="M54" s="66">
        <v>585</v>
      </c>
      <c r="N54" s="27">
        <v>41.9</v>
      </c>
      <c r="O54" s="27">
        <v>40.700000000000003</v>
      </c>
      <c r="P54" s="99">
        <v>898</v>
      </c>
      <c r="Q54" s="99">
        <v>1439</v>
      </c>
    </row>
    <row r="55" spans="1:17">
      <c r="A55" s="27" t="s">
        <v>299</v>
      </c>
      <c r="B55" s="66">
        <v>275</v>
      </c>
      <c r="C55" s="66">
        <v>381</v>
      </c>
      <c r="D55" s="66">
        <v>713</v>
      </c>
      <c r="E55" s="66">
        <v>394</v>
      </c>
      <c r="F55" s="27">
        <v>72.2</v>
      </c>
      <c r="G55" s="27">
        <v>50.8</v>
      </c>
      <c r="H55" s="99">
        <v>988</v>
      </c>
      <c r="I55" s="99">
        <v>775</v>
      </c>
      <c r="J55" s="66">
        <v>901</v>
      </c>
      <c r="K55" s="66">
        <v>1508</v>
      </c>
      <c r="L55" s="66">
        <v>2749</v>
      </c>
      <c r="M55" s="66">
        <v>1930</v>
      </c>
      <c r="N55" s="27">
        <v>75.3</v>
      </c>
      <c r="O55" s="27">
        <v>56.1</v>
      </c>
      <c r="P55" s="99">
        <v>3650</v>
      </c>
      <c r="Q55" s="99">
        <v>3438</v>
      </c>
    </row>
    <row r="56" spans="1:17">
      <c r="A56" s="27" t="s">
        <v>1209</v>
      </c>
      <c r="B56" s="66">
        <v>1</v>
      </c>
      <c r="C56" s="66">
        <v>1</v>
      </c>
      <c r="D56" s="66">
        <v>0</v>
      </c>
      <c r="E56" s="66">
        <v>0</v>
      </c>
      <c r="F56" s="63">
        <v>0</v>
      </c>
      <c r="G56" s="63">
        <v>0</v>
      </c>
      <c r="H56" s="99">
        <v>1</v>
      </c>
      <c r="I56" s="99">
        <v>1</v>
      </c>
      <c r="J56" s="66">
        <v>1</v>
      </c>
      <c r="K56" s="66">
        <v>1</v>
      </c>
      <c r="L56" s="66">
        <v>0</v>
      </c>
      <c r="M56" s="66">
        <v>0</v>
      </c>
      <c r="N56" s="63">
        <v>0</v>
      </c>
      <c r="O56" s="63">
        <v>0</v>
      </c>
      <c r="P56" s="99">
        <v>1</v>
      </c>
      <c r="Q56" s="99">
        <v>1</v>
      </c>
    </row>
    <row r="57" spans="1:17">
      <c r="A57" s="27" t="s">
        <v>300</v>
      </c>
      <c r="B57" s="66">
        <v>121</v>
      </c>
      <c r="C57" s="66">
        <v>86</v>
      </c>
      <c r="D57" s="66">
        <v>116</v>
      </c>
      <c r="E57" s="66">
        <v>73</v>
      </c>
      <c r="F57" s="27">
        <v>48.9</v>
      </c>
      <c r="G57" s="27">
        <v>45.9</v>
      </c>
      <c r="H57" s="99">
        <v>237</v>
      </c>
      <c r="I57" s="99">
        <v>159</v>
      </c>
      <c r="J57" s="66">
        <v>452</v>
      </c>
      <c r="K57" s="66">
        <v>477</v>
      </c>
      <c r="L57" s="66">
        <v>438</v>
      </c>
      <c r="M57" s="66">
        <v>269</v>
      </c>
      <c r="N57" s="27">
        <v>49.2</v>
      </c>
      <c r="O57" s="27">
        <v>36.1</v>
      </c>
      <c r="P57" s="99">
        <v>890</v>
      </c>
      <c r="Q57" s="99">
        <v>746</v>
      </c>
    </row>
    <row r="58" spans="1:17">
      <c r="A58" s="27" t="s">
        <v>301</v>
      </c>
      <c r="B58" s="66">
        <v>29</v>
      </c>
      <c r="C58" s="66">
        <v>85</v>
      </c>
      <c r="D58" s="66">
        <v>55</v>
      </c>
      <c r="E58" s="66">
        <v>80</v>
      </c>
      <c r="F58" s="27">
        <v>65.5</v>
      </c>
      <c r="G58" s="27">
        <v>48.5</v>
      </c>
      <c r="H58" s="99">
        <v>84</v>
      </c>
      <c r="I58" s="99">
        <v>165</v>
      </c>
      <c r="J58" s="66">
        <v>109</v>
      </c>
      <c r="K58" s="66">
        <v>279</v>
      </c>
      <c r="L58" s="66">
        <v>199</v>
      </c>
      <c r="M58" s="66">
        <v>402</v>
      </c>
      <c r="N58" s="27">
        <v>64.599999999999994</v>
      </c>
      <c r="O58" s="27">
        <v>59</v>
      </c>
      <c r="P58" s="99">
        <v>308</v>
      </c>
      <c r="Q58" s="99">
        <v>681</v>
      </c>
    </row>
    <row r="59" spans="1:17">
      <c r="A59" s="27" t="s">
        <v>302</v>
      </c>
      <c r="B59" s="66">
        <v>176</v>
      </c>
      <c r="C59" s="66">
        <v>1</v>
      </c>
      <c r="D59" s="66">
        <v>566</v>
      </c>
      <c r="E59" s="66">
        <v>8</v>
      </c>
      <c r="F59" s="27">
        <v>76.3</v>
      </c>
      <c r="G59" s="27">
        <v>88.9</v>
      </c>
      <c r="H59" s="99">
        <v>742</v>
      </c>
      <c r="I59" s="99">
        <v>9</v>
      </c>
      <c r="J59" s="66">
        <v>1796</v>
      </c>
      <c r="K59" s="66">
        <v>1407</v>
      </c>
      <c r="L59" s="66">
        <v>3629</v>
      </c>
      <c r="M59" s="66">
        <v>1735</v>
      </c>
      <c r="N59" s="27">
        <v>66.900000000000006</v>
      </c>
      <c r="O59" s="27">
        <v>55.2</v>
      </c>
      <c r="P59" s="99">
        <v>5425</v>
      </c>
      <c r="Q59" s="99">
        <v>3142</v>
      </c>
    </row>
    <row r="60" spans="1:17">
      <c r="A60" s="162" t="s">
        <v>303</v>
      </c>
      <c r="B60" s="163">
        <v>708</v>
      </c>
      <c r="C60" s="163">
        <v>1144</v>
      </c>
      <c r="D60" s="163">
        <v>993</v>
      </c>
      <c r="E60" s="163">
        <v>916</v>
      </c>
      <c r="F60" s="162">
        <v>58.4</v>
      </c>
      <c r="G60" s="162">
        <v>44.5</v>
      </c>
      <c r="H60" s="165">
        <v>1701</v>
      </c>
      <c r="I60" s="165">
        <v>2060</v>
      </c>
      <c r="J60" s="163">
        <v>3364</v>
      </c>
      <c r="K60" s="163">
        <v>4147</v>
      </c>
      <c r="L60" s="163">
        <v>3926</v>
      </c>
      <c r="M60" s="163">
        <v>3649</v>
      </c>
      <c r="N60" s="162">
        <v>53.9</v>
      </c>
      <c r="O60" s="162">
        <v>46.8</v>
      </c>
      <c r="P60" s="165">
        <v>7290</v>
      </c>
      <c r="Q60" s="165">
        <v>7796</v>
      </c>
    </row>
    <row r="61" spans="1:17">
      <c r="A61" s="162" t="s">
        <v>304</v>
      </c>
      <c r="B61" s="163">
        <v>627</v>
      </c>
      <c r="C61" s="163">
        <v>802</v>
      </c>
      <c r="D61" s="163">
        <v>1888</v>
      </c>
      <c r="E61" s="163">
        <v>1377</v>
      </c>
      <c r="F61" s="164">
        <v>75.099999999999994</v>
      </c>
      <c r="G61" s="164">
        <v>63.2</v>
      </c>
      <c r="H61" s="165">
        <v>2515</v>
      </c>
      <c r="I61" s="165">
        <v>2179</v>
      </c>
      <c r="J61" s="163">
        <v>2236</v>
      </c>
      <c r="K61" s="163">
        <v>3886</v>
      </c>
      <c r="L61" s="163">
        <v>6317</v>
      </c>
      <c r="M61" s="163">
        <v>5436</v>
      </c>
      <c r="N61" s="164">
        <v>73.900000000000006</v>
      </c>
      <c r="O61" s="164">
        <v>58.3</v>
      </c>
      <c r="P61" s="165">
        <v>8553</v>
      </c>
      <c r="Q61" s="165">
        <v>9322</v>
      </c>
    </row>
    <row r="62" spans="1:17">
      <c r="A62" s="162" t="s">
        <v>305</v>
      </c>
      <c r="B62" s="163">
        <v>838</v>
      </c>
      <c r="C62" s="163">
        <v>1318</v>
      </c>
      <c r="D62" s="163">
        <v>2174</v>
      </c>
      <c r="E62" s="163">
        <v>2001</v>
      </c>
      <c r="F62" s="162">
        <v>72.2</v>
      </c>
      <c r="G62" s="162">
        <v>60.3</v>
      </c>
      <c r="H62" s="165">
        <v>3012</v>
      </c>
      <c r="I62" s="165">
        <v>3319</v>
      </c>
      <c r="J62" s="163">
        <v>3692</v>
      </c>
      <c r="K62" s="163">
        <v>5856</v>
      </c>
      <c r="L62" s="163">
        <v>8684</v>
      </c>
      <c r="M62" s="163">
        <v>9907</v>
      </c>
      <c r="N62" s="162">
        <v>70.2</v>
      </c>
      <c r="O62" s="162">
        <v>62.8</v>
      </c>
      <c r="P62" s="165">
        <v>12376</v>
      </c>
      <c r="Q62" s="165">
        <v>15763</v>
      </c>
    </row>
    <row r="63" spans="1:17">
      <c r="A63" s="162" t="s">
        <v>1210</v>
      </c>
      <c r="B63" s="163">
        <v>0</v>
      </c>
      <c r="C63" s="163">
        <v>0</v>
      </c>
      <c r="D63" s="163">
        <v>0</v>
      </c>
      <c r="E63" s="163">
        <v>7</v>
      </c>
      <c r="F63" s="162">
        <v>0</v>
      </c>
      <c r="G63" s="162">
        <v>100</v>
      </c>
      <c r="H63" s="165">
        <v>0</v>
      </c>
      <c r="I63" s="165">
        <v>7</v>
      </c>
      <c r="J63" s="163">
        <v>0</v>
      </c>
      <c r="K63" s="163">
        <v>0</v>
      </c>
      <c r="L63" s="163">
        <v>0</v>
      </c>
      <c r="M63" s="163">
        <v>7</v>
      </c>
      <c r="N63" s="162">
        <v>0</v>
      </c>
      <c r="O63" s="162">
        <v>100</v>
      </c>
      <c r="P63" s="165">
        <v>0</v>
      </c>
      <c r="Q63" s="165">
        <v>7</v>
      </c>
    </row>
    <row r="64" spans="1:17">
      <c r="A64" s="162" t="s">
        <v>306</v>
      </c>
      <c r="B64" s="163">
        <v>6</v>
      </c>
      <c r="C64" s="163">
        <v>16</v>
      </c>
      <c r="D64" s="163">
        <v>17</v>
      </c>
      <c r="E64" s="163">
        <v>6</v>
      </c>
      <c r="F64" s="162">
        <v>73.900000000000006</v>
      </c>
      <c r="G64" s="162">
        <v>27.3</v>
      </c>
      <c r="H64" s="165">
        <v>23</v>
      </c>
      <c r="I64" s="165">
        <v>22</v>
      </c>
      <c r="J64" s="163">
        <v>21</v>
      </c>
      <c r="K64" s="163">
        <v>29</v>
      </c>
      <c r="L64" s="163">
        <v>35</v>
      </c>
      <c r="M64" s="163">
        <v>30</v>
      </c>
      <c r="N64" s="162">
        <v>62.5</v>
      </c>
      <c r="O64" s="162">
        <v>50.8</v>
      </c>
      <c r="P64" s="165">
        <v>56</v>
      </c>
      <c r="Q64" s="165">
        <v>59</v>
      </c>
    </row>
    <row r="65" spans="1:17">
      <c r="A65" s="162" t="s">
        <v>477</v>
      </c>
      <c r="B65" s="163">
        <f>SUBTOTAL(109,getAggFysJur[antalFysiska])</f>
        <v>7157</v>
      </c>
      <c r="C65" s="163">
        <f>SUBTOTAL(109,getAggFysJur[antalFysiskaFG])</f>
        <v>10978</v>
      </c>
      <c r="D65" s="163">
        <f>SUBTOTAL(109,getAggFysJur[antalJuridiska])</f>
        <v>13429</v>
      </c>
      <c r="E65" s="163">
        <f>SUBTOTAL(109,getAggFysJur[antalJuridiskaFG])</f>
        <v>10964</v>
      </c>
      <c r="F65" s="164">
        <f>IF(getAggFysJur[[#Totals],[totalPerioden]] &gt; 0,( getAggFysJur[[#Totals],[antalJuridiska]]  ) / getAggFysJur[[#Totals],[totalPerioden]] * 100,0)</f>
        <v>65.233653939570573</v>
      </c>
      <c r="G65" s="164">
        <f>IF(getAggFysJur[[#Totals],[totalPeriodenFG]] &gt; 0,( getAggFysJur[[#Totals],[antalJuridiskaFG]] ) / getAggFysJur[[#Totals],[totalPeriodenFG]] * 100,0)</f>
        <v>49.968097712150218</v>
      </c>
      <c r="H65" s="165">
        <f>SUBTOTAL(109,getAggFysJur[totalPerioden])</f>
        <v>20586</v>
      </c>
      <c r="I65" s="165">
        <f>SUBTOTAL(109,getAggFysJur[totalPeriodenFG])</f>
        <v>21942</v>
      </c>
      <c r="J65" s="163">
        <f>SUBTOTAL(109,getAggFysJur[antalFysiskaAret])</f>
        <v>28686</v>
      </c>
      <c r="K65" s="163">
        <f>SUBTOTAL(109,getAggFysJur[antalFysiskaAretFG])</f>
        <v>44932</v>
      </c>
      <c r="L65" s="163">
        <f>SUBTOTAL(109,getAggFysJur[antalJuridiskaAret])</f>
        <v>55204</v>
      </c>
      <c r="M65" s="163">
        <f>SUBTOTAL(109,getAggFysJur[antalJuridiskaAretFG])</f>
        <v>46749</v>
      </c>
      <c r="N65" s="164">
        <f>IF(getAggFysJur[[#Totals],[totalAret]] &gt; 0,( getAggFysJur[[#Totals],[antalJuridiskaAret]] ) / getAggFysJur[[#Totals],[totalAret]] * 100,0)</f>
        <v>65.805221122899042</v>
      </c>
      <c r="O65" s="164">
        <f>IF(getAggFysJur[[#Totals],[totalAretFG]] &gt; 0,( getAggFysJur[[#Totals],[antalJuridiskaAretFG]] ) / getAggFysJur[[#Totals],[totalAretFG]] * 100,0)</f>
        <v>50.990935962740366</v>
      </c>
      <c r="P65" s="165">
        <f>SUBTOTAL(109,getAggFysJur[totalAret])</f>
        <v>83890</v>
      </c>
      <c r="Q65" s="165">
        <f>SUBTOTAL(109,getAggFysJur[totalAretFG])</f>
        <v>91681</v>
      </c>
    </row>
    <row r="66" spans="1:17">
      <c r="B66" s="163"/>
      <c r="C66" s="163"/>
      <c r="D66" s="163"/>
      <c r="E66" s="163"/>
      <c r="F66" s="162"/>
      <c r="G66" s="162"/>
      <c r="H66" s="165"/>
      <c r="I66" s="165"/>
      <c r="J66" s="163"/>
      <c r="K66" s="163"/>
      <c r="L66" s="163"/>
      <c r="M66" s="163"/>
      <c r="N66" s="162"/>
      <c r="O66" s="162"/>
      <c r="P66" s="165"/>
      <c r="Q66" s="165"/>
    </row>
    <row r="67" spans="1:17">
      <c r="A67" s="27"/>
      <c r="B67" s="27"/>
      <c r="C67" s="27"/>
      <c r="D67" s="27"/>
      <c r="E67" s="27"/>
      <c r="F67" s="27"/>
      <c r="G67" s="27"/>
      <c r="H67" s="42"/>
      <c r="I67" s="42"/>
      <c r="J67" s="27"/>
      <c r="K67" s="27"/>
      <c r="L67" s="27"/>
      <c r="M67" s="27"/>
      <c r="N67" s="27"/>
      <c r="O67" s="27"/>
      <c r="P67" s="42"/>
      <c r="Q67" s="42"/>
    </row>
    <row r="68" spans="1:17">
      <c r="A68" s="27"/>
      <c r="B68" s="27"/>
      <c r="C68" s="27"/>
      <c r="D68" s="27"/>
      <c r="E68" s="27"/>
      <c r="F68" s="27"/>
      <c r="G68" s="27"/>
      <c r="H68" s="42"/>
      <c r="I68" s="42"/>
      <c r="J68" s="27"/>
      <c r="K68" s="27"/>
      <c r="L68" s="27"/>
      <c r="M68" s="27"/>
      <c r="N68" s="27"/>
      <c r="O68" s="27"/>
      <c r="P68" s="42"/>
      <c r="Q68" s="42"/>
    </row>
    <row r="69" spans="1:17">
      <c r="A69" s="27" t="s">
        <v>707</v>
      </c>
      <c r="B69" s="27"/>
      <c r="C69" s="27"/>
      <c r="D69" s="27"/>
      <c r="E69" s="27"/>
      <c r="F69" s="27"/>
      <c r="G69" s="27"/>
      <c r="H69" s="42"/>
      <c r="I69" s="42"/>
      <c r="J69" s="27"/>
      <c r="K69" s="27"/>
      <c r="L69" s="27"/>
      <c r="M69" s="27"/>
      <c r="N69" s="27"/>
      <c r="O69" s="27"/>
      <c r="P69" s="42"/>
      <c r="Q69" s="42"/>
    </row>
    <row r="70" spans="1:17">
      <c r="A70" s="27"/>
      <c r="B70" s="27"/>
      <c r="C70" s="27"/>
      <c r="D70" s="27"/>
      <c r="E70" s="27"/>
      <c r="F70" s="27"/>
      <c r="G70" s="27"/>
      <c r="H70" s="42"/>
      <c r="I70" s="42"/>
      <c r="J70" s="27"/>
      <c r="K70" s="27"/>
      <c r="L70" s="27"/>
      <c r="M70" s="27"/>
      <c r="N70" s="27"/>
      <c r="O70" s="27"/>
      <c r="P70" s="42"/>
      <c r="Q70" s="42"/>
    </row>
    <row r="71" spans="1:17">
      <c r="A71" s="27"/>
      <c r="B71" s="27"/>
      <c r="C71" s="27"/>
      <c r="D71" s="27"/>
      <c r="E71" s="27"/>
      <c r="F71" s="27"/>
      <c r="G71" s="27"/>
      <c r="H71" s="42"/>
      <c r="I71" s="42"/>
      <c r="J71" s="27"/>
      <c r="K71" s="27"/>
      <c r="L71" s="27"/>
      <c r="M71" s="27"/>
      <c r="N71" s="27"/>
      <c r="O71" s="27"/>
      <c r="P71" s="42"/>
      <c r="Q71" s="42"/>
    </row>
    <row r="72" spans="1:17">
      <c r="A72" s="27"/>
      <c r="B72" s="27"/>
      <c r="C72" s="27"/>
      <c r="D72" s="27"/>
      <c r="E72" s="27"/>
      <c r="F72" s="27"/>
      <c r="G72" s="27"/>
      <c r="H72" s="42"/>
      <c r="I72" s="42"/>
      <c r="J72" s="27"/>
      <c r="K72" s="27"/>
      <c r="L72" s="27"/>
      <c r="M72" s="27"/>
      <c r="N72" s="27"/>
      <c r="O72" s="27"/>
      <c r="P72" s="42"/>
      <c r="Q72" s="42"/>
    </row>
    <row r="73" spans="1:17">
      <c r="A73" s="27"/>
      <c r="B73" s="27"/>
      <c r="C73" s="27"/>
      <c r="D73" s="27"/>
      <c r="E73" s="27"/>
      <c r="F73" s="27"/>
      <c r="G73" s="27"/>
      <c r="H73" s="42"/>
      <c r="I73" s="42"/>
      <c r="J73" s="27"/>
      <c r="K73" s="27"/>
      <c r="L73" s="27"/>
      <c r="M73" s="27"/>
      <c r="N73" s="27"/>
      <c r="O73" s="27"/>
      <c r="P73" s="42"/>
      <c r="Q73" s="42"/>
    </row>
    <row r="74" spans="1:17">
      <c r="A74" s="27"/>
      <c r="B74" s="27"/>
      <c r="C74" s="27"/>
      <c r="D74" s="27"/>
      <c r="E74" s="27"/>
      <c r="F74" s="27"/>
      <c r="G74" s="27"/>
      <c r="H74" s="42"/>
      <c r="I74" s="42"/>
      <c r="J74" s="27"/>
      <c r="K74" s="27"/>
      <c r="L74" s="27"/>
      <c r="M74" s="27"/>
      <c r="N74" s="27"/>
      <c r="O74" s="27"/>
      <c r="P74" s="42"/>
      <c r="Q74" s="42"/>
    </row>
    <row r="75" spans="1:17">
      <c r="A75" s="27"/>
      <c r="B75" s="27"/>
      <c r="C75" s="27"/>
      <c r="D75" s="27"/>
      <c r="E75" s="27"/>
      <c r="F75" s="27"/>
      <c r="G75" s="27"/>
      <c r="H75" s="42"/>
      <c r="I75" s="42"/>
      <c r="J75" s="27"/>
      <c r="K75" s="27"/>
      <c r="L75" s="27"/>
      <c r="M75" s="27"/>
      <c r="N75" s="27"/>
      <c r="O75" s="27"/>
      <c r="P75" s="42"/>
      <c r="Q75" s="42"/>
    </row>
    <row r="76" spans="1:17">
      <c r="A76" s="27"/>
      <c r="B76" s="27"/>
      <c r="C76" s="27"/>
      <c r="D76" s="27"/>
      <c r="E76" s="27"/>
      <c r="F76" s="27"/>
      <c r="G76" s="27"/>
      <c r="H76" s="42"/>
      <c r="I76" s="42"/>
      <c r="J76" s="27"/>
      <c r="K76" s="27"/>
      <c r="L76" s="27"/>
      <c r="M76" s="27"/>
      <c r="N76" s="27"/>
      <c r="O76" s="27"/>
      <c r="P76" s="42"/>
      <c r="Q76" s="42"/>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heetViews>
  <sheetFormatPr baseColWidth="10" defaultColWidth="8.83203125" defaultRowHeight="15"/>
  <cols>
    <col min="1" max="1" width="21.33203125" customWidth="1"/>
    <col min="2" max="5" width="15.6640625" style="5" customWidth="1"/>
    <col min="6" max="7" width="15.6640625" customWidth="1"/>
    <col min="8" max="9" width="13.1640625" style="9" customWidth="1"/>
  </cols>
  <sheetData>
    <row r="1" spans="1:9">
      <c r="B1"/>
      <c r="C1"/>
      <c r="D1"/>
      <c r="E1"/>
      <c r="H1"/>
      <c r="I1"/>
    </row>
    <row r="2" spans="1:9" ht="19.25" customHeight="1" thickBot="1">
      <c r="C2" s="60" t="s">
        <v>487</v>
      </c>
      <c r="D2" s="60"/>
      <c r="E2" s="60"/>
      <c r="F2" s="60"/>
      <c r="H2"/>
      <c r="I2"/>
    </row>
    <row r="4" spans="1:9">
      <c r="A4" s="27"/>
      <c r="B4" s="66"/>
      <c r="C4" s="66"/>
      <c r="D4" s="66"/>
      <c r="E4" s="243" t="s">
        <v>475</v>
      </c>
      <c r="F4" s="243"/>
      <c r="G4" s="243"/>
      <c r="H4" s="27"/>
    </row>
    <row r="5" spans="1:9">
      <c r="A5" s="117"/>
      <c r="B5" s="263" t="s">
        <v>562</v>
      </c>
      <c r="C5" s="264"/>
      <c r="D5" s="263" t="s">
        <v>562</v>
      </c>
      <c r="E5" s="264"/>
      <c r="F5" s="287" t="s">
        <v>563</v>
      </c>
      <c r="G5" s="288"/>
      <c r="H5" s="63"/>
    </row>
    <row r="6" spans="1:9">
      <c r="A6" s="117" t="s">
        <v>488</v>
      </c>
      <c r="B6" s="118" t="str">
        <f>Innehåll!D79</f>
        <v xml:space="preserve"> 2023-04</v>
      </c>
      <c r="C6" s="118" t="str">
        <f>Innehåll!D80</f>
        <v xml:space="preserve"> 2022-04</v>
      </c>
      <c r="D6" s="118" t="str">
        <f>Innehåll!D81</f>
        <v>YTD  2023</v>
      </c>
      <c r="E6" s="118" t="str">
        <f>Innehåll!D82</f>
        <v>YTD  2022</v>
      </c>
      <c r="F6" s="145" t="str">
        <f>D6</f>
        <v>YTD  2023</v>
      </c>
      <c r="G6" s="132" t="str">
        <f>E6</f>
        <v>YTD  2022</v>
      </c>
      <c r="H6" s="63"/>
    </row>
    <row r="7" spans="1:9" hidden="1">
      <c r="A7" s="169" t="s">
        <v>340</v>
      </c>
      <c r="B7" s="163" t="s">
        <v>319</v>
      </c>
      <c r="C7" s="163" t="s">
        <v>339</v>
      </c>
      <c r="D7" s="163" t="s">
        <v>337</v>
      </c>
      <c r="E7" s="163" t="s">
        <v>338</v>
      </c>
      <c r="F7" s="162" t="s">
        <v>406</v>
      </c>
      <c r="G7" s="162" t="s">
        <v>407</v>
      </c>
      <c r="H7" s="27"/>
      <c r="I7"/>
    </row>
    <row r="8" spans="1:9">
      <c r="A8" s="170" t="s">
        <v>602</v>
      </c>
      <c r="B8" s="163">
        <v>3203</v>
      </c>
      <c r="C8" s="163">
        <v>2954</v>
      </c>
      <c r="D8" s="163">
        <v>12196</v>
      </c>
      <c r="E8" s="163">
        <v>11063</v>
      </c>
      <c r="F8" s="171">
        <v>8.4292484766418418</v>
      </c>
      <c r="G8" s="171">
        <v>10.24134502395372</v>
      </c>
      <c r="H8" s="27"/>
      <c r="I8"/>
    </row>
    <row r="9" spans="1:9">
      <c r="A9" s="172" t="s">
        <v>341</v>
      </c>
      <c r="B9" s="173">
        <v>9</v>
      </c>
      <c r="C9" s="173">
        <v>15</v>
      </c>
      <c r="D9" s="173">
        <v>61</v>
      </c>
      <c r="E9" s="173">
        <v>65</v>
      </c>
      <c r="F9" s="174">
        <v>-40</v>
      </c>
      <c r="G9" s="174">
        <v>-6.1538461538461542</v>
      </c>
      <c r="H9" s="27"/>
      <c r="I9"/>
    </row>
    <row r="10" spans="1:9">
      <c r="A10" s="170" t="s">
        <v>342</v>
      </c>
      <c r="B10" s="163">
        <v>20</v>
      </c>
      <c r="C10" s="64">
        <v>20</v>
      </c>
      <c r="D10" s="64">
        <v>92</v>
      </c>
      <c r="E10" s="64">
        <v>83</v>
      </c>
      <c r="F10" s="171">
        <v>0</v>
      </c>
      <c r="G10" s="171">
        <v>10.843373493975903</v>
      </c>
      <c r="H10" s="27"/>
      <c r="I10"/>
    </row>
    <row r="11" spans="1:9">
      <c r="A11" s="172" t="s">
        <v>603</v>
      </c>
      <c r="B11" s="173">
        <v>514</v>
      </c>
      <c r="C11" s="173">
        <v>478</v>
      </c>
      <c r="D11" s="173">
        <v>2116</v>
      </c>
      <c r="E11" s="173">
        <v>1614</v>
      </c>
      <c r="F11" s="174">
        <v>7.5313807531380759</v>
      </c>
      <c r="G11" s="174">
        <v>31.10285006195787</v>
      </c>
      <c r="H11" s="27"/>
      <c r="I11"/>
    </row>
    <row r="12" spans="1:9">
      <c r="A12" s="175" t="s">
        <v>477</v>
      </c>
      <c r="B12" s="176">
        <v>3746</v>
      </c>
      <c r="C12" s="177">
        <v>3467</v>
      </c>
      <c r="D12" s="177">
        <v>14465</v>
      </c>
      <c r="E12" s="177">
        <v>12825</v>
      </c>
      <c r="F12" s="178">
        <v>8.0473031439284686</v>
      </c>
      <c r="G12" s="179">
        <v>12.787524366471734</v>
      </c>
      <c r="H12" s="27"/>
      <c r="I12"/>
    </row>
    <row r="13" spans="1:9">
      <c r="A13" s="27"/>
      <c r="B13" s="66"/>
      <c r="C13" s="66"/>
      <c r="D13" s="66"/>
      <c r="E13" s="66"/>
      <c r="F13" s="27"/>
      <c r="G13" s="27"/>
      <c r="H13" s="63"/>
    </row>
    <row r="14" spans="1:9">
      <c r="A14" s="27"/>
      <c r="B14" s="66"/>
      <c r="C14" s="66"/>
      <c r="D14" s="66"/>
      <c r="E14" s="66"/>
      <c r="F14" s="27"/>
      <c r="G14" s="27"/>
      <c r="H14" s="63"/>
    </row>
    <row r="15" spans="1:9">
      <c r="A15" s="27" t="s">
        <v>707</v>
      </c>
      <c r="B15" s="66"/>
      <c r="C15" s="66"/>
      <c r="D15" s="66"/>
      <c r="E15" s="66"/>
      <c r="F15" s="27"/>
      <c r="G15" s="27"/>
      <c r="H15" s="63"/>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V20" sqref="V20"/>
    </sheetView>
  </sheetViews>
  <sheetFormatPr baseColWidth="10" defaultColWidth="8.83203125" defaultRowHeight="15"/>
  <sheetData>
    <row r="2" spans="2:21" ht="18" thickBot="1">
      <c r="B2" s="3" t="s">
        <v>1</v>
      </c>
      <c r="C2" s="3"/>
      <c r="D2" s="3"/>
    </row>
    <row r="3" spans="2:21" ht="19.25" customHeight="1" thickTop="1" thickBot="1">
      <c r="P3" s="27"/>
      <c r="Q3" s="72" t="s">
        <v>15</v>
      </c>
      <c r="R3" s="72"/>
      <c r="S3" s="72"/>
      <c r="T3" s="72"/>
      <c r="U3" s="127"/>
    </row>
    <row r="4" spans="2:21">
      <c r="P4" s="27"/>
      <c r="Q4" s="27"/>
      <c r="R4" s="27"/>
      <c r="S4" s="27"/>
      <c r="T4" s="27"/>
      <c r="U4" s="27"/>
    </row>
    <row r="5" spans="2:21" ht="16" thickBot="1">
      <c r="P5" s="27"/>
      <c r="Q5" s="20" t="s">
        <v>478</v>
      </c>
      <c r="R5" s="26">
        <v>2021</v>
      </c>
      <c r="S5" s="26">
        <v>2022</v>
      </c>
      <c r="T5" s="26">
        <v>2023</v>
      </c>
      <c r="U5" s="27"/>
    </row>
    <row r="6" spans="2:21">
      <c r="P6" s="27"/>
      <c r="Q6" s="17" t="s">
        <v>2</v>
      </c>
      <c r="R6" s="27">
        <v>2149</v>
      </c>
      <c r="S6" s="27">
        <v>2074</v>
      </c>
      <c r="T6" s="27">
        <v>2356</v>
      </c>
      <c r="U6" s="27"/>
    </row>
    <row r="7" spans="2:21">
      <c r="P7" s="27"/>
      <c r="Q7" s="17" t="s">
        <v>3</v>
      </c>
      <c r="R7" s="27">
        <v>2814</v>
      </c>
      <c r="S7" s="27">
        <v>2592</v>
      </c>
      <c r="T7" s="27">
        <v>2983</v>
      </c>
      <c r="U7" s="27"/>
    </row>
    <row r="8" spans="2:21">
      <c r="P8" s="27"/>
      <c r="Q8" s="17" t="s">
        <v>4</v>
      </c>
      <c r="R8" s="27">
        <v>8680</v>
      </c>
      <c r="S8" s="27">
        <v>3443</v>
      </c>
      <c r="T8" s="27">
        <v>3654</v>
      </c>
      <c r="U8" s="27"/>
    </row>
    <row r="9" spans="2:21">
      <c r="P9" s="27"/>
      <c r="Q9" s="17" t="s">
        <v>5</v>
      </c>
      <c r="R9" s="27">
        <v>1906</v>
      </c>
      <c r="S9" s="27">
        <v>2954</v>
      </c>
      <c r="T9" s="27">
        <v>3203</v>
      </c>
      <c r="U9" s="27"/>
    </row>
    <row r="10" spans="2:21">
      <c r="P10" s="27"/>
      <c r="Q10" s="17" t="s">
        <v>6</v>
      </c>
      <c r="R10" s="27">
        <v>2788</v>
      </c>
      <c r="S10" s="27">
        <v>2983</v>
      </c>
      <c r="T10" s="27"/>
      <c r="U10" s="27"/>
    </row>
    <row r="11" spans="2:21">
      <c r="P11" s="27"/>
      <c r="Q11" s="17" t="s">
        <v>7</v>
      </c>
      <c r="R11" s="27">
        <v>3139</v>
      </c>
      <c r="S11" s="27">
        <v>2605</v>
      </c>
      <c r="T11" s="27"/>
      <c r="U11" s="27"/>
    </row>
    <row r="12" spans="2:21">
      <c r="P12" s="27"/>
      <c r="Q12" s="17" t="s">
        <v>8</v>
      </c>
      <c r="R12" s="27">
        <v>1548</v>
      </c>
      <c r="S12" s="27">
        <v>1533</v>
      </c>
      <c r="T12" s="27"/>
      <c r="U12" s="27"/>
    </row>
    <row r="13" spans="2:21">
      <c r="P13" s="27"/>
      <c r="Q13" s="17" t="s">
        <v>9</v>
      </c>
      <c r="R13" s="27">
        <v>2631</v>
      </c>
      <c r="S13" s="27">
        <v>3065</v>
      </c>
      <c r="T13" s="27"/>
      <c r="U13" s="27"/>
    </row>
    <row r="14" spans="2:21">
      <c r="P14" s="27"/>
      <c r="Q14" s="17" t="s">
        <v>10</v>
      </c>
      <c r="R14" s="27">
        <v>2973</v>
      </c>
      <c r="S14" s="27">
        <v>3276</v>
      </c>
      <c r="T14" s="27"/>
      <c r="U14" s="27"/>
    </row>
    <row r="15" spans="2:21">
      <c r="P15" s="27"/>
      <c r="Q15" s="17" t="s">
        <v>11</v>
      </c>
      <c r="R15" s="27">
        <v>2401</v>
      </c>
      <c r="S15" s="27">
        <v>2572</v>
      </c>
      <c r="T15" s="27"/>
      <c r="U15" s="27"/>
    </row>
    <row r="16" spans="2:21">
      <c r="P16" s="27"/>
      <c r="Q16" s="17" t="s">
        <v>12</v>
      </c>
      <c r="R16" s="27">
        <v>2420</v>
      </c>
      <c r="S16" s="27">
        <v>3367</v>
      </c>
      <c r="T16" s="27"/>
      <c r="U16" s="27"/>
    </row>
    <row r="17" spans="16:21">
      <c r="P17" s="27"/>
      <c r="Q17" s="28" t="s">
        <v>13</v>
      </c>
      <c r="R17" s="29">
        <v>2787</v>
      </c>
      <c r="S17" s="29">
        <v>4052</v>
      </c>
      <c r="T17" s="29"/>
      <c r="U17" s="27"/>
    </row>
    <row r="18" spans="16:21">
      <c r="P18" s="27"/>
      <c r="Q18" s="42" t="s">
        <v>561</v>
      </c>
      <c r="R18" s="27">
        <f>SUMIF(T6:T17,"&gt;0",R6:R17)</f>
        <v>15549</v>
      </c>
      <c r="S18" s="27">
        <f>SUMIF(T6:T17,"&gt;0",S6:S17)</f>
        <v>11063</v>
      </c>
      <c r="T18" s="66">
        <f>SUM(T6:T17)</f>
        <v>12196</v>
      </c>
      <c r="U18" s="27"/>
    </row>
    <row r="19" spans="16:21">
      <c r="P19" s="27"/>
      <c r="Q19" s="101" t="s">
        <v>560</v>
      </c>
      <c r="R19" s="66">
        <f>SUM(R6:R17)</f>
        <v>36236</v>
      </c>
      <c r="S19" s="66">
        <f>SUM(S6:S17)</f>
        <v>34516</v>
      </c>
      <c r="T19" s="66"/>
      <c r="U19" s="27"/>
    </row>
    <row r="20" spans="16:21">
      <c r="P20" s="44"/>
      <c r="Q20" s="27"/>
      <c r="R20" s="27"/>
      <c r="S20" s="27"/>
      <c r="T20" s="27"/>
      <c r="U20" s="27"/>
    </row>
    <row r="21" spans="16:21">
      <c r="P21" s="27"/>
      <c r="Q21" s="27"/>
      <c r="R21" s="27"/>
      <c r="S21" s="27"/>
      <c r="T21" s="27"/>
      <c r="U21" s="27"/>
    </row>
    <row r="22" spans="16:21">
      <c r="P22" s="27"/>
      <c r="Q22" s="27"/>
      <c r="R22" s="27"/>
      <c r="S22" s="27"/>
      <c r="T22" s="27"/>
      <c r="U22" s="27"/>
    </row>
    <row r="23" spans="16:21">
      <c r="P23" s="27"/>
      <c r="Q23" s="68" t="s">
        <v>475</v>
      </c>
      <c r="R23" s="27"/>
      <c r="S23" s="27"/>
      <c r="T23" s="27"/>
      <c r="U23" s="27"/>
    </row>
    <row r="24" spans="16:21">
      <c r="P24" s="27"/>
      <c r="Q24" s="27"/>
      <c r="R24" s="27"/>
      <c r="S24" s="27"/>
      <c r="T24" s="27"/>
      <c r="U24" s="27"/>
    </row>
    <row r="34" spans="17:23">
      <c r="Q34" s="27"/>
      <c r="R34" s="27"/>
      <c r="S34" s="27"/>
      <c r="T34" s="27"/>
      <c r="U34" s="27"/>
      <c r="V34" s="27"/>
      <c r="W34" s="27"/>
    </row>
    <row r="35" spans="17:23" ht="19.25" customHeight="1" thickBot="1">
      <c r="Q35" s="72" t="s">
        <v>308</v>
      </c>
      <c r="R35" s="72"/>
      <c r="S35" s="72"/>
      <c r="T35" s="72"/>
      <c r="U35" s="72"/>
      <c r="V35" s="72"/>
      <c r="W35" s="127"/>
    </row>
    <row r="36" spans="17:23">
      <c r="Q36" s="27"/>
      <c r="R36" s="27"/>
      <c r="S36" s="27"/>
      <c r="T36" s="27"/>
      <c r="U36" s="27"/>
      <c r="V36" s="27"/>
      <c r="W36" s="27"/>
    </row>
    <row r="37" spans="17:23">
      <c r="Q37" s="102" t="s">
        <v>461</v>
      </c>
      <c r="R37" s="63">
        <v>-3.4899953466728708</v>
      </c>
      <c r="S37" s="27"/>
      <c r="T37" s="27"/>
      <c r="U37" s="27"/>
      <c r="V37" s="27"/>
      <c r="W37" s="27"/>
    </row>
    <row r="38" spans="17:23">
      <c r="Q38" s="102" t="s">
        <v>528</v>
      </c>
      <c r="R38" s="63">
        <v>46.333853354134163</v>
      </c>
      <c r="S38" s="27"/>
      <c r="T38" s="27"/>
      <c r="U38" s="27"/>
      <c r="V38" s="27"/>
      <c r="W38" s="27"/>
    </row>
    <row r="39" spans="17:23">
      <c r="Q39" s="102" t="s">
        <v>588</v>
      </c>
      <c r="R39" s="63">
        <v>239.72602739726025</v>
      </c>
      <c r="S39" s="27"/>
      <c r="T39" s="27"/>
      <c r="U39" s="27"/>
      <c r="V39" s="27"/>
      <c r="W39" s="27"/>
    </row>
    <row r="40" spans="17:23">
      <c r="Q40" s="102" t="s">
        <v>605</v>
      </c>
      <c r="R40" s="63">
        <v>-23.29979879275654</v>
      </c>
      <c r="S40" s="27"/>
      <c r="T40" s="27"/>
      <c r="U40" s="27"/>
      <c r="V40" s="27"/>
      <c r="W40" s="27"/>
    </row>
    <row r="41" spans="17:23">
      <c r="Q41" s="102" t="s">
        <v>619</v>
      </c>
      <c r="R41" s="63">
        <v>32.572515454113173</v>
      </c>
      <c r="S41" s="27"/>
      <c r="T41" s="27"/>
      <c r="U41" s="27"/>
      <c r="V41" s="27"/>
      <c r="W41" s="27"/>
    </row>
    <row r="42" spans="17:23">
      <c r="Q42" s="102" t="s">
        <v>626</v>
      </c>
      <c r="R42" s="63">
        <v>40.133928571428577</v>
      </c>
      <c r="S42" s="27"/>
      <c r="T42" s="27"/>
      <c r="U42" s="27"/>
      <c r="V42" s="27"/>
      <c r="W42" s="27"/>
    </row>
    <row r="43" spans="17:23">
      <c r="Q43" s="102" t="s">
        <v>631</v>
      </c>
      <c r="R43" s="63">
        <v>-5.3789731051344738</v>
      </c>
      <c r="S43" s="27"/>
      <c r="T43" s="27"/>
      <c r="U43" s="27"/>
      <c r="V43" s="27"/>
      <c r="W43" s="27"/>
    </row>
    <row r="44" spans="17:23">
      <c r="Q44" s="102" t="s">
        <v>633</v>
      </c>
      <c r="R44" s="63">
        <v>-8.6775425199583474</v>
      </c>
      <c r="S44" s="27"/>
      <c r="T44" s="27"/>
      <c r="U44" s="27"/>
      <c r="V44" s="27"/>
      <c r="W44" s="27"/>
    </row>
    <row r="45" spans="17:23">
      <c r="Q45" s="102" t="s">
        <v>641</v>
      </c>
      <c r="R45" s="63">
        <v>-17.324805339265851</v>
      </c>
      <c r="S45" s="27"/>
      <c r="T45" s="27"/>
      <c r="U45" s="27"/>
      <c r="V45" s="27"/>
      <c r="W45" s="27"/>
    </row>
    <row r="46" spans="17:23">
      <c r="Q46" s="102" t="s">
        <v>660</v>
      </c>
      <c r="R46" s="63">
        <v>-27.242424242424239</v>
      </c>
      <c r="S46" s="27"/>
      <c r="T46" s="27"/>
      <c r="U46" s="27"/>
      <c r="V46" s="27"/>
      <c r="W46" s="27"/>
    </row>
    <row r="47" spans="17:23">
      <c r="Q47" s="102" t="s">
        <v>669</v>
      </c>
      <c r="R47" s="63">
        <v>-22.708399872245288</v>
      </c>
      <c r="S47" s="27"/>
      <c r="T47" s="27"/>
      <c r="U47" s="27"/>
      <c r="V47" s="27"/>
      <c r="W47" s="27"/>
    </row>
    <row r="48" spans="17:23">
      <c r="Q48" s="102" t="s">
        <v>678</v>
      </c>
      <c r="R48" s="63">
        <v>-30.185370741482963</v>
      </c>
      <c r="S48" s="27"/>
      <c r="T48" s="27"/>
      <c r="U48" s="27"/>
      <c r="V48" s="27"/>
      <c r="W48" s="27"/>
    </row>
    <row r="49" spans="17:23">
      <c r="Q49" s="102" t="s">
        <v>687</v>
      </c>
      <c r="R49" s="63">
        <f>((S6-R6)/R6)*100</f>
        <v>-3.4899953466728708</v>
      </c>
      <c r="S49" s="27"/>
      <c r="T49" s="27"/>
      <c r="U49" s="27"/>
      <c r="V49" s="27"/>
      <c r="W49" s="27"/>
    </row>
    <row r="50" spans="17:23">
      <c r="Q50" s="102" t="s">
        <v>702</v>
      </c>
      <c r="R50" s="63">
        <f t="shared" ref="R50:R60" si="0">((S7-R7)/R7)*100</f>
        <v>-7.8891257995735611</v>
      </c>
      <c r="S50" s="27"/>
      <c r="T50" s="27"/>
      <c r="U50" s="27"/>
      <c r="V50" s="27"/>
      <c r="W50" s="27"/>
    </row>
    <row r="51" spans="17:23">
      <c r="Q51" s="102" t="s">
        <v>721</v>
      </c>
      <c r="R51" s="63">
        <f t="shared" si="0"/>
        <v>-60.334101382488484</v>
      </c>
      <c r="S51" s="27"/>
      <c r="T51" s="27"/>
      <c r="U51" s="27"/>
      <c r="V51" s="27"/>
      <c r="W51" s="27"/>
    </row>
    <row r="52" spans="17:23">
      <c r="Q52" s="102" t="s">
        <v>730</v>
      </c>
      <c r="R52" s="63">
        <f t="shared" si="0"/>
        <v>54.984260230849948</v>
      </c>
      <c r="S52" s="27"/>
      <c r="T52" s="27"/>
      <c r="U52" s="27"/>
      <c r="V52" s="27"/>
      <c r="W52" s="27"/>
    </row>
    <row r="53" spans="17:23">
      <c r="Q53" s="102" t="s">
        <v>736</v>
      </c>
      <c r="R53" s="63">
        <f t="shared" si="0"/>
        <v>6.9942611190817789</v>
      </c>
      <c r="S53" s="27"/>
      <c r="T53" s="27"/>
      <c r="U53" s="27"/>
      <c r="V53" s="27"/>
      <c r="W53" s="27"/>
    </row>
    <row r="54" spans="17:23">
      <c r="Q54" s="102" t="s">
        <v>739</v>
      </c>
      <c r="R54" s="63">
        <f t="shared" si="0"/>
        <v>-17.011787193373689</v>
      </c>
      <c r="S54" s="27"/>
      <c r="T54" s="27"/>
      <c r="U54" s="27"/>
      <c r="V54" s="27"/>
      <c r="W54" s="27"/>
    </row>
    <row r="55" spans="17:23">
      <c r="Q55" s="102" t="s">
        <v>1018</v>
      </c>
      <c r="R55" s="63">
        <f t="shared" si="0"/>
        <v>-0.96899224806201545</v>
      </c>
      <c r="S55" s="27"/>
      <c r="T55" s="27"/>
      <c r="U55" s="27"/>
      <c r="V55" s="27"/>
      <c r="W55" s="27"/>
    </row>
    <row r="56" spans="17:23">
      <c r="Q56" s="102" t="s">
        <v>1026</v>
      </c>
      <c r="R56" s="63">
        <f t="shared" si="0"/>
        <v>16.495629038388447</v>
      </c>
      <c r="S56" s="27"/>
      <c r="T56" s="27"/>
      <c r="U56" s="27"/>
      <c r="V56" s="27"/>
      <c r="W56" s="27"/>
    </row>
    <row r="57" spans="17:23">
      <c r="Q57" s="102" t="s">
        <v>1042</v>
      </c>
      <c r="R57" s="63">
        <f t="shared" si="0"/>
        <v>10.191725529767911</v>
      </c>
      <c r="S57" s="27"/>
      <c r="T57" s="27"/>
      <c r="U57" s="27"/>
      <c r="V57" s="27"/>
      <c r="W57" s="27"/>
    </row>
    <row r="58" spans="17:23">
      <c r="Q58" s="102" t="s">
        <v>1052</v>
      </c>
      <c r="R58" s="63">
        <f t="shared" si="0"/>
        <v>7.1220324864639739</v>
      </c>
      <c r="S58" s="27"/>
      <c r="T58" s="27"/>
      <c r="U58" s="27"/>
      <c r="V58" s="27"/>
      <c r="W58" s="27"/>
    </row>
    <row r="59" spans="17:23">
      <c r="Q59" s="102" t="s">
        <v>1064</v>
      </c>
      <c r="R59" s="63">
        <f t="shared" si="0"/>
        <v>39.132231404958681</v>
      </c>
      <c r="S59" s="27"/>
      <c r="T59" s="27"/>
      <c r="U59" s="27"/>
      <c r="V59" s="27"/>
      <c r="W59" s="27"/>
    </row>
    <row r="60" spans="17:23">
      <c r="Q60" s="102" t="s">
        <v>1080</v>
      </c>
      <c r="R60" s="63">
        <f t="shared" si="0"/>
        <v>45.389307499102976</v>
      </c>
      <c r="S60" s="27"/>
      <c r="T60" s="27"/>
      <c r="U60" s="27"/>
      <c r="V60" s="27"/>
      <c r="W60" s="27"/>
    </row>
    <row r="61" spans="17:23">
      <c r="Q61" s="102" t="s">
        <v>1108</v>
      </c>
      <c r="R61" s="63">
        <f>((T6-S6)/S6)*100</f>
        <v>13.596914175506269</v>
      </c>
      <c r="S61" s="27"/>
      <c r="T61" s="27"/>
      <c r="U61" s="27"/>
      <c r="V61" s="27"/>
      <c r="W61" s="27"/>
    </row>
    <row r="62" spans="17:23">
      <c r="Q62" s="102" t="s">
        <v>1145</v>
      </c>
      <c r="R62" s="63">
        <f>((T7-S7)/S7)*100</f>
        <v>15.084876543209877</v>
      </c>
      <c r="S62" s="27"/>
      <c r="T62" s="27"/>
      <c r="U62" s="27"/>
      <c r="V62" s="27"/>
      <c r="W62" s="27"/>
    </row>
    <row r="63" spans="17:23">
      <c r="Q63" s="102" t="s">
        <v>1180</v>
      </c>
      <c r="R63" s="63">
        <f>((T8-S8)/S8)*100</f>
        <v>6.1283764159163523</v>
      </c>
      <c r="S63" s="27"/>
      <c r="T63" s="27"/>
      <c r="U63" s="27"/>
      <c r="V63" s="27"/>
      <c r="W63" s="27"/>
    </row>
    <row r="64" spans="17:23">
      <c r="Q64" s="102" t="s">
        <v>1218</v>
      </c>
      <c r="R64" s="63">
        <f>((T9-S9)/S9)*100</f>
        <v>8.4292484766418418</v>
      </c>
      <c r="S64" s="27"/>
      <c r="T64" s="27"/>
      <c r="U64" s="27"/>
      <c r="V64" s="27"/>
      <c r="W64" s="27"/>
    </row>
    <row r="65" spans="1:23">
      <c r="A65" s="27" t="s">
        <v>707</v>
      </c>
      <c r="Q65" s="102"/>
      <c r="R65" s="63"/>
      <c r="S65" s="27"/>
      <c r="T65" s="27"/>
      <c r="U65" s="27"/>
      <c r="V65" s="27"/>
      <c r="W65" s="27"/>
    </row>
    <row r="66" spans="1:23">
      <c r="Q66" s="102"/>
      <c r="R66" s="63"/>
      <c r="S66" s="27"/>
      <c r="T66" s="27"/>
      <c r="U66" s="27"/>
      <c r="V66" s="27"/>
      <c r="W66" s="27"/>
    </row>
    <row r="67" spans="1:23">
      <c r="Q67" s="102"/>
      <c r="R67" s="63"/>
      <c r="S67" s="27"/>
      <c r="T67" s="27"/>
      <c r="U67" s="27"/>
      <c r="V67" s="27"/>
      <c r="W67" s="27"/>
    </row>
    <row r="68" spans="1:23">
      <c r="Q68" s="102"/>
      <c r="R68" s="63"/>
      <c r="S68" s="27"/>
      <c r="T68" s="27"/>
      <c r="U68" s="27"/>
      <c r="V68" s="27"/>
      <c r="W68" s="27"/>
    </row>
    <row r="69" spans="1:23">
      <c r="Q69" s="102"/>
      <c r="R69" s="63"/>
      <c r="S69" s="27"/>
      <c r="T69" s="27"/>
      <c r="U69" s="27"/>
      <c r="V69" s="27"/>
      <c r="W69" s="27"/>
    </row>
    <row r="70" spans="1:23">
      <c r="R70" s="63"/>
      <c r="S70" s="27"/>
      <c r="T70" s="27"/>
      <c r="U70" s="27"/>
      <c r="V70" s="27"/>
      <c r="W70" s="27"/>
    </row>
    <row r="71" spans="1:23">
      <c r="S71" s="27"/>
      <c r="T71" s="27"/>
      <c r="U71" s="27"/>
      <c r="V71" s="27"/>
      <c r="W71" s="27"/>
    </row>
    <row r="72" spans="1:23">
      <c r="S72" s="27"/>
      <c r="T72" s="27"/>
      <c r="U72" s="27"/>
      <c r="V72" s="27"/>
      <c r="W72" s="27"/>
    </row>
    <row r="73" spans="1:23">
      <c r="Q73" s="27"/>
      <c r="R73" s="63"/>
      <c r="S73" s="27"/>
      <c r="T73" s="27"/>
      <c r="U73" s="27"/>
      <c r="V73" s="27"/>
      <c r="W73" s="27"/>
    </row>
    <row r="74" spans="1:23">
      <c r="Q74" s="102"/>
      <c r="R74" s="63"/>
      <c r="S74" s="27"/>
      <c r="T74" s="27"/>
      <c r="U74" s="27"/>
      <c r="V74" s="27"/>
      <c r="W74" s="27"/>
    </row>
    <row r="75" spans="1:23">
      <c r="Q75" s="102"/>
      <c r="R75" s="63"/>
      <c r="S75" s="27"/>
      <c r="T75" s="27"/>
      <c r="U75" s="27"/>
      <c r="V75" s="27"/>
      <c r="W75" s="27"/>
    </row>
    <row r="76" spans="1:23">
      <c r="Q76" s="102"/>
      <c r="R76" s="63"/>
      <c r="S76" s="27"/>
      <c r="T76" s="27"/>
      <c r="U76" s="27"/>
      <c r="V76" s="27"/>
      <c r="W76" s="27"/>
    </row>
    <row r="77" spans="1:23">
      <c r="Q77" s="102"/>
      <c r="R77" s="63"/>
      <c r="S77" s="27"/>
      <c r="T77" s="27"/>
      <c r="U77" s="27"/>
      <c r="V77" s="27"/>
      <c r="W77" s="27"/>
    </row>
    <row r="78" spans="1:23">
      <c r="Q78" s="102"/>
      <c r="R78" s="63"/>
      <c r="S78" s="27"/>
      <c r="T78" s="27"/>
      <c r="U78" s="27"/>
      <c r="V78" s="27"/>
      <c r="W78" s="27"/>
    </row>
    <row r="79" spans="1:23">
      <c r="Q79" s="102"/>
      <c r="R79" s="63"/>
      <c r="S79" s="27"/>
      <c r="T79" s="27"/>
      <c r="U79" s="27"/>
      <c r="V79" s="27"/>
      <c r="W79" s="27"/>
    </row>
    <row r="80" spans="1:23">
      <c r="Q80" s="16"/>
      <c r="R80" s="9"/>
    </row>
    <row r="81" spans="17:18">
      <c r="Q81" s="16"/>
      <c r="R81" s="9"/>
    </row>
    <row r="82" spans="17:18">
      <c r="Q82" s="16"/>
      <c r="R82" s="9"/>
    </row>
    <row r="83" spans="17:18">
      <c r="Q83" s="16"/>
      <c r="R83" s="9"/>
    </row>
    <row r="84" spans="17:18">
      <c r="Q84" s="16"/>
      <c r="R84"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J8" sqref="J8"/>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60" t="s">
        <v>489</v>
      </c>
      <c r="D2" s="60"/>
      <c r="E2" s="60"/>
      <c r="F2" s="60"/>
      <c r="G2" s="60"/>
      <c r="H2" s="60"/>
    </row>
    <row r="4" spans="1:10" ht="15" customHeight="1">
      <c r="A4" s="103" t="s">
        <v>480</v>
      </c>
      <c r="B4" s="27"/>
      <c r="C4" s="27"/>
      <c r="D4" s="27"/>
      <c r="E4" s="272" t="s">
        <v>475</v>
      </c>
      <c r="F4" s="272"/>
      <c r="G4" s="272"/>
      <c r="H4" s="272"/>
      <c r="I4" s="272"/>
      <c r="J4" s="27"/>
    </row>
    <row r="5" spans="1:10">
      <c r="A5" s="117"/>
      <c r="B5" s="274" t="s">
        <v>562</v>
      </c>
      <c r="C5" s="275"/>
      <c r="D5" s="274" t="s">
        <v>562</v>
      </c>
      <c r="E5" s="275"/>
      <c r="F5" s="287" t="s">
        <v>563</v>
      </c>
      <c r="G5" s="288"/>
      <c r="H5" s="274" t="s">
        <v>564</v>
      </c>
      <c r="I5" s="275"/>
      <c r="J5" s="27"/>
    </row>
    <row r="6" spans="1:10">
      <c r="A6" s="117" t="s">
        <v>486</v>
      </c>
      <c r="B6" s="131" t="str">
        <f>Innehåll!D79</f>
        <v xml:space="preserve"> 2023-04</v>
      </c>
      <c r="C6" s="131" t="str">
        <f>Innehåll!D80</f>
        <v xml:space="preserve"> 2022-04</v>
      </c>
      <c r="D6" s="131" t="str">
        <f>Innehåll!D81</f>
        <v>YTD  2023</v>
      </c>
      <c r="E6" s="131" t="str">
        <f>Innehåll!D82</f>
        <v>YTD  2022</v>
      </c>
      <c r="F6" s="146" t="str">
        <f>B6</f>
        <v xml:space="preserve"> 2023-04</v>
      </c>
      <c r="G6" s="132" t="str">
        <f>D6</f>
        <v>YTD  2023</v>
      </c>
      <c r="H6" s="131" t="str">
        <f>D6</f>
        <v>YTD  2023</v>
      </c>
      <c r="I6" s="147" t="str">
        <f>E6</f>
        <v>YTD  2022</v>
      </c>
      <c r="J6" s="27"/>
    </row>
    <row r="7" spans="1:10" ht="15" hidden="1" customHeight="1">
      <c r="A7" s="27" t="s">
        <v>252</v>
      </c>
      <c r="B7" s="27" t="s">
        <v>35</v>
      </c>
      <c r="C7" s="27" t="s">
        <v>310</v>
      </c>
      <c r="D7" s="27" t="s">
        <v>311</v>
      </c>
      <c r="E7" s="27" t="s">
        <v>312</v>
      </c>
      <c r="F7" s="27" t="s">
        <v>313</v>
      </c>
      <c r="G7" s="27" t="s">
        <v>40</v>
      </c>
      <c r="H7" s="27" t="s">
        <v>314</v>
      </c>
      <c r="I7" s="27" t="s">
        <v>315</v>
      </c>
      <c r="J7" s="27"/>
    </row>
    <row r="8" spans="1:10">
      <c r="A8" s="27" t="s">
        <v>273</v>
      </c>
      <c r="B8" s="27">
        <v>0</v>
      </c>
      <c r="C8" s="27">
        <v>3</v>
      </c>
      <c r="D8" s="27">
        <v>9</v>
      </c>
      <c r="E8" s="27">
        <v>6</v>
      </c>
      <c r="F8" s="27">
        <v>-100</v>
      </c>
      <c r="G8" s="27">
        <v>50</v>
      </c>
      <c r="H8" s="27">
        <v>0.1</v>
      </c>
      <c r="I8" s="27">
        <v>0.1</v>
      </c>
      <c r="J8" s="27"/>
    </row>
    <row r="9" spans="1:10">
      <c r="A9" s="27" t="s">
        <v>274</v>
      </c>
      <c r="B9" s="27">
        <v>63</v>
      </c>
      <c r="C9" s="27">
        <v>117</v>
      </c>
      <c r="D9" s="27">
        <v>280</v>
      </c>
      <c r="E9" s="27">
        <v>422</v>
      </c>
      <c r="F9" s="27">
        <v>-46.2</v>
      </c>
      <c r="G9" s="27">
        <v>-33.6</v>
      </c>
      <c r="H9" s="27">
        <v>2.2999999999999998</v>
      </c>
      <c r="I9" s="27">
        <v>3.8</v>
      </c>
      <c r="J9" s="27"/>
    </row>
    <row r="10" spans="1:10">
      <c r="A10" s="27" t="s">
        <v>1141</v>
      </c>
      <c r="B10" s="27">
        <v>0</v>
      </c>
      <c r="C10" s="27">
        <v>1</v>
      </c>
      <c r="D10" s="27">
        <v>1</v>
      </c>
      <c r="E10" s="27">
        <v>2</v>
      </c>
      <c r="F10" s="27">
        <v>-100</v>
      </c>
      <c r="G10" s="27">
        <v>-50</v>
      </c>
      <c r="H10" s="27">
        <v>0</v>
      </c>
      <c r="I10" s="27">
        <v>0</v>
      </c>
      <c r="J10" s="27"/>
    </row>
    <row r="11" spans="1:10">
      <c r="A11" s="27" t="s">
        <v>276</v>
      </c>
      <c r="B11" s="27">
        <v>38</v>
      </c>
      <c r="C11" s="27">
        <v>2</v>
      </c>
      <c r="D11" s="27">
        <v>152</v>
      </c>
      <c r="E11" s="27">
        <v>56</v>
      </c>
      <c r="F11" s="27">
        <v>1800</v>
      </c>
      <c r="G11" s="27">
        <v>171.4</v>
      </c>
      <c r="H11" s="27">
        <v>1.2</v>
      </c>
      <c r="I11" s="27">
        <v>0.5</v>
      </c>
      <c r="J11" s="27"/>
    </row>
    <row r="12" spans="1:10">
      <c r="A12" s="27" t="s">
        <v>277</v>
      </c>
      <c r="B12" s="27">
        <v>516</v>
      </c>
      <c r="C12" s="27">
        <v>444</v>
      </c>
      <c r="D12" s="27">
        <v>2060</v>
      </c>
      <c r="E12" s="27">
        <v>1654</v>
      </c>
      <c r="F12" s="27">
        <v>16.2</v>
      </c>
      <c r="G12" s="27">
        <v>24.5</v>
      </c>
      <c r="H12" s="27">
        <v>16.899999999999999</v>
      </c>
      <c r="I12" s="27">
        <v>15</v>
      </c>
      <c r="J12" s="27"/>
    </row>
    <row r="13" spans="1:10">
      <c r="A13" s="27" t="s">
        <v>381</v>
      </c>
      <c r="B13" s="27">
        <v>59</v>
      </c>
      <c r="C13" s="27">
        <v>58</v>
      </c>
      <c r="D13" s="27">
        <v>262</v>
      </c>
      <c r="E13" s="27">
        <v>177</v>
      </c>
      <c r="F13" s="27">
        <v>1.7</v>
      </c>
      <c r="G13" s="27">
        <v>48</v>
      </c>
      <c r="H13" s="27">
        <v>2.1</v>
      </c>
      <c r="I13" s="27">
        <v>1.6</v>
      </c>
      <c r="J13" s="27"/>
    </row>
    <row r="14" spans="1:10">
      <c r="A14" s="27" t="s">
        <v>280</v>
      </c>
      <c r="B14" s="66">
        <v>73</v>
      </c>
      <c r="C14" s="66">
        <v>57</v>
      </c>
      <c r="D14" s="66">
        <v>329</v>
      </c>
      <c r="E14" s="66">
        <v>153</v>
      </c>
      <c r="F14" s="27">
        <v>28.1</v>
      </c>
      <c r="G14" s="27">
        <v>115</v>
      </c>
      <c r="H14" s="27">
        <v>2.7</v>
      </c>
      <c r="I14" s="27">
        <v>1.4</v>
      </c>
      <c r="J14" s="27"/>
    </row>
    <row r="15" spans="1:10">
      <c r="A15" s="27" t="s">
        <v>282</v>
      </c>
      <c r="B15" s="66">
        <v>6</v>
      </c>
      <c r="C15" s="66">
        <v>0</v>
      </c>
      <c r="D15" s="66">
        <v>7</v>
      </c>
      <c r="E15" s="66">
        <v>0</v>
      </c>
      <c r="F15" s="27">
        <v>0</v>
      </c>
      <c r="G15" s="27">
        <v>0</v>
      </c>
      <c r="H15" s="27">
        <v>0.1</v>
      </c>
      <c r="I15" s="27">
        <v>0</v>
      </c>
      <c r="J15" s="27"/>
    </row>
    <row r="16" spans="1:10">
      <c r="A16" s="27" t="s">
        <v>1142</v>
      </c>
      <c r="B16" s="66">
        <v>0</v>
      </c>
      <c r="C16" s="66">
        <v>5</v>
      </c>
      <c r="D16" s="66">
        <v>1</v>
      </c>
      <c r="E16" s="66">
        <v>8</v>
      </c>
      <c r="F16" s="27">
        <v>-100</v>
      </c>
      <c r="G16" s="27">
        <v>-87.5</v>
      </c>
      <c r="H16" s="27">
        <v>0</v>
      </c>
      <c r="I16" s="27">
        <v>0.1</v>
      </c>
      <c r="J16" s="27"/>
    </row>
    <row r="17" spans="1:10">
      <c r="A17" s="27" t="s">
        <v>287</v>
      </c>
      <c r="B17" s="66">
        <v>7</v>
      </c>
      <c r="C17" s="66">
        <v>7</v>
      </c>
      <c r="D17" s="66">
        <v>18</v>
      </c>
      <c r="E17" s="66">
        <v>35</v>
      </c>
      <c r="F17" s="27">
        <v>0</v>
      </c>
      <c r="G17" s="27">
        <v>-48.6</v>
      </c>
      <c r="H17" s="27">
        <v>0.1</v>
      </c>
      <c r="I17" s="27">
        <v>0.3</v>
      </c>
      <c r="J17" s="27"/>
    </row>
    <row r="18" spans="1:10">
      <c r="A18" s="27" t="s">
        <v>437</v>
      </c>
      <c r="B18" s="66">
        <v>91</v>
      </c>
      <c r="C18" s="66">
        <v>24</v>
      </c>
      <c r="D18" s="66">
        <v>237</v>
      </c>
      <c r="E18" s="66">
        <v>124</v>
      </c>
      <c r="F18" s="27">
        <v>279.2</v>
      </c>
      <c r="G18" s="27">
        <v>91.1</v>
      </c>
      <c r="H18" s="27">
        <v>1.9</v>
      </c>
      <c r="I18" s="27">
        <v>1.1000000000000001</v>
      </c>
      <c r="J18" s="27"/>
    </row>
    <row r="19" spans="1:10">
      <c r="A19" s="27" t="s">
        <v>399</v>
      </c>
      <c r="B19" s="66">
        <v>429</v>
      </c>
      <c r="C19" s="66">
        <v>440</v>
      </c>
      <c r="D19" s="66">
        <v>1421</v>
      </c>
      <c r="E19" s="66">
        <v>1667</v>
      </c>
      <c r="F19" s="27">
        <v>-2.5</v>
      </c>
      <c r="G19" s="27">
        <v>-14.8</v>
      </c>
      <c r="H19" s="27">
        <v>11.7</v>
      </c>
      <c r="I19" s="27">
        <v>15.1</v>
      </c>
      <c r="J19" s="27"/>
    </row>
    <row r="20" spans="1:10">
      <c r="A20" s="27" t="s">
        <v>293</v>
      </c>
      <c r="B20" s="66">
        <v>79</v>
      </c>
      <c r="C20" s="66">
        <v>58</v>
      </c>
      <c r="D20" s="66">
        <v>337</v>
      </c>
      <c r="E20" s="66">
        <v>200</v>
      </c>
      <c r="F20" s="27">
        <v>36.200000000000003</v>
      </c>
      <c r="G20" s="27">
        <v>68.5</v>
      </c>
      <c r="H20" s="27">
        <v>2.8</v>
      </c>
      <c r="I20" s="27">
        <v>1.8</v>
      </c>
      <c r="J20" s="27"/>
    </row>
    <row r="21" spans="1:10">
      <c r="A21" s="27" t="s">
        <v>294</v>
      </c>
      <c r="B21" s="66">
        <v>134</v>
      </c>
      <c r="C21" s="66">
        <v>53</v>
      </c>
      <c r="D21" s="66">
        <v>336</v>
      </c>
      <c r="E21" s="66">
        <v>289</v>
      </c>
      <c r="F21" s="27">
        <v>152.80000000000001</v>
      </c>
      <c r="G21" s="27">
        <v>16.3</v>
      </c>
      <c r="H21" s="27">
        <v>2.8</v>
      </c>
      <c r="I21" s="27">
        <v>2.6</v>
      </c>
      <c r="J21" s="27"/>
    </row>
    <row r="22" spans="1:10">
      <c r="A22" s="27" t="s">
        <v>295</v>
      </c>
      <c r="B22" s="66">
        <v>92</v>
      </c>
      <c r="C22" s="66">
        <v>223</v>
      </c>
      <c r="D22" s="66">
        <v>935</v>
      </c>
      <c r="E22" s="66">
        <v>1287</v>
      </c>
      <c r="F22" s="27">
        <v>-58.7</v>
      </c>
      <c r="G22" s="27">
        <v>-27.4</v>
      </c>
      <c r="H22" s="27">
        <v>7.7</v>
      </c>
      <c r="I22" s="27">
        <v>11.6</v>
      </c>
      <c r="J22" s="27"/>
    </row>
    <row r="23" spans="1:10">
      <c r="A23" s="27" t="s">
        <v>1177</v>
      </c>
      <c r="B23" s="66">
        <v>3</v>
      </c>
      <c r="C23" s="66">
        <v>0</v>
      </c>
      <c r="D23" s="66">
        <v>6</v>
      </c>
      <c r="E23" s="66">
        <v>0</v>
      </c>
      <c r="F23" s="27">
        <v>0</v>
      </c>
      <c r="G23" s="27">
        <v>0</v>
      </c>
      <c r="H23" s="27">
        <v>0</v>
      </c>
      <c r="I23" s="27">
        <v>0</v>
      </c>
      <c r="J23" s="27"/>
    </row>
    <row r="24" spans="1:10">
      <c r="A24" s="27" t="s">
        <v>297</v>
      </c>
      <c r="B24" s="66">
        <v>299</v>
      </c>
      <c r="C24" s="66">
        <v>313</v>
      </c>
      <c r="D24" s="66">
        <v>1282</v>
      </c>
      <c r="E24" s="66">
        <v>1201</v>
      </c>
      <c r="F24" s="27">
        <v>-4.5</v>
      </c>
      <c r="G24" s="27">
        <v>6.7</v>
      </c>
      <c r="H24" s="27">
        <v>10.5</v>
      </c>
      <c r="I24" s="27">
        <v>10.9</v>
      </c>
      <c r="J24" s="27"/>
    </row>
    <row r="25" spans="1:10">
      <c r="A25" s="162" t="s">
        <v>301</v>
      </c>
      <c r="B25" s="163">
        <v>13</v>
      </c>
      <c r="C25" s="163">
        <v>11</v>
      </c>
      <c r="D25" s="163">
        <v>47</v>
      </c>
      <c r="E25" s="163">
        <v>89</v>
      </c>
      <c r="F25" s="164">
        <v>18.2</v>
      </c>
      <c r="G25" s="164">
        <v>-47.2</v>
      </c>
      <c r="H25" s="162">
        <v>0.4</v>
      </c>
      <c r="I25" s="162">
        <v>0.8</v>
      </c>
      <c r="J25" s="27"/>
    </row>
    <row r="26" spans="1:10">
      <c r="A26" s="162" t="s">
        <v>303</v>
      </c>
      <c r="B26" s="163">
        <v>256</v>
      </c>
      <c r="C26" s="163">
        <v>283</v>
      </c>
      <c r="D26" s="163">
        <v>887</v>
      </c>
      <c r="E26" s="163">
        <v>1120</v>
      </c>
      <c r="F26" s="162">
        <v>-9.5</v>
      </c>
      <c r="G26" s="162">
        <v>-20.8</v>
      </c>
      <c r="H26" s="162">
        <v>7.3</v>
      </c>
      <c r="I26" s="162">
        <v>10.1</v>
      </c>
      <c r="J26" s="27"/>
    </row>
    <row r="27" spans="1:10">
      <c r="A27" s="162" t="s">
        <v>304</v>
      </c>
      <c r="B27" s="163">
        <v>1038</v>
      </c>
      <c r="C27" s="163">
        <v>844</v>
      </c>
      <c r="D27" s="163">
        <v>3546</v>
      </c>
      <c r="E27" s="163">
        <v>2535</v>
      </c>
      <c r="F27" s="162">
        <v>23</v>
      </c>
      <c r="G27" s="162">
        <v>39.9</v>
      </c>
      <c r="H27" s="162">
        <v>29.1</v>
      </c>
      <c r="I27" s="162">
        <v>22.9</v>
      </c>
      <c r="J27" s="27"/>
    </row>
    <row r="28" spans="1:10">
      <c r="A28" s="162" t="s">
        <v>306</v>
      </c>
      <c r="B28" s="163">
        <v>7</v>
      </c>
      <c r="C28" s="163">
        <v>10</v>
      </c>
      <c r="D28" s="163">
        <v>43</v>
      </c>
      <c r="E28" s="163">
        <v>37</v>
      </c>
      <c r="F28" s="164">
        <v>-30</v>
      </c>
      <c r="G28" s="164">
        <v>16.2</v>
      </c>
      <c r="H28" s="162">
        <v>0.4</v>
      </c>
      <c r="I28" s="162">
        <v>0.3</v>
      </c>
      <c r="J28" s="27"/>
    </row>
    <row r="29" spans="1:10">
      <c r="A29" s="162" t="s">
        <v>477</v>
      </c>
      <c r="B29" s="163">
        <f>SUBTOTAL(109,Table_bdsql12_BDnewRegistrations_getAggMakes[antalPerioden])</f>
        <v>3203</v>
      </c>
      <c r="C29" s="163">
        <f>SUBTOTAL(109,Table_bdsql12_BDnewRegistrations_getAggMakes[antalPeriodenFG])</f>
        <v>2953</v>
      </c>
      <c r="D29" s="163">
        <f>SUBTOTAL(109,Table_bdsql12_BDnewRegistrations_getAggMakes[antalAret])</f>
        <v>12196</v>
      </c>
      <c r="E29" s="163">
        <f>SUBTOTAL(109,Table_bdsql12_BDnewRegistrations_getAggMakes[antalAretFG])</f>
        <v>11062</v>
      </c>
      <c r="F29" s="164">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8.4659668134100912</v>
      </c>
      <c r="G29" s="164">
        <f>IF(Table_bdsql12_BDnewRegistrations_getAggMakes[[#Totals],[antalAretFG]] &gt; 0,( Table_bdsql12_BDnewRegistrations_getAggMakes[[#Totals],[antalAret]] - Table_bdsql12_BDnewRegistrations_getAggMakes[[#Totals],[antalAretFG]] ) / Table_bdsql12_BDnewRegistrations_getAggMakes[[#Totals],[antalAretFG]] * 100,0)</f>
        <v>10.251310793708191</v>
      </c>
      <c r="H29" s="166" t="str">
        <f>TEXT(100,"0,0")</f>
        <v>100,0</v>
      </c>
      <c r="I29" s="166" t="str">
        <f>TEXT(100,"0,0")</f>
        <v>100,0</v>
      </c>
      <c r="J29" s="27"/>
    </row>
    <row r="30" spans="1:10">
      <c r="A30" s="162"/>
      <c r="B30" s="163"/>
      <c r="C30" s="163"/>
      <c r="D30" s="163"/>
      <c r="E30" s="163"/>
      <c r="F30" s="162"/>
      <c r="G30" s="162"/>
      <c r="H30" s="162"/>
      <c r="I30" s="162"/>
      <c r="J30" s="27"/>
    </row>
    <row r="31" spans="1:10">
      <c r="A31" s="162"/>
      <c r="B31" s="163"/>
      <c r="C31" s="163"/>
      <c r="D31" s="163"/>
      <c r="E31" s="163"/>
      <c r="F31" s="162"/>
      <c r="G31" s="162"/>
      <c r="H31" s="162"/>
      <c r="I31" s="162"/>
      <c r="J31" s="27"/>
    </row>
    <row r="32" spans="1:10">
      <c r="B32" s="27"/>
      <c r="C32" s="27"/>
      <c r="D32" s="27"/>
      <c r="E32" s="27"/>
      <c r="F32" s="27"/>
      <c r="G32" s="27"/>
      <c r="H32" s="27"/>
      <c r="I32" s="27"/>
      <c r="J32" s="27"/>
    </row>
    <row r="34" spans="1:1">
      <c r="A34" s="27" t="s">
        <v>707</v>
      </c>
    </row>
    <row r="63" spans="2:8" ht="16">
      <c r="B63" s="6"/>
      <c r="C63" s="6"/>
      <c r="D63" s="6"/>
      <c r="E63" s="6"/>
      <c r="F63" s="6"/>
      <c r="G63" s="15"/>
      <c r="H63" s="15"/>
    </row>
    <row r="64" spans="2:8">
      <c r="B64" s="6"/>
      <c r="C64" s="14"/>
      <c r="D64" s="6"/>
      <c r="E64" s="14"/>
      <c r="F64" s="6"/>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M5" sqref="M5"/>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60" t="s">
        <v>490</v>
      </c>
      <c r="D2" s="60"/>
      <c r="E2" s="60"/>
      <c r="F2" s="60"/>
      <c r="G2" s="60"/>
      <c r="H2" s="60"/>
    </row>
    <row r="4" spans="1:13">
      <c r="A4" s="64" t="s">
        <v>474</v>
      </c>
      <c r="B4" s="27"/>
      <c r="C4" s="27"/>
      <c r="D4" s="27"/>
      <c r="E4" s="27"/>
      <c r="F4" s="27"/>
      <c r="G4" s="27"/>
      <c r="H4" s="272" t="s">
        <v>475</v>
      </c>
      <c r="I4" s="272"/>
      <c r="J4" s="272"/>
      <c r="K4" s="272"/>
      <c r="L4" s="272"/>
      <c r="M4" s="27"/>
    </row>
    <row r="5" spans="1:13">
      <c r="A5" s="117"/>
      <c r="B5" s="117"/>
      <c r="C5" s="117" t="s">
        <v>562</v>
      </c>
      <c r="D5" s="117"/>
      <c r="E5" s="117" t="s">
        <v>562</v>
      </c>
      <c r="F5" s="117"/>
      <c r="G5" s="117" t="s">
        <v>563</v>
      </c>
      <c r="H5" s="117"/>
      <c r="I5" s="117" t="s">
        <v>564</v>
      </c>
      <c r="J5" s="117"/>
      <c r="K5" s="117" t="s">
        <v>564</v>
      </c>
      <c r="L5" s="117"/>
      <c r="M5" s="27"/>
    </row>
    <row r="6" spans="1:13">
      <c r="A6" s="117"/>
      <c r="B6" s="117" t="s">
        <v>491</v>
      </c>
      <c r="C6" s="117" t="str">
        <f>Innehåll!D79</f>
        <v xml:space="preserve"> 2023-04</v>
      </c>
      <c r="D6" s="117" t="str">
        <f>Innehåll!D80</f>
        <v xml:space="preserve"> 2022-04</v>
      </c>
      <c r="E6" s="117" t="str">
        <f>Innehåll!D81</f>
        <v>YTD  2023</v>
      </c>
      <c r="F6" s="117" t="str">
        <f>Innehåll!D82</f>
        <v>YTD  2022</v>
      </c>
      <c r="G6" s="117" t="str">
        <f>C6</f>
        <v xml:space="preserve"> 2023-04</v>
      </c>
      <c r="H6" s="117" t="str">
        <f>E6</f>
        <v>YTD  2023</v>
      </c>
      <c r="I6" s="117" t="str">
        <f>C6</f>
        <v xml:space="preserve"> 2023-04</v>
      </c>
      <c r="J6" s="117" t="str">
        <f>E6</f>
        <v>YTD  2023</v>
      </c>
      <c r="K6" s="117" t="str">
        <f>D6</f>
        <v xml:space="preserve"> 2022-04</v>
      </c>
      <c r="L6" s="117" t="str">
        <f>F6</f>
        <v>YTD  2022</v>
      </c>
      <c r="M6" s="27"/>
    </row>
    <row r="7" spans="1:13" ht="15" hidden="1" customHeight="1">
      <c r="A7" s="27" t="s">
        <v>33</v>
      </c>
      <c r="B7" s="27" t="s">
        <v>34</v>
      </c>
      <c r="C7" s="27" t="s">
        <v>35</v>
      </c>
      <c r="D7" s="27" t="s">
        <v>36</v>
      </c>
      <c r="E7" s="27" t="s">
        <v>37</v>
      </c>
      <c r="F7" s="27" t="s">
        <v>38</v>
      </c>
      <c r="G7" s="27" t="s">
        <v>39</v>
      </c>
      <c r="H7" s="27" t="s">
        <v>40</v>
      </c>
      <c r="I7" s="27" t="s">
        <v>41</v>
      </c>
      <c r="J7" s="27" t="s">
        <v>42</v>
      </c>
      <c r="K7" s="27" t="s">
        <v>43</v>
      </c>
      <c r="L7" s="27" t="s">
        <v>44</v>
      </c>
      <c r="M7" s="27"/>
    </row>
    <row r="8" spans="1:13">
      <c r="A8" s="27">
        <v>1</v>
      </c>
      <c r="B8" s="27" t="s">
        <v>648</v>
      </c>
      <c r="C8" s="66">
        <v>47</v>
      </c>
      <c r="D8" s="66">
        <v>20</v>
      </c>
      <c r="E8" s="66">
        <v>257</v>
      </c>
      <c r="F8" s="66">
        <v>178</v>
      </c>
      <c r="G8" s="27">
        <v>135</v>
      </c>
      <c r="H8" s="27">
        <v>44.38</v>
      </c>
      <c r="I8" s="27">
        <v>2.76</v>
      </c>
      <c r="J8" s="27">
        <v>15.09</v>
      </c>
      <c r="K8" s="27">
        <v>9.17</v>
      </c>
      <c r="L8" s="27">
        <v>16.329999999999998</v>
      </c>
      <c r="M8" s="27"/>
    </row>
    <row r="9" spans="1:13">
      <c r="A9" s="27">
        <v>2</v>
      </c>
      <c r="B9" s="27" t="s">
        <v>649</v>
      </c>
      <c r="C9" s="66">
        <v>47</v>
      </c>
      <c r="D9" s="66">
        <v>28</v>
      </c>
      <c r="E9" s="66">
        <v>234</v>
      </c>
      <c r="F9" s="66">
        <v>93</v>
      </c>
      <c r="G9" s="27">
        <v>67.86</v>
      </c>
      <c r="H9" s="27">
        <v>151.61000000000001</v>
      </c>
      <c r="I9" s="27">
        <v>2.76</v>
      </c>
      <c r="J9" s="27">
        <v>13.74</v>
      </c>
      <c r="K9" s="27">
        <v>12.84</v>
      </c>
      <c r="L9" s="27">
        <v>8.5299999999999994</v>
      </c>
      <c r="M9" s="27"/>
    </row>
    <row r="10" spans="1:13">
      <c r="A10" s="27">
        <v>3</v>
      </c>
      <c r="B10" s="27" t="s">
        <v>1050</v>
      </c>
      <c r="C10" s="66">
        <v>95</v>
      </c>
      <c r="D10" s="66">
        <v>0</v>
      </c>
      <c r="E10" s="66">
        <v>226</v>
      </c>
      <c r="F10" s="66">
        <v>0</v>
      </c>
      <c r="G10" s="27">
        <v>0</v>
      </c>
      <c r="H10" s="27">
        <v>0</v>
      </c>
      <c r="I10" s="27">
        <v>5.58</v>
      </c>
      <c r="J10" s="27">
        <v>13.27</v>
      </c>
      <c r="K10" s="27">
        <v>0</v>
      </c>
      <c r="L10" s="27">
        <v>0</v>
      </c>
      <c r="M10" s="27"/>
    </row>
    <row r="11" spans="1:13">
      <c r="A11" s="27">
        <v>4</v>
      </c>
      <c r="B11" s="27" t="s">
        <v>1049</v>
      </c>
      <c r="C11" s="66">
        <v>36</v>
      </c>
      <c r="D11" s="66">
        <v>63</v>
      </c>
      <c r="E11" s="66">
        <v>193</v>
      </c>
      <c r="F11" s="66">
        <v>244</v>
      </c>
      <c r="G11" s="27">
        <v>-42.86</v>
      </c>
      <c r="H11" s="27">
        <v>-20.9</v>
      </c>
      <c r="I11" s="27">
        <v>2.11</v>
      </c>
      <c r="J11" s="27">
        <v>11.33</v>
      </c>
      <c r="K11" s="27">
        <v>28.9</v>
      </c>
      <c r="L11" s="27">
        <v>22.39</v>
      </c>
      <c r="M11" s="27"/>
    </row>
    <row r="12" spans="1:13">
      <c r="A12" s="27">
        <v>5</v>
      </c>
      <c r="B12" s="27" t="s">
        <v>683</v>
      </c>
      <c r="C12" s="66">
        <v>62</v>
      </c>
      <c r="D12" s="66">
        <v>23</v>
      </c>
      <c r="E12" s="66">
        <v>140</v>
      </c>
      <c r="F12" s="66">
        <v>112</v>
      </c>
      <c r="G12" s="27">
        <v>169.57</v>
      </c>
      <c r="H12" s="27">
        <v>25</v>
      </c>
      <c r="I12" s="27">
        <v>3.64</v>
      </c>
      <c r="J12" s="27">
        <v>8.2200000000000006</v>
      </c>
      <c r="K12" s="27">
        <v>10.55</v>
      </c>
      <c r="L12" s="27">
        <v>10.28</v>
      </c>
      <c r="M12" s="27"/>
    </row>
    <row r="13" spans="1:13">
      <c r="A13" s="27">
        <v>6</v>
      </c>
      <c r="B13" s="27" t="s">
        <v>652</v>
      </c>
      <c r="C13" s="66">
        <v>33</v>
      </c>
      <c r="D13" s="66">
        <v>1</v>
      </c>
      <c r="E13" s="66">
        <v>91</v>
      </c>
      <c r="F13" s="66">
        <v>33</v>
      </c>
      <c r="G13" s="27">
        <v>3200</v>
      </c>
      <c r="H13" s="27">
        <v>175.76</v>
      </c>
      <c r="I13" s="27">
        <v>1.94</v>
      </c>
      <c r="J13" s="27">
        <v>5.34</v>
      </c>
      <c r="K13" s="27">
        <v>0.46</v>
      </c>
      <c r="L13" s="27">
        <v>3.03</v>
      </c>
      <c r="M13" s="27"/>
    </row>
    <row r="14" spans="1:13">
      <c r="A14" s="27">
        <v>7</v>
      </c>
      <c r="B14" s="27" t="s">
        <v>170</v>
      </c>
      <c r="C14" s="66">
        <v>11</v>
      </c>
      <c r="D14" s="66">
        <v>0</v>
      </c>
      <c r="E14" s="66">
        <v>81</v>
      </c>
      <c r="F14" s="66">
        <v>0</v>
      </c>
      <c r="G14" s="27">
        <v>0</v>
      </c>
      <c r="H14" s="27">
        <v>0</v>
      </c>
      <c r="I14" s="27">
        <v>0.65</v>
      </c>
      <c r="J14" s="27">
        <v>4.76</v>
      </c>
      <c r="K14" s="27">
        <v>0</v>
      </c>
      <c r="L14" s="27">
        <v>0</v>
      </c>
      <c r="M14" s="27"/>
    </row>
    <row r="15" spans="1:13">
      <c r="A15" s="27">
        <v>8</v>
      </c>
      <c r="B15" s="27" t="s">
        <v>684</v>
      </c>
      <c r="C15" s="66">
        <v>64</v>
      </c>
      <c r="D15" s="66">
        <v>0</v>
      </c>
      <c r="E15" s="66">
        <v>71</v>
      </c>
      <c r="F15" s="66">
        <v>33</v>
      </c>
      <c r="G15" s="65">
        <v>0</v>
      </c>
      <c r="H15" s="65">
        <v>115.15</v>
      </c>
      <c r="I15" s="27">
        <v>3.76</v>
      </c>
      <c r="J15" s="27">
        <v>4.17</v>
      </c>
      <c r="K15" s="27">
        <v>0</v>
      </c>
      <c r="L15" s="27">
        <v>3.03</v>
      </c>
      <c r="M15" s="27"/>
    </row>
    <row r="16" spans="1:13">
      <c r="A16" s="27">
        <v>9</v>
      </c>
      <c r="B16" s="27" t="s">
        <v>677</v>
      </c>
      <c r="C16" s="66">
        <v>8</v>
      </c>
      <c r="D16" s="66">
        <v>22</v>
      </c>
      <c r="E16" s="66">
        <v>68</v>
      </c>
      <c r="F16" s="66">
        <v>84</v>
      </c>
      <c r="G16" s="27">
        <v>-63.64</v>
      </c>
      <c r="H16" s="27">
        <v>-19.05</v>
      </c>
      <c r="I16" s="27">
        <v>0.47</v>
      </c>
      <c r="J16" s="27">
        <v>3.99</v>
      </c>
      <c r="K16" s="27">
        <v>10.09</v>
      </c>
      <c r="L16" s="27">
        <v>7.71</v>
      </c>
      <c r="M16" s="27"/>
    </row>
    <row r="17" spans="1:13">
      <c r="A17" s="27">
        <v>10</v>
      </c>
      <c r="B17" s="27" t="s">
        <v>651</v>
      </c>
      <c r="C17" s="66">
        <v>30</v>
      </c>
      <c r="D17" s="66">
        <v>22</v>
      </c>
      <c r="E17" s="66">
        <v>66</v>
      </c>
      <c r="F17" s="66">
        <v>36</v>
      </c>
      <c r="G17" s="84">
        <v>36.36</v>
      </c>
      <c r="H17" s="84">
        <v>83.33</v>
      </c>
      <c r="I17" s="27">
        <v>1.76</v>
      </c>
      <c r="J17" s="27">
        <v>3.88</v>
      </c>
      <c r="K17" s="27">
        <v>10.09</v>
      </c>
      <c r="L17" s="27">
        <v>3.3</v>
      </c>
      <c r="M17" s="27"/>
    </row>
    <row r="18" spans="1:13">
      <c r="A18" s="27">
        <v>11</v>
      </c>
      <c r="B18" s="27" t="s">
        <v>1103</v>
      </c>
      <c r="C18" s="66">
        <v>16</v>
      </c>
      <c r="D18" s="66">
        <v>0</v>
      </c>
      <c r="E18" s="66">
        <v>66</v>
      </c>
      <c r="F18" s="66">
        <v>0</v>
      </c>
      <c r="G18" s="65">
        <v>0</v>
      </c>
      <c r="H18" s="65">
        <v>0</v>
      </c>
      <c r="I18" s="27">
        <v>0.94</v>
      </c>
      <c r="J18" s="27">
        <v>3.88</v>
      </c>
      <c r="K18" s="27">
        <v>0</v>
      </c>
      <c r="L18" s="27">
        <v>0</v>
      </c>
      <c r="M18" s="27"/>
    </row>
    <row r="19" spans="1:13">
      <c r="A19" s="27">
        <v>12</v>
      </c>
      <c r="B19" s="27" t="s">
        <v>733</v>
      </c>
      <c r="C19" s="66">
        <v>5</v>
      </c>
      <c r="D19" s="66">
        <v>0</v>
      </c>
      <c r="E19" s="66">
        <v>48</v>
      </c>
      <c r="F19" s="66">
        <v>0</v>
      </c>
      <c r="G19" s="27">
        <v>0</v>
      </c>
      <c r="H19" s="27">
        <v>0</v>
      </c>
      <c r="I19" s="27">
        <v>0.28999999999999998</v>
      </c>
      <c r="J19" s="27">
        <v>2.82</v>
      </c>
      <c r="K19" s="27">
        <v>0</v>
      </c>
      <c r="L19" s="27">
        <v>0</v>
      </c>
      <c r="M19" s="27"/>
    </row>
    <row r="20" spans="1:13">
      <c r="A20" s="27">
        <v>13</v>
      </c>
      <c r="B20" s="27" t="s">
        <v>447</v>
      </c>
      <c r="C20" s="66">
        <v>11</v>
      </c>
      <c r="D20" s="66">
        <v>7</v>
      </c>
      <c r="E20" s="66">
        <v>39</v>
      </c>
      <c r="F20" s="66">
        <v>56</v>
      </c>
      <c r="G20" s="27">
        <v>57.14</v>
      </c>
      <c r="H20" s="27">
        <v>-30.36</v>
      </c>
      <c r="I20" s="27">
        <v>0.65</v>
      </c>
      <c r="J20" s="27">
        <v>2.29</v>
      </c>
      <c r="K20" s="27">
        <v>3.21</v>
      </c>
      <c r="L20" s="27">
        <v>5.14</v>
      </c>
      <c r="M20" s="27"/>
    </row>
    <row r="21" spans="1:13">
      <c r="A21" s="27">
        <v>14</v>
      </c>
      <c r="B21" s="27" t="s">
        <v>1017</v>
      </c>
      <c r="C21" s="66">
        <v>13</v>
      </c>
      <c r="D21" s="66">
        <v>1</v>
      </c>
      <c r="E21" s="66">
        <v>31</v>
      </c>
      <c r="F21" s="66">
        <v>10</v>
      </c>
      <c r="G21" s="27">
        <v>1200</v>
      </c>
      <c r="H21" s="27">
        <v>210</v>
      </c>
      <c r="I21" s="27">
        <v>0.76</v>
      </c>
      <c r="J21" s="27">
        <v>1.82</v>
      </c>
      <c r="K21" s="27">
        <v>0.46</v>
      </c>
      <c r="L21" s="27">
        <v>0.92</v>
      </c>
      <c r="M21" s="27"/>
    </row>
    <row r="22" spans="1:13">
      <c r="A22" s="27">
        <v>15</v>
      </c>
      <c r="B22" s="27" t="s">
        <v>1077</v>
      </c>
      <c r="C22" s="66">
        <v>1</v>
      </c>
      <c r="D22" s="66">
        <v>0</v>
      </c>
      <c r="E22" s="66">
        <v>25</v>
      </c>
      <c r="F22" s="66">
        <v>0</v>
      </c>
      <c r="G22" s="27">
        <v>0</v>
      </c>
      <c r="H22" s="27">
        <v>0</v>
      </c>
      <c r="I22" s="27">
        <v>0.06</v>
      </c>
      <c r="J22" s="27">
        <v>1.47</v>
      </c>
      <c r="K22" s="27">
        <v>0</v>
      </c>
      <c r="L22" s="27">
        <v>0</v>
      </c>
      <c r="M22" s="27"/>
    </row>
    <row r="23" spans="1:13">
      <c r="A23" s="27">
        <v>16</v>
      </c>
      <c r="B23" s="27" t="s">
        <v>460</v>
      </c>
      <c r="C23" s="66">
        <v>7</v>
      </c>
      <c r="D23" s="66">
        <v>9</v>
      </c>
      <c r="E23" s="66">
        <v>14</v>
      </c>
      <c r="F23" s="66">
        <v>29</v>
      </c>
      <c r="G23" s="27">
        <v>-22.22</v>
      </c>
      <c r="H23" s="27">
        <v>-51.72</v>
      </c>
      <c r="I23" s="27">
        <v>0.41</v>
      </c>
      <c r="J23" s="27">
        <v>0.82</v>
      </c>
      <c r="K23" s="27">
        <v>4.13</v>
      </c>
      <c r="L23" s="27">
        <v>2.66</v>
      </c>
      <c r="M23" s="27"/>
    </row>
    <row r="24" spans="1:13">
      <c r="A24" s="27">
        <v>17</v>
      </c>
      <c r="B24" s="27" t="s">
        <v>1025</v>
      </c>
      <c r="C24" s="66">
        <v>5</v>
      </c>
      <c r="D24" s="66">
        <v>0</v>
      </c>
      <c r="E24" s="66">
        <v>13</v>
      </c>
      <c r="F24" s="66">
        <v>0</v>
      </c>
      <c r="G24" s="27">
        <v>0</v>
      </c>
      <c r="H24" s="27">
        <v>0</v>
      </c>
      <c r="I24" s="27">
        <v>0.28999999999999998</v>
      </c>
      <c r="J24" s="27">
        <v>0.76</v>
      </c>
      <c r="K24" s="27">
        <v>0</v>
      </c>
      <c r="L24" s="27">
        <v>0</v>
      </c>
      <c r="M24" s="27"/>
    </row>
    <row r="25" spans="1:13">
      <c r="A25" s="27">
        <v>18</v>
      </c>
      <c r="B25" s="27" t="s">
        <v>676</v>
      </c>
      <c r="C25" s="66">
        <v>2</v>
      </c>
      <c r="D25" s="66">
        <v>11</v>
      </c>
      <c r="E25" s="66">
        <v>6</v>
      </c>
      <c r="F25" s="66">
        <v>62</v>
      </c>
      <c r="G25" s="27">
        <v>-81.819999999999993</v>
      </c>
      <c r="H25" s="27">
        <v>-90.32</v>
      </c>
      <c r="I25" s="27">
        <v>0.12</v>
      </c>
      <c r="J25" s="27">
        <v>0.35</v>
      </c>
      <c r="K25" s="27">
        <v>5.05</v>
      </c>
      <c r="L25" s="27">
        <v>5.69</v>
      </c>
      <c r="M25" s="27"/>
    </row>
    <row r="26" spans="1:13">
      <c r="A26" s="27">
        <v>19</v>
      </c>
      <c r="B26" s="27" t="s">
        <v>654</v>
      </c>
      <c r="C26" s="66">
        <v>0</v>
      </c>
      <c r="D26" s="66">
        <v>0</v>
      </c>
      <c r="E26" s="66">
        <v>4</v>
      </c>
      <c r="F26" s="66">
        <v>9</v>
      </c>
      <c r="G26" s="27">
        <v>0</v>
      </c>
      <c r="H26" s="27">
        <v>-55.56</v>
      </c>
      <c r="I26" s="27">
        <v>0</v>
      </c>
      <c r="J26" s="27">
        <v>0.23</v>
      </c>
      <c r="K26" s="27">
        <v>0</v>
      </c>
      <c r="L26" s="27">
        <v>0.83</v>
      </c>
      <c r="M26" s="27"/>
    </row>
    <row r="27" spans="1:13">
      <c r="A27" s="27">
        <v>20</v>
      </c>
      <c r="B27" s="27" t="s">
        <v>1143</v>
      </c>
      <c r="C27" s="66">
        <v>0</v>
      </c>
      <c r="D27" s="66">
        <v>0</v>
      </c>
      <c r="E27" s="66">
        <v>3</v>
      </c>
      <c r="F27" s="66">
        <v>7</v>
      </c>
      <c r="G27" s="27">
        <v>0</v>
      </c>
      <c r="H27" s="27">
        <v>-57.14</v>
      </c>
      <c r="I27" s="27">
        <v>0</v>
      </c>
      <c r="J27" s="27">
        <v>0.18</v>
      </c>
      <c r="K27" s="27">
        <v>0</v>
      </c>
      <c r="L27" s="27">
        <v>0.64</v>
      </c>
      <c r="M27" s="27"/>
    </row>
    <row r="28" spans="1:13">
      <c r="A28" s="162">
        <v>21</v>
      </c>
      <c r="B28" s="162" t="s">
        <v>1178</v>
      </c>
      <c r="C28" s="163">
        <v>0</v>
      </c>
      <c r="D28" s="163">
        <v>0</v>
      </c>
      <c r="E28" s="163">
        <v>2</v>
      </c>
      <c r="F28" s="163">
        <v>0</v>
      </c>
      <c r="G28" s="162">
        <v>0</v>
      </c>
      <c r="H28" s="162">
        <v>0</v>
      </c>
      <c r="I28" s="162">
        <v>0</v>
      </c>
      <c r="J28" s="162">
        <v>0.12</v>
      </c>
      <c r="K28" s="162">
        <v>0</v>
      </c>
      <c r="L28" s="162">
        <v>0</v>
      </c>
      <c r="M28" s="27"/>
    </row>
    <row r="29" spans="1:13">
      <c r="A29" s="162">
        <v>22</v>
      </c>
      <c r="B29" s="162" t="s">
        <v>653</v>
      </c>
      <c r="C29" s="163">
        <v>1</v>
      </c>
      <c r="D29" s="163">
        <v>3</v>
      </c>
      <c r="E29" s="163">
        <v>1</v>
      </c>
      <c r="F29" s="163">
        <v>14</v>
      </c>
      <c r="G29" s="162">
        <v>-66.67</v>
      </c>
      <c r="H29" s="162">
        <v>-92.86</v>
      </c>
      <c r="I29" s="162">
        <v>0.06</v>
      </c>
      <c r="J29" s="162">
        <v>0.06</v>
      </c>
      <c r="K29" s="162">
        <v>1.38</v>
      </c>
      <c r="L29" s="162">
        <v>1.28</v>
      </c>
      <c r="M29" s="27"/>
    </row>
    <row r="30" spans="1:13">
      <c r="A30" s="162">
        <v>23</v>
      </c>
      <c r="B30" s="162" t="s">
        <v>248</v>
      </c>
      <c r="C30" s="163">
        <v>0</v>
      </c>
      <c r="D30" s="163">
        <v>1</v>
      </c>
      <c r="E30" s="163">
        <v>0</v>
      </c>
      <c r="F30" s="163">
        <v>50</v>
      </c>
      <c r="G30" s="162">
        <v>-100</v>
      </c>
      <c r="H30" s="162">
        <v>-100</v>
      </c>
      <c r="I30" s="162">
        <v>0</v>
      </c>
      <c r="J30" s="162">
        <v>0</v>
      </c>
      <c r="K30" s="162">
        <v>0.46</v>
      </c>
      <c r="L30" s="162">
        <v>4.59</v>
      </c>
      <c r="M30" s="27"/>
    </row>
    <row r="31" spans="1:13">
      <c r="A31" s="162">
        <v>24</v>
      </c>
      <c r="B31" s="162" t="s">
        <v>650</v>
      </c>
      <c r="C31" s="163">
        <v>0</v>
      </c>
      <c r="D31" s="163">
        <v>0</v>
      </c>
      <c r="E31" s="163">
        <v>0</v>
      </c>
      <c r="F31" s="163">
        <v>12</v>
      </c>
      <c r="G31" s="162">
        <v>0</v>
      </c>
      <c r="H31" s="162">
        <v>-100</v>
      </c>
      <c r="I31" s="162">
        <v>0</v>
      </c>
      <c r="J31" s="162">
        <v>0</v>
      </c>
      <c r="K31" s="162">
        <v>0</v>
      </c>
      <c r="L31" s="162">
        <v>1.1000000000000001</v>
      </c>
      <c r="M31" s="27"/>
    </row>
    <row r="32" spans="1:13">
      <c r="A32" s="162">
        <v>25</v>
      </c>
      <c r="B32" s="162" t="s">
        <v>527</v>
      </c>
      <c r="C32" s="163">
        <v>0</v>
      </c>
      <c r="D32" s="163">
        <v>0</v>
      </c>
      <c r="E32" s="163">
        <v>0</v>
      </c>
      <c r="F32" s="163">
        <v>2</v>
      </c>
      <c r="G32" s="167">
        <v>0</v>
      </c>
      <c r="H32" s="167">
        <v>-100</v>
      </c>
      <c r="I32" s="162">
        <v>0</v>
      </c>
      <c r="J32" s="162">
        <v>0</v>
      </c>
      <c r="K32" s="162">
        <v>0</v>
      </c>
      <c r="L32" s="162">
        <v>0.18</v>
      </c>
      <c r="M32" s="27"/>
    </row>
    <row r="33" spans="1:13">
      <c r="A33" s="162">
        <v>26</v>
      </c>
      <c r="B33" s="162" t="s">
        <v>1179</v>
      </c>
      <c r="C33" s="163">
        <v>0</v>
      </c>
      <c r="D33" s="163">
        <v>0</v>
      </c>
      <c r="E33" s="163">
        <v>0</v>
      </c>
      <c r="F33" s="163">
        <v>1</v>
      </c>
      <c r="G33" s="162">
        <v>0</v>
      </c>
      <c r="H33" s="162">
        <v>-100</v>
      </c>
      <c r="I33" s="162">
        <v>0</v>
      </c>
      <c r="J33" s="162">
        <v>0</v>
      </c>
      <c r="K33" s="162">
        <v>0</v>
      </c>
      <c r="L33" s="162">
        <v>0.09</v>
      </c>
      <c r="M33" s="27"/>
    </row>
    <row r="34" spans="1:13">
      <c r="A34" s="162">
        <v>27</v>
      </c>
      <c r="B34" s="162" t="s">
        <v>459</v>
      </c>
      <c r="C34" s="163">
        <v>5</v>
      </c>
      <c r="D34" s="163">
        <v>7</v>
      </c>
      <c r="E34" s="163">
        <v>24</v>
      </c>
      <c r="F34" s="163">
        <v>25</v>
      </c>
      <c r="G34" s="162">
        <v>-28.57</v>
      </c>
      <c r="H34" s="162">
        <v>-4</v>
      </c>
      <c r="I34" s="162">
        <v>0.28999999999999998</v>
      </c>
      <c r="J34" s="162">
        <v>1.41</v>
      </c>
      <c r="K34" s="162">
        <v>3.21</v>
      </c>
      <c r="L34" s="162">
        <v>2.29</v>
      </c>
    </row>
    <row r="35" spans="1:13">
      <c r="A35" s="162"/>
      <c r="B35" s="162" t="s">
        <v>477</v>
      </c>
      <c r="C35" s="163">
        <f>SUBTOTAL(109,Table_bdsql12_BDmodell_getAggModelsFuelTypeLB[antalPerioden])</f>
        <v>499</v>
      </c>
      <c r="D35" s="163">
        <f>SUBTOTAL(109,Table_bdsql12_BDmodell_getAggModelsFuelTypeLB[antalFGPeriod])</f>
        <v>218</v>
      </c>
      <c r="E35" s="163">
        <f>SUBTOTAL(109,Table_bdsql12_BDmodell_getAggModelsFuelTypeLB[antalÅret])</f>
        <v>1703</v>
      </c>
      <c r="F35" s="163">
        <f>SUBTOTAL(109,Table_bdsql12_BDmodell_getAggModelsFuelTypeLB[antalFGAr])</f>
        <v>1090</v>
      </c>
      <c r="G35" s="167">
        <f>IF(Table_bdsql12_BDmodell_getAggModelsFuelTypeLB[[#Totals],[antalFGPeriod]] &gt; 0,(Table_bdsql12_BDmodell_getAggModelsFuelTypeLB[[#Totals],[antalPerioden]] - Table_bdsql12_BDmodell_getAggModelsFuelTypeLB[[#Totals],[antalFGPeriod]]) / Table_bdsql12_BDmodell_getAggModelsFuelTypeLB[[#Totals],[antalFGPeriod]] *100,0)</f>
        <v>128.89908256880733</v>
      </c>
      <c r="H35" s="167">
        <f>IF(Table_bdsql12_BDmodell_getAggModelsFuelTypeLB[[#Totals],[antalFGAr]] &gt; 0,(Table_bdsql12_BDmodell_getAggModelsFuelTypeLB[[#Totals],[antalÅret]] - Table_bdsql12_BDmodell_getAggModelsFuelTypeLB[[#Totals],[antalFGAr]]) / Table_bdsql12_BDmodell_getAggModelsFuelTypeLB[[#Totals],[antalFGAr]] * 100,0)</f>
        <v>56.238532110091747</v>
      </c>
      <c r="I35" s="166" t="str">
        <f>TEXT(100,"0,0")</f>
        <v>100,0</v>
      </c>
      <c r="J35" s="166" t="str">
        <f>TEXT(100,"0,0")</f>
        <v>100,0</v>
      </c>
      <c r="K35" s="166" t="str">
        <f>TEXT(100,"0,0")</f>
        <v>100,0</v>
      </c>
      <c r="L35" s="166" t="str">
        <f>TEXT(100,"0,0")</f>
        <v>100,0</v>
      </c>
    </row>
    <row r="38" spans="1:13">
      <c r="A38" s="27" t="s">
        <v>707</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topLeftCell="G13" workbookViewId="0">
      <selection activeCell="U48" sqref="U48"/>
    </sheetView>
  </sheetViews>
  <sheetFormatPr baseColWidth="10" defaultColWidth="8.83203125" defaultRowHeight="15"/>
  <sheetData>
    <row r="3" spans="16:22" ht="19.25" customHeight="1" thickBot="1">
      <c r="P3" s="27"/>
      <c r="Q3" s="72" t="s">
        <v>16</v>
      </c>
      <c r="R3" s="72"/>
      <c r="S3" s="72"/>
      <c r="T3" s="72"/>
      <c r="U3" s="72"/>
      <c r="V3" s="127"/>
    </row>
    <row r="4" spans="16:22">
      <c r="P4" s="27"/>
      <c r="Q4" s="27"/>
      <c r="R4" s="27"/>
      <c r="S4" s="27"/>
      <c r="T4" s="27"/>
      <c r="U4" s="27"/>
      <c r="V4" s="27"/>
    </row>
    <row r="5" spans="16:22" ht="16" thickBot="1">
      <c r="P5" s="27"/>
      <c r="Q5" s="20" t="s">
        <v>478</v>
      </c>
      <c r="R5" s="26">
        <v>2021</v>
      </c>
      <c r="S5" s="26">
        <v>2022</v>
      </c>
      <c r="T5" s="26">
        <v>2023</v>
      </c>
      <c r="U5" s="27"/>
      <c r="V5" s="27"/>
    </row>
    <row r="6" spans="16:22">
      <c r="P6" s="27"/>
      <c r="Q6" s="17" t="s">
        <v>2</v>
      </c>
      <c r="R6" s="27">
        <v>386</v>
      </c>
      <c r="S6" s="27">
        <v>289</v>
      </c>
      <c r="T6" s="27">
        <v>455</v>
      </c>
      <c r="U6" s="27"/>
      <c r="V6" s="27"/>
    </row>
    <row r="7" spans="16:22">
      <c r="P7" s="27"/>
      <c r="Q7" s="17" t="s">
        <v>3</v>
      </c>
      <c r="R7" s="27">
        <v>465</v>
      </c>
      <c r="S7" s="27">
        <v>356</v>
      </c>
      <c r="T7" s="27">
        <v>511</v>
      </c>
      <c r="U7" s="27"/>
      <c r="V7" s="27"/>
    </row>
    <row r="8" spans="16:22">
      <c r="P8" s="27"/>
      <c r="Q8" s="17" t="s">
        <v>4</v>
      </c>
      <c r="R8" s="27">
        <v>521</v>
      </c>
      <c r="S8" s="27">
        <v>491</v>
      </c>
      <c r="T8" s="27">
        <v>636</v>
      </c>
      <c r="U8" s="27"/>
      <c r="V8" s="27"/>
    </row>
    <row r="9" spans="16:22">
      <c r="P9" s="27"/>
      <c r="Q9" s="17" t="s">
        <v>5</v>
      </c>
      <c r="R9" s="27">
        <v>526</v>
      </c>
      <c r="S9" s="27">
        <v>478</v>
      </c>
      <c r="T9" s="27">
        <v>514</v>
      </c>
      <c r="U9" s="27"/>
      <c r="V9" s="27"/>
    </row>
    <row r="10" spans="16:22">
      <c r="P10" s="27"/>
      <c r="Q10" s="17" t="s">
        <v>6</v>
      </c>
      <c r="R10" s="27">
        <v>491</v>
      </c>
      <c r="S10" s="27">
        <v>510</v>
      </c>
      <c r="T10" s="27"/>
      <c r="U10" s="27"/>
      <c r="V10" s="27"/>
    </row>
    <row r="11" spans="16:22">
      <c r="P11" s="27"/>
      <c r="Q11" s="17" t="s">
        <v>7</v>
      </c>
      <c r="R11" s="27">
        <v>504</v>
      </c>
      <c r="S11" s="27">
        <v>498</v>
      </c>
      <c r="T11" s="27"/>
      <c r="U11" s="27"/>
      <c r="V11" s="27"/>
    </row>
    <row r="12" spans="16:22">
      <c r="P12" s="27"/>
      <c r="Q12" s="17" t="s">
        <v>8</v>
      </c>
      <c r="R12" s="27">
        <v>292</v>
      </c>
      <c r="S12" s="27">
        <v>227</v>
      </c>
      <c r="T12" s="27"/>
      <c r="U12" s="27"/>
      <c r="V12" s="27"/>
    </row>
    <row r="13" spans="16:22">
      <c r="P13" s="27"/>
      <c r="Q13" s="17" t="s">
        <v>9</v>
      </c>
      <c r="R13" s="27">
        <v>370</v>
      </c>
      <c r="S13" s="27">
        <v>399</v>
      </c>
      <c r="T13" s="27"/>
      <c r="U13" s="27"/>
      <c r="V13" s="27"/>
    </row>
    <row r="14" spans="16:22">
      <c r="P14" s="27"/>
      <c r="Q14" s="17" t="s">
        <v>10</v>
      </c>
      <c r="R14" s="27">
        <v>408</v>
      </c>
      <c r="S14" s="27">
        <v>543</v>
      </c>
      <c r="T14" s="27"/>
      <c r="U14" s="27"/>
      <c r="V14" s="27"/>
    </row>
    <row r="15" spans="16:22">
      <c r="P15" s="27"/>
      <c r="Q15" s="17" t="s">
        <v>11</v>
      </c>
      <c r="R15" s="27">
        <v>409</v>
      </c>
      <c r="S15" s="27">
        <v>508</v>
      </c>
      <c r="T15" s="27"/>
      <c r="U15" s="27"/>
      <c r="V15" s="27"/>
    </row>
    <row r="16" spans="16:22">
      <c r="P16" s="27"/>
      <c r="Q16" s="17" t="s">
        <v>12</v>
      </c>
      <c r="R16" s="27">
        <v>390</v>
      </c>
      <c r="S16" s="27">
        <v>575</v>
      </c>
      <c r="T16" s="27"/>
      <c r="U16" s="27"/>
      <c r="V16" s="27"/>
    </row>
    <row r="17" spans="16:22">
      <c r="P17" s="27"/>
      <c r="Q17" s="28" t="s">
        <v>13</v>
      </c>
      <c r="R17" s="29">
        <v>541</v>
      </c>
      <c r="S17" s="29">
        <v>618</v>
      </c>
      <c r="T17" s="29"/>
      <c r="U17" s="27"/>
      <c r="V17" s="27"/>
    </row>
    <row r="18" spans="16:22">
      <c r="P18" s="27"/>
      <c r="Q18" s="22" t="s">
        <v>561</v>
      </c>
      <c r="R18" s="24">
        <f>SUMIF(T6:T17,"&gt;0",R6:R17)</f>
        <v>1898</v>
      </c>
      <c r="S18" s="24">
        <f>SUMIF(T6:T17,"&gt;0",S6:S17)</f>
        <v>1614</v>
      </c>
      <c r="T18" s="24">
        <f>SUM(T6:T17)</f>
        <v>2116</v>
      </c>
      <c r="U18" s="27"/>
      <c r="V18" s="27"/>
    </row>
    <row r="19" spans="16:22">
      <c r="P19" s="27"/>
      <c r="Q19" s="23" t="s">
        <v>560</v>
      </c>
      <c r="R19" s="24">
        <f>SUM(R6:R17)</f>
        <v>5303</v>
      </c>
      <c r="S19" s="24">
        <f>SUM(S6:S17)</f>
        <v>5492</v>
      </c>
      <c r="T19" s="24"/>
      <c r="U19" s="27"/>
      <c r="V19" s="27"/>
    </row>
    <row r="20" spans="16:22">
      <c r="P20" s="27"/>
      <c r="Q20" s="27"/>
      <c r="R20" s="27"/>
      <c r="S20" s="27"/>
      <c r="T20" s="27"/>
      <c r="U20" s="27"/>
      <c r="V20" s="27"/>
    </row>
    <row r="21" spans="16:22">
      <c r="P21" s="27"/>
      <c r="Q21" s="27"/>
      <c r="R21" s="27"/>
      <c r="S21" s="27"/>
      <c r="T21" s="27"/>
      <c r="U21" s="27"/>
      <c r="V21" s="27"/>
    </row>
    <row r="22" spans="16:22">
      <c r="P22" s="27"/>
      <c r="Q22" s="27"/>
      <c r="R22" s="27"/>
      <c r="S22" s="27"/>
      <c r="T22" s="27"/>
      <c r="U22" s="27"/>
      <c r="V22" s="27"/>
    </row>
    <row r="23" spans="16:22">
      <c r="P23" s="27"/>
      <c r="Q23" s="68" t="s">
        <v>475</v>
      </c>
      <c r="R23" s="27"/>
      <c r="S23" s="27"/>
      <c r="T23" s="27"/>
      <c r="U23" s="27"/>
      <c r="V23" s="27"/>
    </row>
    <row r="24" spans="16:22">
      <c r="P24" s="27"/>
      <c r="Q24" s="27"/>
      <c r="R24" s="27"/>
      <c r="S24" s="27"/>
      <c r="T24" s="27"/>
      <c r="U24" s="27"/>
      <c r="V24" s="27"/>
    </row>
    <row r="25" spans="16:22">
      <c r="P25" s="27"/>
      <c r="Q25" s="27"/>
      <c r="R25" s="27"/>
      <c r="S25" s="27"/>
      <c r="T25" s="27"/>
      <c r="U25" s="27"/>
      <c r="V25" s="27"/>
    </row>
    <row r="35" spans="16:24" ht="19.25" customHeight="1" thickBot="1">
      <c r="P35" s="27"/>
      <c r="Q35" s="72" t="s">
        <v>309</v>
      </c>
      <c r="R35" s="72"/>
      <c r="S35" s="72"/>
      <c r="T35" s="72"/>
      <c r="U35" s="72"/>
      <c r="V35" s="72"/>
      <c r="W35" s="72"/>
      <c r="X35" s="127"/>
    </row>
    <row r="36" spans="16:24">
      <c r="P36" s="27"/>
      <c r="Q36" s="27"/>
      <c r="R36" s="27"/>
      <c r="S36" s="27"/>
      <c r="T36" s="27"/>
      <c r="U36" s="27"/>
      <c r="V36" s="27"/>
      <c r="W36" s="27"/>
      <c r="X36" s="27"/>
    </row>
    <row r="37" spans="16:24">
      <c r="P37" s="27"/>
      <c r="Q37" s="104" t="s">
        <v>461</v>
      </c>
      <c r="R37" s="63">
        <v>-8.0952380952380949</v>
      </c>
      <c r="S37" s="27"/>
      <c r="T37" s="27"/>
      <c r="U37" s="27"/>
      <c r="V37" s="27"/>
      <c r="W37" s="27"/>
      <c r="X37" s="27"/>
    </row>
    <row r="38" spans="16:24">
      <c r="P38" s="27"/>
      <c r="Q38" s="102" t="s">
        <v>528</v>
      </c>
      <c r="R38" s="63">
        <v>10.189573459715639</v>
      </c>
      <c r="S38" s="27"/>
      <c r="T38" s="27"/>
      <c r="U38" s="27"/>
      <c r="V38" s="27"/>
      <c r="W38" s="27"/>
      <c r="X38" s="27"/>
    </row>
    <row r="39" spans="16:24">
      <c r="P39" s="27"/>
      <c r="Q39" s="102" t="s">
        <v>588</v>
      </c>
      <c r="R39" s="63">
        <v>3.373015873015873</v>
      </c>
      <c r="S39" s="27"/>
      <c r="T39" s="27"/>
      <c r="U39" s="27"/>
      <c r="V39" s="27"/>
      <c r="W39" s="27"/>
      <c r="X39" s="27"/>
    </row>
    <row r="40" spans="16:24">
      <c r="P40" s="27"/>
      <c r="Q40" s="102" t="s">
        <v>605</v>
      </c>
      <c r="R40" s="63">
        <v>16.62971175166297</v>
      </c>
      <c r="S40" s="27"/>
      <c r="T40" s="27"/>
      <c r="U40" s="27"/>
      <c r="V40" s="27"/>
      <c r="W40" s="27"/>
      <c r="X40" s="27"/>
    </row>
    <row r="41" spans="16:24">
      <c r="P41" s="27"/>
      <c r="Q41" s="102" t="s">
        <v>619</v>
      </c>
      <c r="R41" s="63">
        <v>29.210526315789476</v>
      </c>
      <c r="S41" s="27"/>
      <c r="T41" s="27"/>
      <c r="U41" s="27"/>
      <c r="V41" s="27"/>
      <c r="W41" s="27"/>
      <c r="X41" s="27"/>
    </row>
    <row r="42" spans="16:24">
      <c r="P42" s="27"/>
      <c r="Q42" s="102" t="s">
        <v>626</v>
      </c>
      <c r="R42" s="63">
        <v>36.95652173913043</v>
      </c>
      <c r="S42" s="27"/>
      <c r="T42" s="27"/>
      <c r="U42" s="27"/>
      <c r="V42" s="27"/>
      <c r="W42" s="27"/>
      <c r="X42" s="27"/>
    </row>
    <row r="43" spans="16:24">
      <c r="P43" s="27"/>
      <c r="Q43" s="102" t="s">
        <v>631</v>
      </c>
      <c r="R43" s="63">
        <v>18.699186991869919</v>
      </c>
      <c r="S43" s="27"/>
      <c r="T43" s="27"/>
      <c r="U43" s="27"/>
      <c r="V43" s="27"/>
      <c r="W43" s="27"/>
      <c r="X43" s="27"/>
    </row>
    <row r="44" spans="16:24">
      <c r="P44" s="27"/>
      <c r="Q44" s="102" t="s">
        <v>633</v>
      </c>
      <c r="R44" s="63">
        <v>13.846153846153847</v>
      </c>
      <c r="S44" s="27"/>
      <c r="T44" s="27"/>
      <c r="U44" s="27"/>
      <c r="V44" s="27"/>
      <c r="W44" s="27"/>
      <c r="X44" s="27"/>
    </row>
    <row r="45" spans="16:24">
      <c r="P45" s="27"/>
      <c r="Q45" s="102" t="s">
        <v>641</v>
      </c>
      <c r="R45" s="63">
        <v>-9.7345132743362832</v>
      </c>
      <c r="S45" s="27"/>
      <c r="T45" s="27"/>
      <c r="U45" s="27"/>
      <c r="V45" s="27"/>
      <c r="W45" s="27"/>
      <c r="X45" s="27"/>
    </row>
    <row r="46" spans="16:24">
      <c r="P46" s="27"/>
      <c r="Q46" s="102" t="s">
        <v>660</v>
      </c>
      <c r="R46" s="63">
        <v>-13.71308016877637</v>
      </c>
      <c r="S46" s="27"/>
      <c r="T46" s="27"/>
      <c r="U46" s="27"/>
      <c r="V46" s="27"/>
      <c r="W46" s="27"/>
      <c r="X46" s="27"/>
    </row>
    <row r="47" spans="16:24">
      <c r="P47" s="27"/>
      <c r="Q47" s="102" t="s">
        <v>669</v>
      </c>
      <c r="R47" s="63">
        <v>-19.753086419753085</v>
      </c>
      <c r="S47" s="27"/>
      <c r="T47" s="27"/>
      <c r="U47" s="27"/>
      <c r="V47" s="27"/>
      <c r="W47" s="27"/>
      <c r="X47" s="27"/>
    </row>
    <row r="48" spans="16:24">
      <c r="P48" s="27"/>
      <c r="Q48" s="102" t="s">
        <v>678</v>
      </c>
      <c r="R48" s="63">
        <v>25.231481481481481</v>
      </c>
      <c r="S48" s="27"/>
      <c r="T48" s="27"/>
      <c r="U48" s="27"/>
      <c r="V48" s="27"/>
      <c r="W48" s="27"/>
      <c r="X48" s="27"/>
    </row>
    <row r="49" spans="16:24">
      <c r="P49" s="27"/>
      <c r="Q49" s="102" t="s">
        <v>687</v>
      </c>
      <c r="R49" s="63">
        <f t="shared" ref="R49:R60" si="0">((S6-R6)/R6)*100</f>
        <v>-25.129533678756477</v>
      </c>
      <c r="S49" s="27"/>
      <c r="T49" s="27"/>
      <c r="U49" s="27"/>
      <c r="V49" s="27"/>
      <c r="W49" s="27"/>
      <c r="X49" s="27"/>
    </row>
    <row r="50" spans="16:24">
      <c r="P50" s="27"/>
      <c r="Q50" s="102" t="s">
        <v>702</v>
      </c>
      <c r="R50" s="63">
        <f t="shared" si="0"/>
        <v>-23.440860215053764</v>
      </c>
      <c r="S50" s="27"/>
      <c r="T50" s="27"/>
      <c r="U50" s="27"/>
      <c r="V50" s="27"/>
      <c r="W50" s="27"/>
      <c r="X50" s="27"/>
    </row>
    <row r="51" spans="16:24">
      <c r="P51" s="27"/>
      <c r="Q51" s="102" t="s">
        <v>721</v>
      </c>
      <c r="R51" s="63">
        <f t="shared" si="0"/>
        <v>-5.7581573896353166</v>
      </c>
      <c r="S51" s="27"/>
      <c r="T51" s="27"/>
      <c r="U51" s="27"/>
      <c r="V51" s="27"/>
      <c r="W51" s="27"/>
      <c r="X51" s="27"/>
    </row>
    <row r="52" spans="16:24">
      <c r="P52" s="27"/>
      <c r="Q52" s="102" t="s">
        <v>730</v>
      </c>
      <c r="R52" s="63">
        <f t="shared" si="0"/>
        <v>-9.1254752851711025</v>
      </c>
      <c r="S52" s="27"/>
      <c r="T52" s="27"/>
      <c r="U52" s="27"/>
      <c r="V52" s="27"/>
      <c r="W52" s="27"/>
      <c r="X52" s="27"/>
    </row>
    <row r="53" spans="16:24">
      <c r="P53" s="27"/>
      <c r="Q53" s="102" t="s">
        <v>736</v>
      </c>
      <c r="R53" s="63">
        <f t="shared" si="0"/>
        <v>3.8696537678207736</v>
      </c>
      <c r="S53" s="27"/>
      <c r="T53" s="27"/>
      <c r="U53" s="27"/>
      <c r="V53" s="27"/>
      <c r="W53" s="27"/>
      <c r="X53" s="27"/>
    </row>
    <row r="54" spans="16:24">
      <c r="P54" s="27"/>
      <c r="Q54" s="102" t="s">
        <v>739</v>
      </c>
      <c r="R54" s="63">
        <f t="shared" si="0"/>
        <v>-1.1904761904761905</v>
      </c>
      <c r="S54" s="27"/>
      <c r="T54" s="27"/>
      <c r="U54" s="27"/>
      <c r="V54" s="27"/>
      <c r="W54" s="27"/>
      <c r="X54" s="27"/>
    </row>
    <row r="55" spans="16:24">
      <c r="P55" s="27"/>
      <c r="Q55" s="102" t="s">
        <v>1018</v>
      </c>
      <c r="R55" s="63">
        <f t="shared" si="0"/>
        <v>-22.260273972602739</v>
      </c>
      <c r="S55" s="27"/>
      <c r="T55" s="27"/>
      <c r="U55" s="27"/>
      <c r="V55" s="27"/>
      <c r="W55" s="27"/>
      <c r="X55" s="27"/>
    </row>
    <row r="56" spans="16:24">
      <c r="P56" s="27"/>
      <c r="Q56" s="102" t="s">
        <v>1026</v>
      </c>
      <c r="R56" s="63">
        <f t="shared" si="0"/>
        <v>7.8378378378378386</v>
      </c>
      <c r="S56" s="27"/>
      <c r="T56" s="27"/>
      <c r="U56" s="27"/>
      <c r="V56" s="27"/>
      <c r="W56" s="27"/>
      <c r="X56" s="27"/>
    </row>
    <row r="57" spans="16:24">
      <c r="P57" s="27"/>
      <c r="Q57" s="102" t="s">
        <v>1042</v>
      </c>
      <c r="R57" s="63">
        <f t="shared" si="0"/>
        <v>33.088235294117645</v>
      </c>
      <c r="S57" s="27"/>
      <c r="T57" s="27"/>
      <c r="U57" s="27"/>
      <c r="V57" s="27"/>
      <c r="W57" s="27"/>
      <c r="X57" s="27"/>
    </row>
    <row r="58" spans="16:24">
      <c r="P58" s="27"/>
      <c r="Q58" s="102" t="s">
        <v>1052</v>
      </c>
      <c r="R58" s="63">
        <f t="shared" si="0"/>
        <v>24.205378973105134</v>
      </c>
      <c r="S58" s="27"/>
      <c r="T58" s="27"/>
      <c r="U58" s="27"/>
      <c r="V58" s="27"/>
      <c r="W58" s="27"/>
      <c r="X58" s="27"/>
    </row>
    <row r="59" spans="16:24">
      <c r="P59" s="27"/>
      <c r="Q59" s="102" t="s">
        <v>1064</v>
      </c>
      <c r="R59" s="63">
        <f t="shared" si="0"/>
        <v>47.435897435897431</v>
      </c>
      <c r="S59" s="27"/>
      <c r="T59" s="27"/>
      <c r="U59" s="27"/>
      <c r="V59" s="27"/>
      <c r="W59" s="27"/>
      <c r="X59" s="27"/>
    </row>
    <row r="60" spans="16:24">
      <c r="P60" s="27"/>
      <c r="Q60" s="102" t="s">
        <v>1080</v>
      </c>
      <c r="R60" s="63">
        <f t="shared" si="0"/>
        <v>14.232902033271719</v>
      </c>
      <c r="S60" s="27"/>
      <c r="T60" s="27"/>
      <c r="U60" s="27"/>
      <c r="V60" s="27"/>
      <c r="W60" s="27"/>
      <c r="X60" s="27"/>
    </row>
    <row r="61" spans="16:24">
      <c r="P61" s="27"/>
      <c r="Q61" s="102" t="s">
        <v>1108</v>
      </c>
      <c r="R61" s="63">
        <f>((T6-S6)/S6)*100</f>
        <v>57.439446366782008</v>
      </c>
      <c r="S61" s="27"/>
      <c r="T61" s="27"/>
      <c r="U61" s="27"/>
      <c r="V61" s="27"/>
      <c r="W61" s="27"/>
      <c r="X61" s="27"/>
    </row>
    <row r="62" spans="16:24">
      <c r="P62" s="27"/>
      <c r="Q62" s="102" t="s">
        <v>1145</v>
      </c>
      <c r="R62" s="63">
        <f>((T7-S7)/S7)*100</f>
        <v>43.539325842696627</v>
      </c>
      <c r="S62" s="27"/>
      <c r="T62" s="27"/>
      <c r="U62" s="27"/>
      <c r="V62" s="27"/>
      <c r="W62" s="27"/>
      <c r="X62" s="27"/>
    </row>
    <row r="63" spans="16:24">
      <c r="P63" s="27"/>
      <c r="Q63" s="102" t="s">
        <v>1180</v>
      </c>
      <c r="R63" s="63">
        <f>((T8-S8)/S8)*100</f>
        <v>29.531568228105908</v>
      </c>
      <c r="S63" s="27"/>
      <c r="T63" s="27"/>
      <c r="U63" s="27"/>
      <c r="V63" s="27"/>
      <c r="W63" s="27"/>
      <c r="X63" s="27"/>
    </row>
    <row r="64" spans="16:24">
      <c r="P64" s="27"/>
      <c r="Q64" s="102" t="s">
        <v>1218</v>
      </c>
      <c r="R64" s="63">
        <f>((T9-S9)/S9)*100</f>
        <v>7.5313807531380759</v>
      </c>
      <c r="S64" s="27"/>
      <c r="T64" s="27"/>
      <c r="U64" s="27"/>
      <c r="V64" s="27"/>
      <c r="W64" s="27"/>
      <c r="X64" s="27"/>
    </row>
    <row r="65" spans="1:24">
      <c r="P65" s="27"/>
      <c r="Q65" s="102"/>
      <c r="R65" s="63"/>
      <c r="S65" s="27"/>
      <c r="T65" s="27"/>
      <c r="U65" s="27"/>
      <c r="V65" s="27"/>
      <c r="W65" s="27"/>
      <c r="X65" s="27"/>
    </row>
    <row r="66" spans="1:24">
      <c r="A66" s="27" t="s">
        <v>707</v>
      </c>
      <c r="P66" s="27"/>
      <c r="Q66" s="102"/>
      <c r="R66" s="63"/>
      <c r="S66" s="27"/>
      <c r="T66" s="27"/>
      <c r="U66" s="27"/>
      <c r="V66" s="27"/>
      <c r="W66" s="27"/>
      <c r="X66" s="27"/>
    </row>
    <row r="67" spans="1:24">
      <c r="P67" s="27"/>
      <c r="Q67" s="102"/>
      <c r="R67" s="63"/>
      <c r="S67" s="27"/>
      <c r="T67" s="27"/>
      <c r="U67" s="27"/>
      <c r="V67" s="27"/>
      <c r="W67" s="27"/>
      <c r="X67" s="27"/>
    </row>
    <row r="68" spans="1:24">
      <c r="P68" s="27"/>
      <c r="Q68" s="102"/>
      <c r="R68" s="63"/>
      <c r="S68" s="27"/>
      <c r="T68" s="27"/>
      <c r="U68" s="27"/>
      <c r="V68" s="27"/>
      <c r="W68" s="27"/>
      <c r="X68" s="27"/>
    </row>
    <row r="69" spans="1:24">
      <c r="P69" s="27"/>
      <c r="Q69" s="102"/>
      <c r="R69" s="63"/>
      <c r="S69" s="27"/>
      <c r="T69" s="27"/>
      <c r="U69" s="27"/>
      <c r="V69" s="27"/>
      <c r="W69" s="27"/>
      <c r="X69" s="27"/>
    </row>
    <row r="70" spans="1:24">
      <c r="P70" s="27"/>
      <c r="R70" s="63"/>
      <c r="S70" s="27"/>
      <c r="T70" s="27"/>
      <c r="U70" s="27"/>
      <c r="V70" s="27"/>
      <c r="W70" s="27"/>
      <c r="X70" s="27"/>
    </row>
    <row r="71" spans="1:24">
      <c r="P71" s="27"/>
      <c r="R71" s="63"/>
      <c r="S71" s="27"/>
      <c r="T71" s="27"/>
      <c r="U71" s="27"/>
      <c r="V71" s="27"/>
      <c r="W71" s="27"/>
      <c r="X71" s="27"/>
    </row>
    <row r="72" spans="1:24">
      <c r="P72" s="27"/>
      <c r="R72" s="63"/>
      <c r="S72" s="27"/>
      <c r="T72" s="27"/>
      <c r="U72" s="27"/>
      <c r="V72" s="27"/>
      <c r="W72" s="27"/>
      <c r="X72" s="27"/>
    </row>
    <row r="73" spans="1:24">
      <c r="P73" s="27"/>
      <c r="Q73" s="27"/>
      <c r="R73" s="63"/>
      <c r="S73" s="27"/>
      <c r="T73" s="27"/>
      <c r="U73" s="27"/>
      <c r="V73" s="27"/>
      <c r="W73" s="27"/>
      <c r="X73" s="27"/>
    </row>
    <row r="74" spans="1:24">
      <c r="P74" s="102"/>
      <c r="Q74" s="27"/>
      <c r="R74" s="63"/>
      <c r="S74" s="27"/>
      <c r="T74" s="27"/>
      <c r="U74" s="27"/>
      <c r="V74" s="27"/>
      <c r="W74" s="27"/>
      <c r="X74" s="27"/>
    </row>
    <row r="75" spans="1:24">
      <c r="P75" s="102"/>
      <c r="Q75" s="27"/>
      <c r="R75" s="63"/>
      <c r="S75" s="27"/>
      <c r="T75" s="27"/>
      <c r="U75" s="27"/>
      <c r="V75" s="27"/>
      <c r="W75" s="27"/>
      <c r="X75" s="27"/>
    </row>
    <row r="76" spans="1:24">
      <c r="P76" s="102"/>
      <c r="Q76" s="27"/>
      <c r="R76" s="63"/>
      <c r="S76" s="27"/>
      <c r="T76" s="27"/>
      <c r="U76" s="27"/>
      <c r="V76" s="27"/>
      <c r="W76" s="27"/>
      <c r="X76" s="27"/>
    </row>
    <row r="77" spans="1:24">
      <c r="P77" s="102"/>
      <c r="Q77" s="27"/>
      <c r="R77" s="63"/>
      <c r="S77" s="27"/>
      <c r="T77" s="27"/>
      <c r="U77" s="27"/>
      <c r="V77" s="27"/>
      <c r="W77" s="27"/>
      <c r="X77" s="27"/>
    </row>
    <row r="78" spans="1:24">
      <c r="P78" s="102"/>
      <c r="Q78" s="27"/>
      <c r="R78" s="63"/>
      <c r="S78" s="27"/>
      <c r="T78" s="27"/>
      <c r="U78" s="27"/>
      <c r="V78" s="27"/>
      <c r="W78" s="27"/>
      <c r="X78" s="27"/>
    </row>
    <row r="79" spans="1:24">
      <c r="P79" s="102"/>
      <c r="Q79" s="27"/>
      <c r="R79" s="63"/>
      <c r="S79" s="27"/>
      <c r="T79" s="27"/>
      <c r="U79" s="27"/>
      <c r="V79" s="27"/>
      <c r="W79" s="27"/>
      <c r="X79" s="27"/>
    </row>
    <row r="80" spans="1:24">
      <c r="P80" s="102"/>
      <c r="Q80" s="27"/>
      <c r="R80" s="63"/>
      <c r="S80" s="27"/>
      <c r="T80" s="27"/>
      <c r="U80" s="27"/>
      <c r="V80" s="27"/>
      <c r="W80" s="27"/>
      <c r="X80" s="27"/>
    </row>
    <row r="81" spans="16:24">
      <c r="P81" s="102"/>
      <c r="Q81" s="27"/>
      <c r="R81" s="63"/>
      <c r="S81" s="27"/>
      <c r="T81" s="27"/>
      <c r="U81" s="27"/>
      <c r="V81" s="27"/>
      <c r="W81" s="27"/>
      <c r="X81" s="27"/>
    </row>
    <row r="82" spans="16:24">
      <c r="P82" s="16"/>
      <c r="R82" s="9"/>
    </row>
    <row r="83" spans="16:24">
      <c r="P83" s="16"/>
      <c r="R83" s="9"/>
    </row>
    <row r="84" spans="16:24">
      <c r="P84" s="16"/>
      <c r="R84" s="9"/>
    </row>
    <row r="85" spans="16:24">
      <c r="P85" s="16"/>
      <c r="Q85" s="9"/>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J6" sqref="J6"/>
    </sheetView>
  </sheetViews>
  <sheetFormatPr baseColWidth="10" defaultColWidth="8.83203125" defaultRowHeight="15"/>
  <cols>
    <col min="1" max="1" width="21.33203125" customWidth="1"/>
    <col min="2" max="9" width="10.33203125" customWidth="1"/>
  </cols>
  <sheetData>
    <row r="2" spans="1:10" ht="19.25" customHeight="1" thickBot="1">
      <c r="B2" s="60" t="s">
        <v>492</v>
      </c>
      <c r="C2" s="60"/>
      <c r="D2" s="60"/>
      <c r="E2" s="60"/>
      <c r="F2" s="60"/>
      <c r="G2" s="60"/>
    </row>
    <row r="4" spans="1:10">
      <c r="A4" s="8" t="s">
        <v>590</v>
      </c>
      <c r="B4" s="27"/>
      <c r="C4" s="27"/>
      <c r="D4" s="27"/>
      <c r="E4" s="273" t="s">
        <v>475</v>
      </c>
      <c r="F4" s="273"/>
      <c r="G4" s="273"/>
      <c r="H4" s="273"/>
      <c r="I4" s="273"/>
      <c r="J4" s="27"/>
    </row>
    <row r="5" spans="1:10">
      <c r="A5" s="117"/>
      <c r="B5" s="117" t="s">
        <v>562</v>
      </c>
      <c r="C5" s="117"/>
      <c r="D5" s="117" t="s">
        <v>562</v>
      </c>
      <c r="E5" s="117"/>
      <c r="F5" s="117" t="s">
        <v>563</v>
      </c>
      <c r="G5" s="117"/>
      <c r="H5" s="117" t="s">
        <v>564</v>
      </c>
      <c r="I5" s="117"/>
      <c r="J5" s="27"/>
    </row>
    <row r="6" spans="1:10">
      <c r="A6" s="117" t="s">
        <v>486</v>
      </c>
      <c r="B6" s="117" t="str">
        <f>Innehåll!D79</f>
        <v xml:space="preserve"> 2023-04</v>
      </c>
      <c r="C6" s="117" t="str">
        <f>Innehåll!D80</f>
        <v xml:space="preserve"> 2022-04</v>
      </c>
      <c r="D6" s="117" t="str">
        <f>Innehåll!D81</f>
        <v>YTD  2023</v>
      </c>
      <c r="E6" s="117" t="str">
        <f>Innehåll!D82</f>
        <v>YTD  2022</v>
      </c>
      <c r="F6" s="117" t="str">
        <f>B6</f>
        <v xml:space="preserve"> 2023-04</v>
      </c>
      <c r="G6" s="117" t="str">
        <f>D6</f>
        <v>YTD  2023</v>
      </c>
      <c r="H6" s="117" t="str">
        <f>D6</f>
        <v>YTD  2023</v>
      </c>
      <c r="I6" s="117" t="str">
        <f>E6</f>
        <v>YTD  2022</v>
      </c>
      <c r="J6" s="27"/>
    </row>
    <row r="7" spans="1:10" ht="15" hidden="1" customHeight="1">
      <c r="A7" s="27" t="s">
        <v>252</v>
      </c>
      <c r="B7" s="27" t="s">
        <v>35</v>
      </c>
      <c r="C7" s="27" t="s">
        <v>310</v>
      </c>
      <c r="D7" s="27" t="s">
        <v>311</v>
      </c>
      <c r="E7" s="27" t="s">
        <v>312</v>
      </c>
      <c r="F7" s="27" t="s">
        <v>313</v>
      </c>
      <c r="G7" s="27" t="s">
        <v>40</v>
      </c>
      <c r="H7" s="27" t="s">
        <v>314</v>
      </c>
      <c r="I7" s="27" t="s">
        <v>315</v>
      </c>
      <c r="J7" s="27"/>
    </row>
    <row r="8" spans="1:10">
      <c r="A8" s="27" t="s">
        <v>316</v>
      </c>
      <c r="B8" s="66">
        <v>8</v>
      </c>
      <c r="C8" s="66">
        <v>12</v>
      </c>
      <c r="D8" s="66">
        <v>37</v>
      </c>
      <c r="E8" s="66">
        <v>24</v>
      </c>
      <c r="F8" s="27">
        <v>-33.299999999999997</v>
      </c>
      <c r="G8" s="27">
        <v>54.2</v>
      </c>
      <c r="H8" s="27">
        <v>1.7</v>
      </c>
      <c r="I8" s="27">
        <v>1.5</v>
      </c>
      <c r="J8" s="27"/>
    </row>
    <row r="9" spans="1:10">
      <c r="A9" s="27" t="s">
        <v>280</v>
      </c>
      <c r="B9" s="66">
        <v>0</v>
      </c>
      <c r="C9" s="66">
        <v>0</v>
      </c>
      <c r="D9" s="66">
        <v>1</v>
      </c>
      <c r="E9" s="66">
        <v>0</v>
      </c>
      <c r="F9" s="27">
        <v>0</v>
      </c>
      <c r="G9" s="27">
        <v>0</v>
      </c>
      <c r="H9" s="27">
        <v>0</v>
      </c>
      <c r="I9" s="27">
        <v>0</v>
      </c>
      <c r="J9" s="27"/>
    </row>
    <row r="10" spans="1:10">
      <c r="A10" s="27" t="s">
        <v>287</v>
      </c>
      <c r="B10" s="66">
        <v>16</v>
      </c>
      <c r="C10" s="66">
        <v>16</v>
      </c>
      <c r="D10" s="66">
        <v>48</v>
      </c>
      <c r="E10" s="66">
        <v>49</v>
      </c>
      <c r="F10" s="27">
        <v>0</v>
      </c>
      <c r="G10" s="27">
        <v>-2</v>
      </c>
      <c r="H10" s="27">
        <v>2.2999999999999998</v>
      </c>
      <c r="I10" s="27">
        <v>3</v>
      </c>
      <c r="J10" s="27"/>
    </row>
    <row r="11" spans="1:10">
      <c r="A11" s="27" t="s">
        <v>493</v>
      </c>
      <c r="B11" s="66">
        <v>35</v>
      </c>
      <c r="C11" s="66">
        <v>25</v>
      </c>
      <c r="D11" s="66">
        <v>157</v>
      </c>
      <c r="E11" s="66">
        <v>89</v>
      </c>
      <c r="F11" s="27">
        <v>40</v>
      </c>
      <c r="G11" s="27">
        <v>76.400000000000006</v>
      </c>
      <c r="H11" s="27">
        <v>7.4</v>
      </c>
      <c r="I11" s="27">
        <v>5.5</v>
      </c>
      <c r="J11" s="27"/>
    </row>
    <row r="12" spans="1:10">
      <c r="A12" s="27" t="s">
        <v>297</v>
      </c>
      <c r="B12" s="66">
        <v>0</v>
      </c>
      <c r="C12" s="66">
        <v>0</v>
      </c>
      <c r="D12" s="66">
        <v>0</v>
      </c>
      <c r="E12" s="66">
        <v>1</v>
      </c>
      <c r="F12" s="27">
        <v>0</v>
      </c>
      <c r="G12" s="27">
        <v>-100</v>
      </c>
      <c r="H12" s="27">
        <v>0</v>
      </c>
      <c r="I12" s="27">
        <v>0.1</v>
      </c>
      <c r="J12" s="27"/>
    </row>
    <row r="13" spans="1:10">
      <c r="A13" s="27" t="s">
        <v>494</v>
      </c>
      <c r="B13" s="66">
        <v>225</v>
      </c>
      <c r="C13" s="66">
        <v>190</v>
      </c>
      <c r="D13" s="66">
        <v>908</v>
      </c>
      <c r="E13" s="66">
        <v>680</v>
      </c>
      <c r="F13" s="27">
        <v>18.399999999999999</v>
      </c>
      <c r="G13" s="27">
        <v>33.5</v>
      </c>
      <c r="H13" s="27">
        <v>42.9</v>
      </c>
      <c r="I13" s="27">
        <v>42.1</v>
      </c>
      <c r="J13" s="27"/>
    </row>
    <row r="14" spans="1:10">
      <c r="A14" s="162" t="s">
        <v>305</v>
      </c>
      <c r="B14" s="163">
        <v>229</v>
      </c>
      <c r="C14" s="163">
        <v>232</v>
      </c>
      <c r="D14" s="163">
        <v>957</v>
      </c>
      <c r="E14" s="163">
        <v>757</v>
      </c>
      <c r="F14" s="164">
        <v>-1.3</v>
      </c>
      <c r="G14" s="164">
        <v>26.4</v>
      </c>
      <c r="H14" s="162">
        <v>45.2</v>
      </c>
      <c r="I14" s="162">
        <v>46.9</v>
      </c>
      <c r="J14" s="27"/>
    </row>
    <row r="15" spans="1:10" s="6" customFormat="1">
      <c r="A15" s="162" t="s">
        <v>306</v>
      </c>
      <c r="B15" s="163">
        <v>1</v>
      </c>
      <c r="C15" s="163">
        <v>3</v>
      </c>
      <c r="D15" s="163">
        <v>8</v>
      </c>
      <c r="E15" s="163">
        <v>14</v>
      </c>
      <c r="F15" s="164">
        <v>-66.7</v>
      </c>
      <c r="G15" s="164">
        <v>-42.9</v>
      </c>
      <c r="H15" s="162">
        <v>0.4</v>
      </c>
      <c r="I15" s="162">
        <v>0.9</v>
      </c>
      <c r="J15" s="42"/>
    </row>
    <row r="16" spans="1:10">
      <c r="A16" s="162" t="s">
        <v>477</v>
      </c>
      <c r="B16" s="163">
        <f>SUBTOTAL(109,Table_ExternalData_1[antalPerioden])</f>
        <v>514</v>
      </c>
      <c r="C16" s="163">
        <f>SUBTOTAL(109,Table_ExternalData_1[antalPeriodenFG])</f>
        <v>478</v>
      </c>
      <c r="D16" s="163">
        <f>SUBTOTAL(109,Table_ExternalData_1[antalAret])</f>
        <v>2116</v>
      </c>
      <c r="E16" s="163">
        <f>SUBTOTAL(109,Table_ExternalData_1[antalAretFG])</f>
        <v>1614</v>
      </c>
      <c r="F16" s="164">
        <f>IF(Table_ExternalData_1[[#Totals],[antalPeriodenFG]] &gt; 0,( Table_ExternalData_1[[#Totals],[antalPerioden]] - Table_ExternalData_1[[#Totals],[antalPeriodenFG]] ) / Table_ExternalData_1[[#Totals],[antalPeriodenFG]] * 100,0)</f>
        <v>7.5313807531380759</v>
      </c>
      <c r="G16" s="164">
        <f>IF(Table_ExternalData_1[[#Totals],[antalAretFG]] &gt; 0,( Table_ExternalData_1[[#Totals],[antalAret]] - Table_ExternalData_1[[#Totals],[antalAretFG]] ) / Table_ExternalData_1[[#Totals],[antalAretFG]] * 100,0)</f>
        <v>31.10285006195787</v>
      </c>
      <c r="H16" s="166" t="str">
        <f>TEXT(100,"0,0")</f>
        <v>100,0</v>
      </c>
      <c r="I16" s="166" t="str">
        <f>TEXT(100,"0,0")</f>
        <v>100,0</v>
      </c>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707</v>
      </c>
      <c r="B20" s="66"/>
      <c r="C20" s="27"/>
      <c r="D20" s="66"/>
      <c r="E20" s="27"/>
      <c r="F20" s="27"/>
      <c r="G20" s="27"/>
      <c r="H20" s="27"/>
      <c r="I20" s="27"/>
      <c r="J20" s="27"/>
    </row>
    <row r="21" spans="1:10">
      <c r="A21" s="27"/>
      <c r="B21" s="27"/>
      <c r="C21" s="27"/>
      <c r="D21" s="27"/>
      <c r="E21" s="27"/>
      <c r="F21" s="27"/>
      <c r="G21" s="27"/>
      <c r="H21" s="27"/>
      <c r="I21" s="27"/>
      <c r="J21" s="27"/>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60" t="s">
        <v>591</v>
      </c>
      <c r="D2" s="60"/>
      <c r="E2" s="60"/>
      <c r="F2" s="60"/>
    </row>
    <row r="4" spans="1:9">
      <c r="A4" s="8" t="s">
        <v>474</v>
      </c>
      <c r="B4" s="27"/>
      <c r="C4" s="27"/>
      <c r="D4" s="27"/>
      <c r="E4" s="273" t="s">
        <v>475</v>
      </c>
      <c r="F4" s="273"/>
      <c r="G4" s="273"/>
      <c r="H4" s="273"/>
      <c r="I4" s="273"/>
    </row>
    <row r="5" spans="1:9">
      <c r="A5" s="117"/>
      <c r="B5" s="276" t="s">
        <v>562</v>
      </c>
      <c r="C5" s="277"/>
      <c r="D5" s="276" t="s">
        <v>562</v>
      </c>
      <c r="E5" s="277"/>
      <c r="F5" s="287" t="s">
        <v>563</v>
      </c>
      <c r="G5" s="288"/>
      <c r="H5" s="274" t="s">
        <v>564</v>
      </c>
      <c r="I5" s="275"/>
    </row>
    <row r="6" spans="1:9">
      <c r="A6" s="117" t="s">
        <v>486</v>
      </c>
      <c r="B6" s="131" t="str">
        <f>Innehåll!D79</f>
        <v xml:space="preserve"> 2023-04</v>
      </c>
      <c r="C6" s="131" t="str">
        <f>Innehåll!D80</f>
        <v xml:space="preserve"> 2022-04</v>
      </c>
      <c r="D6" s="131" t="str">
        <f>Innehåll!D81</f>
        <v>YTD  2023</v>
      </c>
      <c r="E6" s="131" t="str">
        <f>Innehåll!D82</f>
        <v>YTD  2022</v>
      </c>
      <c r="F6" s="146" t="str">
        <f>B6</f>
        <v xml:space="preserve"> 2023-04</v>
      </c>
      <c r="G6" s="132" t="str">
        <f>D6</f>
        <v>YTD  2023</v>
      </c>
      <c r="H6" s="131" t="str">
        <f>D6</f>
        <v>YTD  2023</v>
      </c>
      <c r="I6" s="147" t="str">
        <f>E6</f>
        <v>YTD  2022</v>
      </c>
    </row>
    <row r="7" spans="1:9" ht="15" hidden="1" customHeight="1">
      <c r="A7" s="27"/>
      <c r="B7" s="27"/>
      <c r="C7" s="27"/>
      <c r="D7" s="27"/>
      <c r="E7" s="27"/>
      <c r="F7" s="27"/>
      <c r="G7" s="27"/>
      <c r="H7" s="27"/>
      <c r="I7" s="27"/>
    </row>
    <row r="8" spans="1:9" ht="15" hidden="1" customHeight="1">
      <c r="A8" s="27" t="s">
        <v>252</v>
      </c>
      <c r="B8" s="27" t="s">
        <v>35</v>
      </c>
      <c r="C8" s="27" t="s">
        <v>310</v>
      </c>
      <c r="D8" s="27" t="s">
        <v>311</v>
      </c>
      <c r="E8" s="27" t="s">
        <v>312</v>
      </c>
      <c r="F8" s="27" t="s">
        <v>313</v>
      </c>
      <c r="G8" s="27" t="s">
        <v>40</v>
      </c>
      <c r="H8" s="27" t="s">
        <v>314</v>
      </c>
      <c r="I8" s="27" t="s">
        <v>315</v>
      </c>
    </row>
    <row r="9" spans="1:9">
      <c r="A9" s="27" t="s">
        <v>305</v>
      </c>
      <c r="B9" s="66">
        <v>37</v>
      </c>
      <c r="C9" s="66">
        <v>56</v>
      </c>
      <c r="D9" s="66">
        <v>64</v>
      </c>
      <c r="E9" s="66">
        <v>61</v>
      </c>
      <c r="F9" s="63">
        <v>-33.9</v>
      </c>
      <c r="G9" s="63">
        <v>4.9000000000000004</v>
      </c>
      <c r="H9" s="63">
        <v>31.1</v>
      </c>
      <c r="I9" s="63">
        <v>33.700000000000003</v>
      </c>
    </row>
    <row r="10" spans="1:9">
      <c r="A10" s="27" t="s">
        <v>493</v>
      </c>
      <c r="B10" s="66">
        <v>16</v>
      </c>
      <c r="C10" s="66">
        <v>4</v>
      </c>
      <c r="D10" s="66">
        <v>58</v>
      </c>
      <c r="E10" s="66">
        <v>23</v>
      </c>
      <c r="F10" s="63">
        <v>300</v>
      </c>
      <c r="G10" s="63">
        <v>152.19999999999999</v>
      </c>
      <c r="H10" s="63">
        <v>28.2</v>
      </c>
      <c r="I10" s="63">
        <v>12.7</v>
      </c>
    </row>
    <row r="11" spans="1:9">
      <c r="A11" s="27" t="s">
        <v>1144</v>
      </c>
      <c r="B11" s="66">
        <v>6</v>
      </c>
      <c r="C11" s="66">
        <v>0</v>
      </c>
      <c r="D11" s="66">
        <v>26</v>
      </c>
      <c r="E11" s="66">
        <v>0</v>
      </c>
      <c r="F11" s="63">
        <v>0</v>
      </c>
      <c r="G11" s="63">
        <v>0</v>
      </c>
      <c r="H11" s="63">
        <v>12.6</v>
      </c>
      <c r="I11" s="63">
        <v>0</v>
      </c>
    </row>
    <row r="12" spans="1:9">
      <c r="A12" s="27" t="s">
        <v>498</v>
      </c>
      <c r="B12" s="66">
        <v>3</v>
      </c>
      <c r="C12" s="66">
        <v>0</v>
      </c>
      <c r="D12" s="66">
        <v>20</v>
      </c>
      <c r="E12" s="66">
        <v>0</v>
      </c>
      <c r="F12" s="63">
        <v>0</v>
      </c>
      <c r="G12" s="63">
        <v>0</v>
      </c>
      <c r="H12" s="63">
        <v>9.6999999999999993</v>
      </c>
      <c r="I12" s="63">
        <v>0</v>
      </c>
    </row>
    <row r="13" spans="1:9">
      <c r="A13" s="27" t="s">
        <v>277</v>
      </c>
      <c r="B13" s="66">
        <v>0</v>
      </c>
      <c r="C13" s="66">
        <v>0</v>
      </c>
      <c r="D13" s="66">
        <v>14</v>
      </c>
      <c r="E13" s="66">
        <v>0</v>
      </c>
      <c r="F13" s="63">
        <v>0</v>
      </c>
      <c r="G13" s="63">
        <v>0</v>
      </c>
      <c r="H13" s="63">
        <v>6.8</v>
      </c>
      <c r="I13" s="63">
        <v>0</v>
      </c>
    </row>
    <row r="14" spans="1:9">
      <c r="A14" s="27" t="s">
        <v>287</v>
      </c>
      <c r="B14" s="66">
        <v>5</v>
      </c>
      <c r="C14" s="66">
        <v>5</v>
      </c>
      <c r="D14" s="66">
        <v>11</v>
      </c>
      <c r="E14" s="66">
        <v>21</v>
      </c>
      <c r="F14" s="63">
        <v>0</v>
      </c>
      <c r="G14" s="63">
        <v>-47.6</v>
      </c>
      <c r="H14" s="63">
        <v>5.3</v>
      </c>
      <c r="I14" s="63">
        <v>11.6</v>
      </c>
    </row>
    <row r="15" spans="1:9">
      <c r="A15" s="27" t="s">
        <v>280</v>
      </c>
      <c r="B15" s="66">
        <v>1</v>
      </c>
      <c r="C15" s="66">
        <v>2</v>
      </c>
      <c r="D15" s="66">
        <v>6</v>
      </c>
      <c r="E15" s="66">
        <v>6</v>
      </c>
      <c r="F15" s="63">
        <v>-50</v>
      </c>
      <c r="G15" s="63">
        <v>0</v>
      </c>
      <c r="H15" s="63">
        <v>2.9</v>
      </c>
      <c r="I15" s="63">
        <v>3.3</v>
      </c>
    </row>
    <row r="16" spans="1:9">
      <c r="A16" s="27" t="s">
        <v>494</v>
      </c>
      <c r="B16" s="66">
        <v>3</v>
      </c>
      <c r="C16" s="66">
        <v>3</v>
      </c>
      <c r="D16" s="66">
        <v>4</v>
      </c>
      <c r="E16" s="66">
        <v>41</v>
      </c>
      <c r="F16" s="63">
        <v>0</v>
      </c>
      <c r="G16" s="63">
        <v>-90.2</v>
      </c>
      <c r="H16" s="63">
        <v>1.9</v>
      </c>
      <c r="I16" s="63">
        <v>22.7</v>
      </c>
    </row>
    <row r="17" spans="1:9">
      <c r="A17" s="27" t="s">
        <v>738</v>
      </c>
      <c r="B17" s="66">
        <v>0</v>
      </c>
      <c r="C17" s="66">
        <v>0</v>
      </c>
      <c r="D17" s="66">
        <v>1</v>
      </c>
      <c r="E17" s="66">
        <v>0</v>
      </c>
      <c r="F17" s="63">
        <v>0</v>
      </c>
      <c r="G17" s="63">
        <v>0</v>
      </c>
      <c r="H17" s="63">
        <v>0.5</v>
      </c>
      <c r="I17" s="63">
        <v>0</v>
      </c>
    </row>
    <row r="18" spans="1:9">
      <c r="A18" s="162" t="s">
        <v>703</v>
      </c>
      <c r="B18" s="163">
        <v>0</v>
      </c>
      <c r="C18" s="163">
        <v>0</v>
      </c>
      <c r="D18" s="163">
        <v>0</v>
      </c>
      <c r="E18" s="163">
        <v>18</v>
      </c>
      <c r="F18" s="164">
        <v>0</v>
      </c>
      <c r="G18" s="164">
        <v>-100</v>
      </c>
      <c r="H18" s="164">
        <v>0</v>
      </c>
      <c r="I18" s="164">
        <v>9.9</v>
      </c>
    </row>
    <row r="19" spans="1:9">
      <c r="A19" s="162" t="s">
        <v>381</v>
      </c>
      <c r="B19" s="163">
        <v>0</v>
      </c>
      <c r="C19" s="163">
        <v>0</v>
      </c>
      <c r="D19" s="163">
        <v>0</v>
      </c>
      <c r="E19" s="163">
        <v>1</v>
      </c>
      <c r="F19" s="164">
        <v>0</v>
      </c>
      <c r="G19" s="164">
        <v>-100</v>
      </c>
      <c r="H19" s="164">
        <v>0</v>
      </c>
      <c r="I19" s="164">
        <v>0.6</v>
      </c>
    </row>
    <row r="20" spans="1:9">
      <c r="A20" s="162" t="s">
        <v>306</v>
      </c>
      <c r="B20" s="163">
        <v>0</v>
      </c>
      <c r="C20" s="163">
        <v>0</v>
      </c>
      <c r="D20" s="163">
        <v>2</v>
      </c>
      <c r="E20" s="163">
        <v>10</v>
      </c>
      <c r="F20" s="164">
        <v>0</v>
      </c>
      <c r="G20" s="164">
        <v>-80</v>
      </c>
      <c r="H20" s="164">
        <v>1</v>
      </c>
      <c r="I20" s="164">
        <v>5.5</v>
      </c>
    </row>
    <row r="21" spans="1:9">
      <c r="A21" s="162" t="s">
        <v>375</v>
      </c>
      <c r="B21" s="163">
        <f>SUBTOTAL(109,getAggBussAll[antalPerioden])</f>
        <v>71</v>
      </c>
      <c r="C21" s="163">
        <f>SUBTOTAL(109,getAggBussAll[antalPeriodenFG])</f>
        <v>70</v>
      </c>
      <c r="D21" s="163">
        <f>SUBTOTAL(109,getAggBussAll[antalAret])</f>
        <v>206</v>
      </c>
      <c r="E21" s="163">
        <f>SUBTOTAL(109,getAggBussAll[antalAretFG])</f>
        <v>181</v>
      </c>
      <c r="F21" s="164">
        <f>IF(getAggBussAll[[#Totals],[antalPeriodenFG]] &gt; 0,( getAggBussAll[[#Totals],[antalPerioden]] - getAggBussAll[[#Totals],[antalPeriodenFG]] ) / getAggBussAll[[#Totals],[antalPeriodenFG]] * 100,0)</f>
        <v>1.4285714285714286</v>
      </c>
      <c r="G21" s="164">
        <f>IF(getAggBussAll[[#Totals],[antalAretFG]] &gt; 0,( getAggBussAll[[#Totals],[antalAret]] - getAggBussAll[[#Totals],[antalAretFG]] ) / getAggBussAll[[#Totals],[antalAretFG]] * 100,0)</f>
        <v>13.812154696132598</v>
      </c>
      <c r="H21" s="168" t="str">
        <f>TEXT(100,"0,0")</f>
        <v>100,0</v>
      </c>
      <c r="I21" s="168" t="str">
        <f>TEXT(100,"0,0")</f>
        <v>100,0</v>
      </c>
    </row>
    <row r="22" spans="1:9">
      <c r="A22" s="162"/>
      <c r="B22" s="163"/>
      <c r="C22" s="163"/>
      <c r="D22" s="163"/>
      <c r="E22" s="163"/>
      <c r="F22" s="164"/>
      <c r="G22" s="164"/>
      <c r="H22" s="164"/>
      <c r="I22" s="164"/>
    </row>
    <row r="23" spans="1:9">
      <c r="A23" s="162"/>
      <c r="B23" s="163"/>
      <c r="C23" s="163"/>
      <c r="D23" s="163"/>
      <c r="E23" s="163"/>
      <c r="F23" s="164"/>
      <c r="G23" s="164"/>
      <c r="H23" s="164"/>
      <c r="I23" s="164"/>
    </row>
    <row r="24" spans="1:9">
      <c r="A24" s="27"/>
      <c r="B24" s="66"/>
      <c r="C24" s="66"/>
      <c r="D24" s="66"/>
      <c r="E24" s="66"/>
      <c r="F24" s="63"/>
      <c r="G24" s="63"/>
      <c r="H24" s="105"/>
      <c r="I24" s="105"/>
    </row>
    <row r="25" spans="1:9">
      <c r="A25" s="27"/>
      <c r="B25" s="66"/>
      <c r="C25" s="66"/>
      <c r="D25" s="66"/>
      <c r="E25" s="66"/>
      <c r="F25" s="63"/>
      <c r="G25" s="63"/>
      <c r="H25" s="105"/>
      <c r="I25" s="105"/>
    </row>
    <row r="26" spans="1:9" ht="19.25" customHeight="1" thickBot="1">
      <c r="A26" s="27"/>
      <c r="B26" s="27"/>
      <c r="C26" s="60" t="s">
        <v>592</v>
      </c>
      <c r="D26" s="60"/>
      <c r="E26" s="60"/>
      <c r="F26" s="60"/>
      <c r="G26" s="27"/>
      <c r="H26" s="27"/>
      <c r="I26" s="27"/>
    </row>
    <row r="27" spans="1:9">
      <c r="A27" s="27"/>
      <c r="B27" s="27"/>
      <c r="C27" s="27"/>
      <c r="D27" s="27"/>
      <c r="E27" s="27"/>
      <c r="F27" s="27"/>
      <c r="G27" s="27"/>
      <c r="H27" s="27"/>
      <c r="I27" s="27"/>
    </row>
    <row r="28" spans="1:9" s="6" customFormat="1">
      <c r="A28" s="8" t="s">
        <v>474</v>
      </c>
      <c r="B28" s="27"/>
      <c r="C28" s="27"/>
      <c r="D28" s="27"/>
      <c r="E28" s="273" t="s">
        <v>475</v>
      </c>
      <c r="F28" s="273"/>
      <c r="G28" s="273"/>
      <c r="H28" s="273"/>
      <c r="I28" s="273"/>
    </row>
    <row r="29" spans="1:9">
      <c r="A29" s="117"/>
      <c r="B29" s="117" t="s">
        <v>562</v>
      </c>
      <c r="C29" s="117"/>
      <c r="D29" s="117" t="s">
        <v>562</v>
      </c>
      <c r="E29" s="117"/>
      <c r="F29" s="117" t="s">
        <v>563</v>
      </c>
      <c r="G29" s="117"/>
      <c r="H29" s="117" t="s">
        <v>564</v>
      </c>
      <c r="I29" s="117"/>
    </row>
    <row r="30" spans="1:9">
      <c r="A30" s="117" t="s">
        <v>486</v>
      </c>
      <c r="B30" s="117" t="str">
        <f>Innehåll!D79</f>
        <v xml:space="preserve"> 2023-04</v>
      </c>
      <c r="C30" s="117" t="str">
        <f>Innehåll!D80</f>
        <v xml:space="preserve"> 2022-04</v>
      </c>
      <c r="D30" s="117" t="str">
        <f>Innehåll!D81</f>
        <v>YTD  2023</v>
      </c>
      <c r="E30" s="117" t="str">
        <f>Innehåll!D82</f>
        <v>YTD  2022</v>
      </c>
      <c r="F30" s="117" t="str">
        <f>B30</f>
        <v xml:space="preserve"> 2023-04</v>
      </c>
      <c r="G30" s="117" t="str">
        <f>D30</f>
        <v>YTD  2023</v>
      </c>
      <c r="H30" s="117" t="str">
        <f>D30</f>
        <v>YTD  2023</v>
      </c>
      <c r="I30" s="117" t="str">
        <f>E30</f>
        <v>YTD  2022</v>
      </c>
    </row>
    <row r="31" spans="1:9" ht="15" hidden="1" customHeight="1">
      <c r="A31" s="27" t="s">
        <v>252</v>
      </c>
      <c r="B31" s="27" t="s">
        <v>35</v>
      </c>
      <c r="C31" s="27" t="s">
        <v>310</v>
      </c>
      <c r="D31" s="27" t="s">
        <v>311</v>
      </c>
      <c r="E31" s="27" t="s">
        <v>312</v>
      </c>
      <c r="F31" s="27" t="s">
        <v>313</v>
      </c>
      <c r="G31" s="27" t="s">
        <v>40</v>
      </c>
      <c r="H31" s="27" t="s">
        <v>314</v>
      </c>
      <c r="I31" s="27" t="s">
        <v>315</v>
      </c>
    </row>
    <row r="32" spans="1:9">
      <c r="A32" s="27" t="s">
        <v>305</v>
      </c>
      <c r="B32" s="66">
        <v>37</v>
      </c>
      <c r="C32" s="66">
        <v>56</v>
      </c>
      <c r="D32" s="66">
        <v>64</v>
      </c>
      <c r="E32" s="66">
        <v>61</v>
      </c>
      <c r="F32" s="63">
        <v>-33.9</v>
      </c>
      <c r="G32" s="63">
        <v>4.9000000000000004</v>
      </c>
      <c r="H32" s="63">
        <v>49.6</v>
      </c>
      <c r="I32" s="63">
        <v>39.1</v>
      </c>
    </row>
    <row r="33" spans="1:9">
      <c r="A33" s="27" t="s">
        <v>493</v>
      </c>
      <c r="B33" s="66">
        <v>6</v>
      </c>
      <c r="C33" s="66">
        <v>2</v>
      </c>
      <c r="D33" s="66">
        <v>26</v>
      </c>
      <c r="E33" s="66">
        <v>5</v>
      </c>
      <c r="F33" s="63">
        <v>200</v>
      </c>
      <c r="G33" s="63">
        <v>420</v>
      </c>
      <c r="H33" s="63">
        <v>20.2</v>
      </c>
      <c r="I33" s="63">
        <v>3.2</v>
      </c>
    </row>
    <row r="34" spans="1:9">
      <c r="A34" s="27" t="s">
        <v>498</v>
      </c>
      <c r="B34" s="66">
        <v>3</v>
      </c>
      <c r="C34" s="66">
        <v>0</v>
      </c>
      <c r="D34" s="66">
        <v>20</v>
      </c>
      <c r="E34" s="66">
        <v>0</v>
      </c>
      <c r="F34" s="63">
        <v>0</v>
      </c>
      <c r="G34" s="63">
        <v>0</v>
      </c>
      <c r="H34" s="63">
        <v>15.5</v>
      </c>
      <c r="I34" s="63">
        <v>0</v>
      </c>
    </row>
    <row r="35" spans="1:9">
      <c r="A35" s="27" t="s">
        <v>287</v>
      </c>
      <c r="B35" s="66">
        <v>5</v>
      </c>
      <c r="C35" s="66">
        <v>4</v>
      </c>
      <c r="D35" s="66">
        <v>11</v>
      </c>
      <c r="E35" s="66">
        <v>18</v>
      </c>
      <c r="F35" s="63">
        <v>25</v>
      </c>
      <c r="G35" s="63">
        <v>-38.9</v>
      </c>
      <c r="H35" s="63">
        <v>8.5</v>
      </c>
      <c r="I35" s="63">
        <v>11.5</v>
      </c>
    </row>
    <row r="36" spans="1:9" ht="15" customHeight="1">
      <c r="A36" s="27" t="s">
        <v>494</v>
      </c>
      <c r="B36" s="66">
        <v>3</v>
      </c>
      <c r="C36" s="66">
        <v>3</v>
      </c>
      <c r="D36" s="66">
        <v>4</v>
      </c>
      <c r="E36" s="66">
        <v>41</v>
      </c>
      <c r="F36" s="63">
        <v>0</v>
      </c>
      <c r="G36" s="63">
        <v>-90.2</v>
      </c>
      <c r="H36" s="63">
        <v>3.1</v>
      </c>
      <c r="I36" s="63">
        <v>26.3</v>
      </c>
    </row>
    <row r="37" spans="1:9">
      <c r="A37" s="27" t="s">
        <v>280</v>
      </c>
      <c r="B37" s="66">
        <v>0</v>
      </c>
      <c r="C37" s="66">
        <v>2</v>
      </c>
      <c r="D37" s="66">
        <v>1</v>
      </c>
      <c r="E37" s="66">
        <v>2</v>
      </c>
      <c r="F37" s="63">
        <v>-100</v>
      </c>
      <c r="G37" s="63">
        <v>-50</v>
      </c>
      <c r="H37" s="63">
        <v>0.8</v>
      </c>
      <c r="I37" s="63">
        <v>1.3</v>
      </c>
    </row>
    <row r="38" spans="1:9">
      <c r="A38" s="27" t="s">
        <v>738</v>
      </c>
      <c r="B38" s="66">
        <v>0</v>
      </c>
      <c r="C38" s="66">
        <v>0</v>
      </c>
      <c r="D38" s="66">
        <v>1</v>
      </c>
      <c r="E38" s="66">
        <v>0</v>
      </c>
      <c r="F38" s="63">
        <v>0</v>
      </c>
      <c r="G38" s="63">
        <v>0</v>
      </c>
      <c r="H38" s="63">
        <v>0.8</v>
      </c>
      <c r="I38" s="63">
        <v>0</v>
      </c>
    </row>
    <row r="39" spans="1:9">
      <c r="A39" s="162" t="s">
        <v>703</v>
      </c>
      <c r="B39" s="163">
        <v>0</v>
      </c>
      <c r="C39" s="163">
        <v>0</v>
      </c>
      <c r="D39" s="163">
        <v>0</v>
      </c>
      <c r="E39" s="163">
        <v>18</v>
      </c>
      <c r="F39" s="164">
        <v>0</v>
      </c>
      <c r="G39" s="164">
        <v>-100</v>
      </c>
      <c r="H39" s="164">
        <v>0</v>
      </c>
      <c r="I39" s="164">
        <v>11.5</v>
      </c>
    </row>
    <row r="40" spans="1:9">
      <c r="A40" s="162" t="s">
        <v>381</v>
      </c>
      <c r="B40" s="163">
        <v>0</v>
      </c>
      <c r="C40" s="163">
        <v>0</v>
      </c>
      <c r="D40" s="163">
        <v>0</v>
      </c>
      <c r="E40" s="163">
        <v>1</v>
      </c>
      <c r="F40" s="164">
        <v>0</v>
      </c>
      <c r="G40" s="164">
        <v>-100</v>
      </c>
      <c r="H40" s="164">
        <v>0</v>
      </c>
      <c r="I40" s="164">
        <v>0.6</v>
      </c>
    </row>
    <row r="41" spans="1:9">
      <c r="A41" s="162" t="s">
        <v>306</v>
      </c>
      <c r="B41" s="163">
        <v>0</v>
      </c>
      <c r="C41" s="163">
        <v>0</v>
      </c>
      <c r="D41" s="163">
        <v>2</v>
      </c>
      <c r="E41" s="163">
        <v>10</v>
      </c>
      <c r="F41" s="164">
        <v>0</v>
      </c>
      <c r="G41" s="164">
        <v>-80</v>
      </c>
      <c r="H41" s="164">
        <v>1.6</v>
      </c>
      <c r="I41" s="164">
        <v>6.4</v>
      </c>
    </row>
    <row r="42" spans="1:9">
      <c r="A42" s="162" t="s">
        <v>375</v>
      </c>
      <c r="B42" s="163">
        <f>SUBTOTAL(109,getAggBuss[antalPerioden])</f>
        <v>54</v>
      </c>
      <c r="C42" s="163">
        <f>SUBTOTAL(109,getAggBuss[antalPeriodenFG])</f>
        <v>67</v>
      </c>
      <c r="D42" s="163">
        <f>SUBTOTAL(109,getAggBuss[antalAret])</f>
        <v>129</v>
      </c>
      <c r="E42" s="163">
        <f>SUBTOTAL(109,getAggBuss[antalAretFG])</f>
        <v>156</v>
      </c>
      <c r="F42" s="164">
        <f>IF(getAggBuss[[#Totals],[antalPeriodenFG]] &gt; 0,( getAggBuss[[#Totals],[antalPerioden]] - getAggBuss[[#Totals],[antalPeriodenFG]] ) / getAggBuss[[#Totals],[antalPeriodenFG]] * 100,0)</f>
        <v>-19.402985074626866</v>
      </c>
      <c r="G42" s="164">
        <f>IF(getAggBuss[[#Totals],[antalAretFG]] &gt; 0,( getAggBuss[[#Totals],[antalAret]] - getAggBuss[[#Totals],[antalAretFG]] ) / getAggBuss[[#Totals],[antalAretFG]] * 100,0)</f>
        <v>-17.307692307692307</v>
      </c>
      <c r="H42" s="168" t="str">
        <f>TEXT(100,"0,0")</f>
        <v>100,0</v>
      </c>
      <c r="I42" s="168" t="str">
        <f>TEXT(100,"0,0")</f>
        <v>100,0</v>
      </c>
    </row>
    <row r="43" spans="1:9">
      <c r="A43" s="27"/>
      <c r="B43" s="27"/>
      <c r="C43" s="27"/>
      <c r="D43" s="27"/>
      <c r="E43" s="27"/>
      <c r="F43" s="27"/>
      <c r="G43" s="27"/>
      <c r="H43" s="27"/>
      <c r="I43" s="27"/>
    </row>
    <row r="44" spans="1:9">
      <c r="A44" s="27" t="s">
        <v>707</v>
      </c>
      <c r="B44" s="27"/>
      <c r="C44" s="27"/>
      <c r="D44" s="27"/>
      <c r="E44" s="27"/>
      <c r="F44" s="27"/>
      <c r="G44" s="27"/>
      <c r="H44" s="27"/>
      <c r="I44" s="27"/>
    </row>
    <row r="45" spans="1:9">
      <c r="A45" s="27"/>
      <c r="B45" s="27"/>
      <c r="C45" s="27"/>
      <c r="D45" s="27"/>
      <c r="E45" s="27"/>
      <c r="F45" s="27"/>
      <c r="G45" s="27"/>
      <c r="H45" s="27"/>
      <c r="I45" s="27"/>
    </row>
    <row r="46" spans="1:9">
      <c r="A46" s="27"/>
      <c r="B46" s="27"/>
      <c r="C46" s="27"/>
      <c r="D46" s="27"/>
      <c r="E46" s="27"/>
      <c r="F46" s="27"/>
      <c r="G46" s="27"/>
      <c r="H46" s="27"/>
      <c r="I46" s="27"/>
    </row>
    <row r="47" spans="1:9">
      <c r="A47" s="27"/>
      <c r="B47" s="27"/>
      <c r="C47" s="27"/>
      <c r="D47" s="27"/>
      <c r="E47" s="27"/>
      <c r="F47" s="27"/>
      <c r="G47" s="27"/>
      <c r="H47" s="27"/>
      <c r="I47" s="27"/>
    </row>
    <row r="48" spans="1:9">
      <c r="A48" s="27"/>
      <c r="B48" s="27"/>
      <c r="C48" s="27"/>
      <c r="D48" s="27"/>
      <c r="E48" s="27"/>
      <c r="F48" s="27"/>
      <c r="G48" s="27"/>
      <c r="H48" s="27"/>
      <c r="I48" s="27"/>
    </row>
    <row r="49" spans="1:9">
      <c r="A49" s="27"/>
      <c r="B49" s="27"/>
      <c r="C49" s="27"/>
      <c r="D49" s="27"/>
      <c r="E49" s="27"/>
      <c r="F49" s="27"/>
      <c r="G49" s="27"/>
      <c r="H49" s="27"/>
      <c r="I49" s="27"/>
    </row>
    <row r="50" spans="1:9">
      <c r="A50" s="27"/>
      <c r="B50" s="27"/>
      <c r="C50" s="27"/>
      <c r="D50" s="27"/>
      <c r="E50" s="27"/>
      <c r="F50" s="27"/>
      <c r="G50" s="27"/>
      <c r="H50" s="27"/>
      <c r="I50" s="27"/>
    </row>
    <row r="51" spans="1:9">
      <c r="A51" s="27"/>
      <c r="B51" s="27"/>
      <c r="C51" s="27"/>
      <c r="D51" s="27"/>
      <c r="E51" s="27"/>
      <c r="F51" s="27"/>
      <c r="G51" s="27"/>
      <c r="H51" s="27"/>
      <c r="I51" s="27"/>
    </row>
    <row r="52" spans="1:9">
      <c r="A52" s="27"/>
      <c r="B52" s="27"/>
      <c r="C52" s="27"/>
      <c r="D52" s="27"/>
      <c r="E52" s="27"/>
      <c r="F52" s="27"/>
      <c r="G52" s="27"/>
      <c r="H52" s="27"/>
      <c r="I52" s="27"/>
    </row>
    <row r="53" spans="1:9">
      <c r="A53" s="27"/>
      <c r="B53" s="27"/>
      <c r="C53" s="27"/>
      <c r="D53" s="27"/>
      <c r="E53" s="27"/>
      <c r="F53" s="27"/>
      <c r="G53" s="27"/>
      <c r="H53" s="27"/>
      <c r="I53" s="27"/>
    </row>
    <row r="54" spans="1:9">
      <c r="A54" s="27"/>
      <c r="B54" s="27"/>
      <c r="C54" s="27"/>
      <c r="D54" s="27"/>
      <c r="E54" s="27"/>
      <c r="F54" s="27"/>
      <c r="G54" s="27"/>
      <c r="H54" s="27"/>
      <c r="I54" s="27"/>
    </row>
    <row r="55" spans="1:9">
      <c r="A55" s="27"/>
      <c r="B55" s="27"/>
      <c r="C55" s="27"/>
      <c r="D55" s="27"/>
      <c r="E55" s="27"/>
      <c r="F55" s="27"/>
      <c r="G55" s="27"/>
      <c r="H55" s="27"/>
      <c r="I55" s="27"/>
    </row>
    <row r="56" spans="1:9">
      <c r="A56" s="27"/>
      <c r="B56" s="27"/>
      <c r="C56" s="27"/>
      <c r="D56" s="27"/>
      <c r="E56" s="27"/>
      <c r="F56" s="27"/>
      <c r="G56" s="27"/>
      <c r="H56" s="27"/>
      <c r="I56" s="27"/>
    </row>
    <row r="57" spans="1:9">
      <c r="A57" s="27"/>
      <c r="B57" s="27"/>
      <c r="C57" s="27"/>
      <c r="D57" s="27"/>
      <c r="E57" s="27"/>
      <c r="F57" s="27"/>
      <c r="G57" s="27"/>
      <c r="H57" s="27"/>
      <c r="I57" s="27"/>
    </row>
    <row r="58" spans="1:9">
      <c r="A58" s="27"/>
      <c r="B58" s="27"/>
      <c r="C58" s="27"/>
      <c r="D58" s="27"/>
      <c r="E58" s="27"/>
      <c r="F58" s="27"/>
      <c r="G58" s="27"/>
      <c r="H58" s="27"/>
      <c r="I58" s="27"/>
    </row>
    <row r="59" spans="1:9">
      <c r="A59" s="27"/>
      <c r="B59" s="27"/>
      <c r="C59" s="27"/>
      <c r="D59" s="27"/>
      <c r="E59" s="27"/>
      <c r="F59" s="27"/>
      <c r="G59" s="27"/>
      <c r="H59" s="27"/>
      <c r="I59" s="27"/>
    </row>
    <row r="60" spans="1:9">
      <c r="A60" s="27"/>
      <c r="B60" s="27"/>
      <c r="C60" s="27"/>
      <c r="D60" s="27"/>
      <c r="E60" s="27"/>
      <c r="F60" s="27"/>
      <c r="G60" s="27"/>
      <c r="H60" s="27"/>
      <c r="I60" s="27"/>
    </row>
    <row r="61" spans="1:9">
      <c r="A61" s="27"/>
      <c r="B61" s="27"/>
      <c r="C61" s="27"/>
      <c r="D61" s="27"/>
      <c r="E61" s="27"/>
      <c r="F61" s="27"/>
      <c r="G61" s="27"/>
      <c r="H61" s="27"/>
      <c r="I61" s="27"/>
    </row>
    <row r="62" spans="1:9">
      <c r="A62" s="27"/>
      <c r="B62" s="27"/>
      <c r="C62" s="27"/>
      <c r="D62" s="27"/>
      <c r="E62" s="27"/>
      <c r="F62" s="27"/>
      <c r="G62" s="27"/>
      <c r="H62" s="27"/>
      <c r="I62" s="27"/>
    </row>
    <row r="63" spans="1:9">
      <c r="A63" s="27"/>
      <c r="B63" s="27"/>
      <c r="C63" s="27"/>
      <c r="D63" s="27"/>
      <c r="E63" s="27"/>
      <c r="F63" s="27"/>
      <c r="G63" s="27"/>
      <c r="H63" s="27"/>
      <c r="I63" s="27"/>
    </row>
    <row r="64" spans="1:9">
      <c r="A64" s="27"/>
      <c r="B64" s="27"/>
      <c r="C64" s="27"/>
      <c r="D64" s="27"/>
      <c r="E64" s="27"/>
      <c r="F64" s="27"/>
      <c r="G64" s="27"/>
      <c r="H64" s="27"/>
      <c r="I64" s="27"/>
    </row>
    <row r="65" spans="1:9">
      <c r="A65" s="27"/>
      <c r="B65" s="27"/>
      <c r="C65" s="27"/>
      <c r="D65" s="27"/>
      <c r="E65" s="27"/>
      <c r="F65" s="27"/>
      <c r="G65" s="27"/>
      <c r="H65" s="27"/>
      <c r="I65" s="27"/>
    </row>
    <row r="66" spans="1:9">
      <c r="A66" s="27"/>
      <c r="B66" s="27"/>
      <c r="C66" s="27"/>
      <c r="D66" s="27"/>
      <c r="E66" s="27"/>
      <c r="F66" s="27"/>
      <c r="G66" s="27"/>
      <c r="H66" s="27"/>
      <c r="I66" s="27"/>
    </row>
    <row r="67" spans="1:9">
      <c r="A67" s="27"/>
      <c r="B67" s="27"/>
      <c r="C67" s="27"/>
      <c r="D67" s="27"/>
      <c r="E67" s="27"/>
      <c r="F67" s="27"/>
      <c r="G67" s="27"/>
      <c r="H67" s="27"/>
      <c r="I67" s="27"/>
    </row>
    <row r="68" spans="1:9">
      <c r="A68" s="27"/>
      <c r="B68" s="27"/>
      <c r="C68" s="27"/>
      <c r="D68" s="27"/>
      <c r="E68" s="27"/>
      <c r="F68" s="27"/>
      <c r="G68" s="27"/>
      <c r="H68" s="27"/>
      <c r="I68" s="27"/>
    </row>
    <row r="69" spans="1:9">
      <c r="A69" s="27"/>
      <c r="B69" s="27"/>
      <c r="C69" s="27"/>
      <c r="D69" s="27"/>
      <c r="E69" s="27"/>
      <c r="F69" s="27"/>
      <c r="G69" s="27"/>
      <c r="H69" s="27"/>
      <c r="I69" s="27"/>
    </row>
    <row r="70" spans="1:9">
      <c r="A70" s="27"/>
      <c r="B70" s="27"/>
      <c r="C70" s="27"/>
      <c r="D70" s="27"/>
      <c r="E70" s="27"/>
      <c r="F70" s="27"/>
      <c r="G70" s="27"/>
      <c r="H70" s="27"/>
      <c r="I70" s="27"/>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7"/>
      <c r="B1" s="27"/>
      <c r="C1" s="27"/>
      <c r="D1" s="27"/>
      <c r="E1" s="27"/>
      <c r="F1" s="27"/>
      <c r="G1" s="27"/>
      <c r="H1" s="27"/>
      <c r="I1" s="27"/>
      <c r="J1" s="27"/>
    </row>
    <row r="2" spans="1:10" ht="19.25" customHeight="1" thickBot="1">
      <c r="A2" s="27"/>
      <c r="B2" s="27"/>
      <c r="C2" s="60" t="s">
        <v>593</v>
      </c>
      <c r="D2" s="60"/>
      <c r="E2" s="60"/>
      <c r="F2" s="60"/>
      <c r="G2" s="60"/>
      <c r="H2" s="27"/>
      <c r="I2" s="27"/>
      <c r="J2" s="27"/>
    </row>
    <row r="3" spans="1:10">
      <c r="A3" s="27"/>
      <c r="B3" s="27"/>
      <c r="C3" s="27"/>
      <c r="D3" s="27"/>
      <c r="E3" s="27"/>
      <c r="F3" s="27"/>
      <c r="G3" s="27"/>
      <c r="H3" s="27"/>
      <c r="I3" s="27"/>
      <c r="J3" s="27"/>
    </row>
    <row r="4" spans="1:10">
      <c r="A4" s="8" t="s">
        <v>474</v>
      </c>
      <c r="B4" s="27"/>
      <c r="C4" s="27"/>
      <c r="D4" s="27"/>
      <c r="E4" s="273" t="s">
        <v>475</v>
      </c>
      <c r="F4" s="273"/>
      <c r="G4" s="273"/>
      <c r="H4" s="273"/>
      <c r="I4" s="273"/>
      <c r="J4" s="27"/>
    </row>
    <row r="5" spans="1:10">
      <c r="A5" s="117"/>
      <c r="B5" s="276" t="s">
        <v>562</v>
      </c>
      <c r="C5" s="277"/>
      <c r="D5" s="276" t="s">
        <v>562</v>
      </c>
      <c r="E5" s="277"/>
      <c r="F5" s="287" t="s">
        <v>563</v>
      </c>
      <c r="G5" s="288"/>
      <c r="H5" s="274" t="s">
        <v>564</v>
      </c>
      <c r="I5" s="275"/>
      <c r="J5" s="27"/>
    </row>
    <row r="6" spans="1:10">
      <c r="A6" s="117" t="s">
        <v>486</v>
      </c>
      <c r="B6" s="131" t="str">
        <f>Innehåll!D79</f>
        <v xml:space="preserve"> 2023-04</v>
      </c>
      <c r="C6" s="131" t="str">
        <f>Innehåll!D80</f>
        <v xml:space="preserve"> 2022-04</v>
      </c>
      <c r="D6" s="131" t="str">
        <f>Innehåll!D81</f>
        <v>YTD  2023</v>
      </c>
      <c r="E6" s="131" t="str">
        <f>Innehåll!D82</f>
        <v>YTD  2022</v>
      </c>
      <c r="F6" s="146" t="str">
        <f>B6</f>
        <v xml:space="preserve"> 2023-04</v>
      </c>
      <c r="G6" s="132" t="str">
        <f>D6</f>
        <v>YTD  2023</v>
      </c>
      <c r="H6" s="131" t="str">
        <f>D6</f>
        <v>YTD  2023</v>
      </c>
      <c r="I6" s="147" t="str">
        <f>E6</f>
        <v>YTD  2022</v>
      </c>
      <c r="J6" s="27"/>
    </row>
    <row r="7" spans="1:10" ht="15" hidden="1" customHeight="1">
      <c r="A7" s="27" t="s">
        <v>252</v>
      </c>
      <c r="B7" s="27" t="s">
        <v>35</v>
      </c>
      <c r="C7" s="27" t="s">
        <v>310</v>
      </c>
      <c r="D7" s="27" t="s">
        <v>311</v>
      </c>
      <c r="E7" s="27" t="s">
        <v>312</v>
      </c>
      <c r="F7" s="27" t="s">
        <v>313</v>
      </c>
      <c r="G7" s="27" t="s">
        <v>40</v>
      </c>
      <c r="H7" s="27" t="s">
        <v>314</v>
      </c>
      <c r="I7" s="27" t="s">
        <v>315</v>
      </c>
      <c r="J7" s="27"/>
    </row>
    <row r="8" spans="1:10">
      <c r="A8" s="27" t="s">
        <v>305</v>
      </c>
      <c r="B8" s="27">
        <v>35</v>
      </c>
      <c r="C8" s="27">
        <v>0</v>
      </c>
      <c r="D8" s="27">
        <v>42</v>
      </c>
      <c r="E8" s="27">
        <v>0</v>
      </c>
      <c r="F8" s="27">
        <v>0</v>
      </c>
      <c r="G8" s="27">
        <v>0</v>
      </c>
      <c r="H8" s="27">
        <v>56</v>
      </c>
      <c r="I8" s="27">
        <v>0</v>
      </c>
      <c r="J8" s="27"/>
    </row>
    <row r="9" spans="1:10">
      <c r="A9" s="27" t="s">
        <v>1144</v>
      </c>
      <c r="B9" s="27">
        <v>6</v>
      </c>
      <c r="C9" s="27">
        <v>0</v>
      </c>
      <c r="D9" s="27">
        <v>26</v>
      </c>
      <c r="E9" s="27">
        <v>0</v>
      </c>
      <c r="F9" s="63">
        <v>0</v>
      </c>
      <c r="G9" s="63">
        <v>0</v>
      </c>
      <c r="H9" s="27">
        <v>34.700000000000003</v>
      </c>
      <c r="I9" s="27">
        <v>0</v>
      </c>
      <c r="J9" s="27"/>
    </row>
    <row r="10" spans="1:10">
      <c r="A10" s="162" t="s">
        <v>493</v>
      </c>
      <c r="B10" s="162">
        <v>0</v>
      </c>
      <c r="C10" s="162">
        <v>1</v>
      </c>
      <c r="D10" s="162">
        <v>4</v>
      </c>
      <c r="E10" s="162">
        <v>1</v>
      </c>
      <c r="F10" s="164">
        <v>-100</v>
      </c>
      <c r="G10" s="164">
        <v>300</v>
      </c>
      <c r="H10" s="162">
        <v>5.3</v>
      </c>
      <c r="I10" s="162">
        <v>2.2999999999999998</v>
      </c>
      <c r="J10" s="27"/>
    </row>
    <row r="11" spans="1:10">
      <c r="A11" s="162" t="s">
        <v>287</v>
      </c>
      <c r="B11" s="162">
        <v>2</v>
      </c>
      <c r="C11" s="162">
        <v>3</v>
      </c>
      <c r="D11" s="162">
        <v>2</v>
      </c>
      <c r="E11" s="162">
        <v>15</v>
      </c>
      <c r="F11" s="164">
        <v>-33.299999999999997</v>
      </c>
      <c r="G11" s="164">
        <v>-86.7</v>
      </c>
      <c r="H11" s="162">
        <v>2.7</v>
      </c>
      <c r="I11" s="162">
        <v>34.1</v>
      </c>
      <c r="J11" s="27"/>
    </row>
    <row r="12" spans="1:10">
      <c r="A12" s="162" t="s">
        <v>703</v>
      </c>
      <c r="B12" s="163">
        <v>0</v>
      </c>
      <c r="C12" s="162">
        <v>0</v>
      </c>
      <c r="D12" s="163">
        <v>0</v>
      </c>
      <c r="E12" s="162">
        <v>18</v>
      </c>
      <c r="F12" s="162">
        <v>0</v>
      </c>
      <c r="G12" s="162">
        <v>-100</v>
      </c>
      <c r="H12" s="162">
        <v>0</v>
      </c>
      <c r="I12" s="162">
        <v>40.9</v>
      </c>
      <c r="J12" s="27"/>
    </row>
    <row r="13" spans="1:10">
      <c r="A13" s="162" t="s">
        <v>494</v>
      </c>
      <c r="B13" s="162">
        <v>0</v>
      </c>
      <c r="C13" s="162">
        <v>0</v>
      </c>
      <c r="D13" s="162">
        <v>0</v>
      </c>
      <c r="E13" s="162">
        <v>1</v>
      </c>
      <c r="F13" s="162">
        <v>0</v>
      </c>
      <c r="G13" s="162">
        <v>-100</v>
      </c>
      <c r="H13" s="162">
        <v>0</v>
      </c>
      <c r="I13" s="162">
        <v>2.2999999999999998</v>
      </c>
      <c r="J13" s="27"/>
    </row>
    <row r="14" spans="1:10" s="6" customFormat="1">
      <c r="A14" s="162" t="s">
        <v>306</v>
      </c>
      <c r="B14" s="162">
        <v>0</v>
      </c>
      <c r="C14" s="162">
        <v>0</v>
      </c>
      <c r="D14" s="162">
        <v>1</v>
      </c>
      <c r="E14" s="162">
        <v>9</v>
      </c>
      <c r="F14" s="162">
        <v>0</v>
      </c>
      <c r="G14" s="162">
        <v>-88.9</v>
      </c>
      <c r="H14" s="162">
        <v>1.3</v>
      </c>
      <c r="I14" s="162">
        <v>20.5</v>
      </c>
      <c r="J14" s="42"/>
    </row>
    <row r="15" spans="1:10">
      <c r="A15" s="162" t="s">
        <v>477</v>
      </c>
      <c r="B15" s="162">
        <f>SUBTOTAL(109,Table_bdsql12_BDnewRegistrations_getAggBussEL[antalPerioden])</f>
        <v>43</v>
      </c>
      <c r="C15" s="162">
        <f>SUBTOTAL(109,Table_bdsql12_BDnewRegistrations_getAggBussEL[antalPeriodenFG])</f>
        <v>4</v>
      </c>
      <c r="D15" s="162">
        <f>SUBTOTAL(109,Table_bdsql12_BDnewRegistrations_getAggBussEL[antalAret])</f>
        <v>75</v>
      </c>
      <c r="E15" s="162">
        <f>SUBTOTAL(109,Table_bdsql12_BDnewRegistrations_getAggBussEL[antalAretFG])</f>
        <v>44</v>
      </c>
      <c r="F15" s="164">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975</v>
      </c>
      <c r="G15" s="164">
        <f>IF(Table_bdsql12_BDnewRegistrations_getAggBussEL[[#Totals],[antalAretFG]] &gt; 0,( Table_bdsql12_BDnewRegistrations_getAggBussEL[[#Totals],[antalAret]] - Table_bdsql12_BDnewRegistrations_getAggBussEL[[#Totals],[antalAretFG]] ) / Table_bdsql12_BDnewRegistrations_getAggBussEL[[#Totals],[antalAretFG]] * 100,0)</f>
        <v>70.454545454545453</v>
      </c>
      <c r="H15" s="166" t="str">
        <f>TEXT(100,"0,0")</f>
        <v>100,0</v>
      </c>
      <c r="I15" s="166" t="str">
        <f>TEXT(100,"0,0")</f>
        <v>100,0</v>
      </c>
      <c r="J15" s="27"/>
    </row>
    <row r="16" spans="1:10">
      <c r="A16" s="27"/>
      <c r="B16" s="27"/>
      <c r="C16" s="27"/>
      <c r="D16" s="27"/>
      <c r="E16" s="27"/>
      <c r="F16" s="27"/>
      <c r="G16" s="27"/>
      <c r="H16" s="27"/>
      <c r="I16" s="27"/>
      <c r="J16" s="27"/>
    </row>
    <row r="17" spans="1:10">
      <c r="A17" s="27"/>
      <c r="B17" s="27"/>
      <c r="C17" s="27"/>
      <c r="D17" s="27"/>
      <c r="E17" s="27"/>
      <c r="F17" s="27"/>
      <c r="G17" s="27"/>
      <c r="H17" s="27"/>
      <c r="I17" s="27"/>
      <c r="J17" s="27"/>
    </row>
    <row r="18" spans="1:10">
      <c r="A18" s="27"/>
      <c r="B18" s="27"/>
      <c r="C18" s="27"/>
      <c r="D18" s="27"/>
      <c r="E18" s="27"/>
      <c r="F18" s="27"/>
      <c r="G18" s="27"/>
      <c r="H18" s="27"/>
      <c r="I18" s="27"/>
      <c r="J18" s="27"/>
    </row>
    <row r="19" spans="1:10">
      <c r="A19" s="27"/>
      <c r="B19" s="27"/>
      <c r="C19" s="27"/>
      <c r="D19" s="27"/>
      <c r="E19" s="27"/>
      <c r="F19" s="27"/>
      <c r="G19" s="27"/>
      <c r="H19" s="27"/>
      <c r="I19" s="27"/>
      <c r="J19" s="27"/>
    </row>
    <row r="20" spans="1:10">
      <c r="A20" s="27" t="s">
        <v>707</v>
      </c>
      <c r="B20" s="27"/>
      <c r="C20" s="27"/>
      <c r="D20" s="27"/>
      <c r="E20" s="27"/>
      <c r="F20" s="27"/>
      <c r="G20" s="27"/>
      <c r="H20" s="27"/>
      <c r="I20" s="27"/>
      <c r="J20" s="27"/>
    </row>
    <row r="21" spans="1:10">
      <c r="A21" s="27"/>
      <c r="B21" s="27"/>
      <c r="C21" s="27"/>
      <c r="D21" s="27"/>
      <c r="E21" s="27"/>
      <c r="F21" s="27"/>
      <c r="G21" s="27"/>
      <c r="H21" s="27"/>
      <c r="I21" s="27"/>
      <c r="J21" s="27"/>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2" sqref="O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72" t="s">
        <v>501</v>
      </c>
      <c r="R3" s="72"/>
      <c r="S3" s="72"/>
      <c r="T3" s="72"/>
      <c r="U3" s="106"/>
    </row>
    <row r="4" spans="17:21">
      <c r="Q4" s="27"/>
      <c r="R4" s="27"/>
      <c r="S4" s="27"/>
      <c r="T4" s="27"/>
      <c r="U4" s="27"/>
    </row>
    <row r="5" spans="17:21" ht="16" thickBot="1">
      <c r="Q5" s="20" t="s">
        <v>478</v>
      </c>
      <c r="R5" s="20">
        <v>2021</v>
      </c>
      <c r="S5" s="20">
        <v>2022</v>
      </c>
      <c r="T5" s="20">
        <v>2023</v>
      </c>
      <c r="U5" s="27"/>
    </row>
    <row r="6" spans="17:21">
      <c r="Q6" s="34" t="s">
        <v>2</v>
      </c>
      <c r="R6" s="34">
        <v>20573</v>
      </c>
      <c r="S6" s="34">
        <v>19893</v>
      </c>
      <c r="T6" s="34">
        <v>14601</v>
      </c>
      <c r="U6" s="27"/>
    </row>
    <row r="7" spans="17:21">
      <c r="Q7" s="34" t="s">
        <v>3</v>
      </c>
      <c r="R7" s="34">
        <v>22837</v>
      </c>
      <c r="S7" s="34">
        <v>21136</v>
      </c>
      <c r="T7" s="34">
        <v>18442</v>
      </c>
      <c r="U7" s="27"/>
    </row>
    <row r="8" spans="17:21">
      <c r="Q8" s="34" t="s">
        <v>4</v>
      </c>
      <c r="R8" s="34">
        <v>47460</v>
      </c>
      <c r="S8" s="34">
        <v>28710</v>
      </c>
      <c r="T8" s="34">
        <v>30261</v>
      </c>
      <c r="U8" s="27"/>
    </row>
    <row r="9" spans="17:21">
      <c r="Q9" s="34" t="s">
        <v>5</v>
      </c>
      <c r="R9" s="34">
        <v>21871</v>
      </c>
      <c r="S9" s="34">
        <v>21942</v>
      </c>
      <c r="T9" s="34">
        <v>20586</v>
      </c>
      <c r="U9" s="27"/>
    </row>
    <row r="10" spans="17:21">
      <c r="Q10" s="34" t="s">
        <v>6</v>
      </c>
      <c r="R10" s="34">
        <v>24327</v>
      </c>
      <c r="S10" s="34">
        <v>26413</v>
      </c>
      <c r="T10" s="34"/>
      <c r="U10" s="27"/>
    </row>
    <row r="11" spans="17:21">
      <c r="Q11" s="34" t="s">
        <v>7</v>
      </c>
      <c r="R11" s="34">
        <v>36095</v>
      </c>
      <c r="S11" s="34">
        <v>26088</v>
      </c>
      <c r="T11" s="34"/>
      <c r="U11" s="27"/>
    </row>
    <row r="12" spans="17:21">
      <c r="Q12" s="34" t="s">
        <v>8</v>
      </c>
      <c r="R12" s="34">
        <v>16778</v>
      </c>
      <c r="S12" s="34">
        <v>17834</v>
      </c>
      <c r="T12" s="34"/>
      <c r="U12" s="27"/>
    </row>
    <row r="13" spans="17:21">
      <c r="Q13" s="34" t="s">
        <v>9</v>
      </c>
      <c r="R13" s="34">
        <v>19808</v>
      </c>
      <c r="S13" s="34">
        <v>20576</v>
      </c>
      <c r="T13" s="34"/>
      <c r="U13" s="27"/>
    </row>
    <row r="14" spans="17:21">
      <c r="Q14" s="34" t="s">
        <v>10</v>
      </c>
      <c r="R14" s="34">
        <v>22634</v>
      </c>
      <c r="S14" s="34">
        <v>22048</v>
      </c>
      <c r="T14" s="34"/>
      <c r="U14" s="27"/>
    </row>
    <row r="15" spans="17:21">
      <c r="Q15" s="34" t="s">
        <v>11</v>
      </c>
      <c r="R15" s="34">
        <v>19962</v>
      </c>
      <c r="S15" s="34">
        <v>22383</v>
      </c>
      <c r="T15" s="34"/>
      <c r="U15" s="27"/>
    </row>
    <row r="16" spans="17:21">
      <c r="Q16" s="34" t="s">
        <v>12</v>
      </c>
      <c r="R16" s="34">
        <v>21056</v>
      </c>
      <c r="S16" s="34">
        <v>25588</v>
      </c>
      <c r="T16" s="34"/>
      <c r="U16" s="27"/>
    </row>
    <row r="17" spans="17:21">
      <c r="Q17" s="34" t="s">
        <v>13</v>
      </c>
      <c r="R17" s="34">
        <v>27582</v>
      </c>
      <c r="S17" s="34">
        <v>35476</v>
      </c>
      <c r="T17" s="34"/>
      <c r="U17" s="27"/>
    </row>
    <row r="18" spans="17:21">
      <c r="Q18" s="32" t="s">
        <v>561</v>
      </c>
      <c r="R18" s="32">
        <f>SUMIF(T6:T17,"&gt;0",R6:R17)</f>
        <v>112741</v>
      </c>
      <c r="S18" s="32">
        <f>SUMIF(T6:T17,"&gt;0",S6:S17)</f>
        <v>91681</v>
      </c>
      <c r="T18" s="32">
        <f>SUM(T6:T17)</f>
        <v>83890</v>
      </c>
      <c r="U18" s="27"/>
    </row>
    <row r="19" spans="17:21">
      <c r="Q19" s="36" t="s">
        <v>560</v>
      </c>
      <c r="R19" s="36">
        <f>SUM(R6:R17)</f>
        <v>300983</v>
      </c>
      <c r="S19" s="36">
        <f>SUM(S6:S17)</f>
        <v>288087</v>
      </c>
      <c r="T19" s="36"/>
      <c r="U19" s="27"/>
    </row>
    <row r="20" spans="17:21">
      <c r="Q20" s="27"/>
      <c r="R20" s="27"/>
      <c r="S20" s="27"/>
      <c r="T20" s="27"/>
      <c r="U20" s="27"/>
    </row>
    <row r="21" spans="17:21">
      <c r="Q21" s="34" t="s">
        <v>475</v>
      </c>
      <c r="R21" s="27"/>
      <c r="S21" s="27"/>
      <c r="T21" s="27"/>
      <c r="U21" s="27"/>
    </row>
    <row r="22" spans="17:21">
      <c r="Q22" s="27"/>
      <c r="R22" s="27"/>
      <c r="S22" s="27"/>
      <c r="T22" s="27"/>
      <c r="U22" s="27"/>
    </row>
    <row r="23" spans="17:21" ht="17" thickBot="1">
      <c r="Q23" s="72" t="s">
        <v>573</v>
      </c>
      <c r="R23" s="72"/>
      <c r="S23" s="72"/>
      <c r="T23" s="72"/>
      <c r="U23" s="72"/>
    </row>
    <row r="24" spans="17:21">
      <c r="Q24" s="27"/>
      <c r="R24" s="27"/>
      <c r="S24" s="27"/>
      <c r="T24" s="27"/>
      <c r="U24" s="27"/>
    </row>
    <row r="25" spans="17:21">
      <c r="Q25" s="107" t="s">
        <v>570</v>
      </c>
      <c r="R25" s="108" t="s">
        <v>549</v>
      </c>
      <c r="S25" s="108" t="str">
        <f>[0]!Manaden</f>
        <v>April</v>
      </c>
      <c r="T25" s="108" t="s">
        <v>561</v>
      </c>
      <c r="U25" s="27"/>
    </row>
    <row r="26" spans="17:21">
      <c r="Q26" s="59" t="s">
        <v>571</v>
      </c>
      <c r="R26" s="59">
        <v>2023</v>
      </c>
      <c r="S26" s="59">
        <v>704</v>
      </c>
      <c r="T26" s="59">
        <v>2325</v>
      </c>
      <c r="U26" s="27"/>
    </row>
    <row r="27" spans="17:21">
      <c r="Q27" s="59" t="s">
        <v>571</v>
      </c>
      <c r="R27" s="59">
        <v>2022</v>
      </c>
      <c r="S27" s="59">
        <v>941</v>
      </c>
      <c r="T27" s="59">
        <v>3070</v>
      </c>
      <c r="U27" s="27"/>
    </row>
    <row r="28" spans="17:21">
      <c r="Q28" s="59" t="s">
        <v>572</v>
      </c>
      <c r="R28" s="59">
        <v>2023</v>
      </c>
      <c r="S28" s="59">
        <v>64</v>
      </c>
      <c r="T28" s="59">
        <v>245</v>
      </c>
      <c r="U28" s="27"/>
    </row>
    <row r="29" spans="17:21">
      <c r="Q29" s="59" t="s">
        <v>572</v>
      </c>
      <c r="R29" s="59">
        <v>2022</v>
      </c>
      <c r="S29" s="59">
        <v>105</v>
      </c>
      <c r="T29" s="59">
        <v>369</v>
      </c>
      <c r="U29" s="27"/>
    </row>
    <row r="30" spans="17:21">
      <c r="Q30" s="27"/>
      <c r="R30" s="27"/>
      <c r="S30" s="27"/>
      <c r="T30" s="27"/>
      <c r="U30" s="27"/>
    </row>
    <row r="31" spans="17:21">
      <c r="Q31" s="34" t="s">
        <v>574</v>
      </c>
      <c r="R31" s="27"/>
      <c r="S31" s="27"/>
      <c r="T31" s="27"/>
      <c r="U31" s="27"/>
    </row>
    <row r="32" spans="17:21">
      <c r="Q32" s="27"/>
      <c r="R32" s="27"/>
      <c r="S32" s="27"/>
      <c r="T32" s="27"/>
      <c r="U32" s="27"/>
    </row>
    <row r="33" spans="14:22">
      <c r="Q33" s="27"/>
      <c r="R33" s="27"/>
      <c r="S33" s="27"/>
      <c r="T33" s="27"/>
      <c r="U33" s="27"/>
    </row>
    <row r="34" spans="14:22">
      <c r="Q34" s="27"/>
      <c r="R34" s="27"/>
      <c r="S34" s="27"/>
      <c r="T34" s="27"/>
      <c r="U34" s="27"/>
    </row>
    <row r="35" spans="14:22" ht="21" thickBot="1">
      <c r="Q35" s="72" t="s">
        <v>14</v>
      </c>
      <c r="R35" s="72"/>
      <c r="S35" s="72"/>
      <c r="T35" s="72"/>
      <c r="U35" s="72"/>
      <c r="V35" s="10"/>
    </row>
    <row r="36" spans="14:22">
      <c r="Q36" s="27"/>
      <c r="R36" s="27"/>
      <c r="S36" s="27"/>
      <c r="T36" s="27"/>
      <c r="U36" s="27"/>
    </row>
    <row r="37" spans="14:22">
      <c r="Q37" s="34" t="s">
        <v>461</v>
      </c>
      <c r="R37" s="62">
        <v>-3.3053030671268169</v>
      </c>
      <c r="S37" s="27"/>
      <c r="T37" s="27"/>
      <c r="U37" s="27"/>
    </row>
    <row r="38" spans="14:22">
      <c r="Q38" s="34" t="s">
        <v>528</v>
      </c>
      <c r="R38" s="62">
        <v>5.2687378998801515</v>
      </c>
      <c r="S38" s="27"/>
      <c r="T38" s="27"/>
      <c r="U38" s="27"/>
    </row>
    <row r="39" spans="14:22">
      <c r="Q39" s="34" t="s">
        <v>588</v>
      </c>
      <c r="R39" s="62">
        <v>71.651777641144349</v>
      </c>
      <c r="S39" s="27"/>
      <c r="T39" s="27"/>
      <c r="U39" s="27"/>
    </row>
    <row r="40" spans="14:22">
      <c r="Q40" s="34" t="s">
        <v>605</v>
      </c>
      <c r="R40" s="62">
        <v>15.621695918798901</v>
      </c>
      <c r="S40" s="27"/>
      <c r="T40" s="27"/>
      <c r="U40" s="27"/>
    </row>
    <row r="41" spans="14:22">
      <c r="Q41" s="34" t="s">
        <v>619</v>
      </c>
      <c r="R41" s="62">
        <v>53.183048926390029</v>
      </c>
      <c r="S41" s="27"/>
      <c r="T41" s="27"/>
      <c r="U41" s="27"/>
    </row>
    <row r="42" spans="14:22">
      <c r="Q42" s="34" t="s">
        <v>626</v>
      </c>
      <c r="R42" s="62">
        <v>45.856063361215497</v>
      </c>
      <c r="S42" s="27"/>
      <c r="T42" s="27"/>
      <c r="U42" s="27"/>
    </row>
    <row r="43" spans="14:22">
      <c r="N43" s="39"/>
      <c r="Q43" s="34" t="s">
        <v>631</v>
      </c>
      <c r="R43" s="62">
        <v>-26.146667840478916</v>
      </c>
      <c r="S43" s="27"/>
      <c r="T43" s="27"/>
      <c r="U43" s="27"/>
    </row>
    <row r="44" spans="14:22">
      <c r="Q44" s="34" t="s">
        <v>633</v>
      </c>
      <c r="R44" s="62">
        <v>-22.388527544863255</v>
      </c>
      <c r="S44" s="27"/>
      <c r="T44" s="27"/>
      <c r="U44" s="27"/>
    </row>
    <row r="45" spans="14:22">
      <c r="Q45" s="34" t="s">
        <v>641</v>
      </c>
      <c r="R45" s="62">
        <v>-21.188063651241336</v>
      </c>
      <c r="S45" s="27"/>
      <c r="T45" s="27"/>
      <c r="U45" s="27"/>
    </row>
    <row r="46" spans="14:22">
      <c r="Q46" s="34" t="s">
        <v>660</v>
      </c>
      <c r="R46" s="62">
        <v>-29.079475610189366</v>
      </c>
      <c r="S46" s="27"/>
      <c r="T46" s="27"/>
      <c r="U46" s="27"/>
    </row>
    <row r="47" spans="14:22">
      <c r="Q47" s="34" t="s">
        <v>669</v>
      </c>
      <c r="R47" s="62">
        <v>-20.755711113620112</v>
      </c>
      <c r="S47" s="27"/>
      <c r="T47" s="27"/>
      <c r="U47" s="27"/>
    </row>
    <row r="48" spans="14:22">
      <c r="Q48" s="34" t="s">
        <v>678</v>
      </c>
      <c r="R48" s="62">
        <v>-20.42582655357452</v>
      </c>
      <c r="S48" s="27"/>
      <c r="T48" s="27"/>
      <c r="U48" s="27"/>
    </row>
    <row r="49" spans="17:21">
      <c r="Q49" s="34" t="s">
        <v>687</v>
      </c>
      <c r="R49" s="62">
        <f>((S6-R6)/R6)*100</f>
        <v>-3.3053030671268169</v>
      </c>
      <c r="S49" s="27"/>
      <c r="T49" s="27"/>
      <c r="U49" s="27"/>
    </row>
    <row r="50" spans="17:21">
      <c r="Q50" s="34" t="s">
        <v>702</v>
      </c>
      <c r="R50" s="62">
        <f t="shared" ref="R50:R60" si="0">((S7-R7)/R7)*100</f>
        <v>-7.4484389368130666</v>
      </c>
      <c r="S50" s="27"/>
      <c r="T50" s="27"/>
      <c r="U50" s="27"/>
    </row>
    <row r="51" spans="17:21">
      <c r="Q51" s="34" t="s">
        <v>721</v>
      </c>
      <c r="R51" s="62">
        <f t="shared" si="0"/>
        <v>-39.506953223767383</v>
      </c>
      <c r="S51" s="27"/>
      <c r="T51" s="27"/>
      <c r="U51" s="27"/>
    </row>
    <row r="52" spans="17:21">
      <c r="Q52" s="34" t="s">
        <v>730</v>
      </c>
      <c r="R52" s="62">
        <f t="shared" si="0"/>
        <v>0.32463078963010383</v>
      </c>
      <c r="S52" s="27"/>
      <c r="T52" s="27"/>
      <c r="U52" s="27"/>
    </row>
    <row r="53" spans="17:21">
      <c r="Q53" s="34" t="s">
        <v>736</v>
      </c>
      <c r="R53" s="62">
        <f t="shared" si="0"/>
        <v>8.5748345459777209</v>
      </c>
      <c r="S53" s="27"/>
      <c r="T53" s="27"/>
      <c r="U53" s="27"/>
    </row>
    <row r="54" spans="17:21">
      <c r="Q54" s="34" t="s">
        <v>739</v>
      </c>
      <c r="R54" s="62">
        <f t="shared" si="0"/>
        <v>-27.724061504363483</v>
      </c>
      <c r="S54" s="27"/>
      <c r="T54" s="27"/>
      <c r="U54" s="27"/>
    </row>
    <row r="55" spans="17:21">
      <c r="Q55" s="34" t="s">
        <v>1018</v>
      </c>
      <c r="R55" s="62">
        <f t="shared" si="0"/>
        <v>6.2939563714387887</v>
      </c>
      <c r="S55" s="27"/>
      <c r="T55" s="27"/>
      <c r="U55" s="27"/>
    </row>
    <row r="56" spans="17:21">
      <c r="Q56" s="34" t="s">
        <v>1026</v>
      </c>
      <c r="R56" s="62">
        <f t="shared" si="0"/>
        <v>3.877221324717286</v>
      </c>
      <c r="S56" s="27"/>
      <c r="T56" s="27"/>
      <c r="U56" s="27"/>
    </row>
    <row r="57" spans="17:21">
      <c r="Q57" s="34" t="s">
        <v>1042</v>
      </c>
      <c r="R57" s="62">
        <f t="shared" si="0"/>
        <v>-2.5890253600777591</v>
      </c>
      <c r="S57" s="27"/>
      <c r="T57" s="27"/>
      <c r="U57" s="27"/>
    </row>
    <row r="58" spans="17:21">
      <c r="Q58" s="34" t="s">
        <v>1052</v>
      </c>
      <c r="R58" s="62">
        <f t="shared" si="0"/>
        <v>12.128043282236249</v>
      </c>
      <c r="S58" s="27"/>
      <c r="T58" s="27"/>
      <c r="U58" s="27"/>
    </row>
    <row r="59" spans="17:21">
      <c r="Q59" s="34" t="s">
        <v>1064</v>
      </c>
      <c r="R59" s="62">
        <f t="shared" si="0"/>
        <v>21.523556231003038</v>
      </c>
      <c r="S59" s="27"/>
      <c r="T59" s="27"/>
      <c r="U59" s="27"/>
    </row>
    <row r="60" spans="17:21">
      <c r="Q60" s="34" t="s">
        <v>1080</v>
      </c>
      <c r="R60" s="62">
        <f t="shared" si="0"/>
        <v>28.620114567471539</v>
      </c>
      <c r="S60" s="27"/>
      <c r="T60" s="27"/>
      <c r="U60" s="27"/>
    </row>
    <row r="61" spans="17:21">
      <c r="Q61" s="34" t="s">
        <v>1108</v>
      </c>
      <c r="R61" s="62">
        <f>((T6-S6)/S6)*100</f>
        <v>-26.602322424973607</v>
      </c>
      <c r="S61" s="27"/>
      <c r="T61" s="27"/>
      <c r="U61" s="27"/>
    </row>
    <row r="62" spans="17:21">
      <c r="Q62" s="239" t="s">
        <v>1145</v>
      </c>
      <c r="R62" s="62">
        <f>((T7-S7)/S7)*100</f>
        <v>-12.746025738077213</v>
      </c>
      <c r="S62" s="27"/>
      <c r="T62" s="27"/>
      <c r="U62" s="27"/>
    </row>
    <row r="63" spans="17:21">
      <c r="Q63" s="239" t="s">
        <v>1180</v>
      </c>
      <c r="R63" s="62">
        <f>((T8-S8)/S8)*100</f>
        <v>5.4022988505747129</v>
      </c>
      <c r="S63" s="27"/>
      <c r="T63" s="27"/>
      <c r="U63" s="27"/>
    </row>
    <row r="64" spans="17:21">
      <c r="Q64" s="239" t="s">
        <v>1218</v>
      </c>
      <c r="R64" s="62">
        <f>((T9-S9)/S9)*100</f>
        <v>-6.179928903472792</v>
      </c>
      <c r="S64" s="27"/>
      <c r="T64" s="27"/>
      <c r="U64" s="27"/>
    </row>
    <row r="65" spans="1:21">
      <c r="A65" s="109"/>
      <c r="Q65" s="34"/>
      <c r="R65" s="62"/>
      <c r="S65" s="27"/>
      <c r="T65" s="27"/>
      <c r="U65" s="27"/>
    </row>
    <row r="66" spans="1:21">
      <c r="Q66" s="34"/>
      <c r="R66" s="62"/>
      <c r="S66" s="27"/>
      <c r="T66" s="27"/>
      <c r="U66" s="27"/>
    </row>
    <row r="67" spans="1:21">
      <c r="A67" s="109" t="s">
        <v>707</v>
      </c>
      <c r="Q67" s="34"/>
      <c r="R67" s="62"/>
      <c r="S67" s="27"/>
      <c r="T67" s="27"/>
      <c r="U67" s="27"/>
    </row>
    <row r="68" spans="1:21">
      <c r="Q68" s="34"/>
      <c r="R68" s="62"/>
      <c r="S68" s="27"/>
      <c r="T68" s="27"/>
      <c r="U68" s="27"/>
    </row>
    <row r="69" spans="1:21">
      <c r="Q69" s="34"/>
      <c r="R69" s="62"/>
      <c r="S69" s="27"/>
      <c r="T69" s="27"/>
      <c r="U69" s="27"/>
    </row>
    <row r="70" spans="1:21">
      <c r="Q70" s="34"/>
      <c r="R70" s="62"/>
      <c r="S70" s="27"/>
      <c r="T70" s="27"/>
      <c r="U70" s="27"/>
    </row>
    <row r="71" spans="1:21">
      <c r="Q71" s="34"/>
      <c r="R71" s="62"/>
      <c r="S71" s="27"/>
      <c r="T71" s="27"/>
      <c r="U71" s="27"/>
    </row>
    <row r="72" spans="1:21">
      <c r="R72" s="62"/>
      <c r="S72" s="27"/>
      <c r="T72" s="27"/>
      <c r="U72" s="27"/>
    </row>
    <row r="73" spans="1:21">
      <c r="Q73" s="27"/>
      <c r="R73" s="62"/>
      <c r="S73" s="27"/>
      <c r="T73" s="27"/>
      <c r="U73" s="27"/>
    </row>
    <row r="74" spans="1:21">
      <c r="Q74" s="27"/>
      <c r="R74" s="63"/>
      <c r="S74" s="27"/>
      <c r="T74" s="27"/>
      <c r="U74" s="27"/>
    </row>
    <row r="75" spans="1:21">
      <c r="Q75" s="27"/>
      <c r="R75" s="27"/>
      <c r="S75" s="27"/>
      <c r="T75" s="27"/>
      <c r="U75" s="27"/>
    </row>
    <row r="76" spans="1:21">
      <c r="Q76" s="27"/>
      <c r="R76" s="27"/>
      <c r="S76" s="27"/>
      <c r="T76" s="27"/>
      <c r="U76" s="27"/>
    </row>
    <row r="77" spans="1:21">
      <c r="Q77" s="27"/>
      <c r="R77" s="27"/>
      <c r="S77" s="27"/>
      <c r="T77" s="27"/>
      <c r="U77" s="27"/>
    </row>
    <row r="78" spans="1:21">
      <c r="A78" s="19"/>
      <c r="Q78" s="27"/>
      <c r="R78" s="27"/>
      <c r="S78" s="27"/>
      <c r="T78" s="27"/>
      <c r="U78" s="27"/>
    </row>
    <row r="88" spans="17:18">
      <c r="Q88" s="9"/>
      <c r="R88" s="9"/>
    </row>
    <row r="89" spans="17:18">
      <c r="Q89" s="9"/>
      <c r="R89" s="9"/>
    </row>
    <row r="90" spans="17:18">
      <c r="Q90" s="9"/>
      <c r="R90" s="9"/>
    </row>
    <row r="91" spans="17:18">
      <c r="Q91" s="9"/>
      <c r="R91" s="9"/>
    </row>
    <row r="92" spans="17:18">
      <c r="Q92" s="9"/>
      <c r="R92" s="9"/>
    </row>
    <row r="93" spans="17:18">
      <c r="Q93" s="9"/>
      <c r="R93" s="9"/>
    </row>
    <row r="94" spans="17:18">
      <c r="R94" s="9"/>
    </row>
    <row r="95" spans="17:18">
      <c r="R95" s="9"/>
    </row>
    <row r="96" spans="17:18">
      <c r="R96" s="9"/>
    </row>
    <row r="97" spans="18:18">
      <c r="R97" s="9"/>
    </row>
    <row r="98" spans="18:18">
      <c r="R98" s="9"/>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6"/>
  <sheetViews>
    <sheetView workbookViewId="0">
      <pane ySplit="6" topLeftCell="A7" activePane="bottomLeft" state="frozen"/>
      <selection pane="bottomLeft"/>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60" t="s">
        <v>551</v>
      </c>
      <c r="E2" s="60"/>
      <c r="F2" s="60"/>
      <c r="G2" s="60"/>
      <c r="H2" s="60"/>
      <c r="I2" s="60"/>
      <c r="J2" s="60"/>
      <c r="K2" s="60"/>
      <c r="L2" s="60"/>
    </row>
    <row r="3" spans="1:17" ht="20.25" customHeight="1"/>
    <row r="4" spans="1:17">
      <c r="A4" s="59" t="s">
        <v>550</v>
      </c>
      <c r="B4" s="27"/>
      <c r="C4" s="27"/>
      <c r="D4" s="27"/>
      <c r="E4" s="92"/>
      <c r="F4" s="92"/>
      <c r="G4" s="273" t="s">
        <v>475</v>
      </c>
      <c r="H4" s="273"/>
      <c r="I4" s="273"/>
      <c r="J4" s="273"/>
      <c r="K4" s="273"/>
      <c r="L4" s="273"/>
      <c r="M4" s="273"/>
      <c r="N4" s="273"/>
      <c r="O4" s="273"/>
      <c r="P4" s="27"/>
      <c r="Q4" s="27"/>
    </row>
    <row r="5" spans="1:17">
      <c r="A5" s="117" t="s">
        <v>486</v>
      </c>
      <c r="B5" s="117" t="s">
        <v>549</v>
      </c>
      <c r="C5" s="228" t="s">
        <v>561</v>
      </c>
      <c r="D5" s="228" t="s">
        <v>2</v>
      </c>
      <c r="E5" s="228" t="s">
        <v>3</v>
      </c>
      <c r="F5" s="228" t="s">
        <v>548</v>
      </c>
      <c r="G5" s="228" t="s">
        <v>547</v>
      </c>
      <c r="H5" s="228" t="s">
        <v>6</v>
      </c>
      <c r="I5" s="228" t="s">
        <v>546</v>
      </c>
      <c r="J5" s="228" t="s">
        <v>545</v>
      </c>
      <c r="K5" s="228" t="s">
        <v>9</v>
      </c>
      <c r="L5" s="228" t="s">
        <v>10</v>
      </c>
      <c r="M5" s="228" t="s">
        <v>11</v>
      </c>
      <c r="N5" s="228" t="s">
        <v>12</v>
      </c>
      <c r="O5" s="228" t="s">
        <v>13</v>
      </c>
      <c r="P5" s="27"/>
      <c r="Q5" s="27"/>
    </row>
    <row r="6" spans="1:17" hidden="1">
      <c r="A6" s="162"/>
      <c r="B6" s="162"/>
      <c r="C6" s="162" t="s">
        <v>544</v>
      </c>
      <c r="D6" s="162" t="s">
        <v>543</v>
      </c>
      <c r="E6" s="162" t="s">
        <v>542</v>
      </c>
      <c r="F6" s="162" t="s">
        <v>541</v>
      </c>
      <c r="G6" s="162" t="s">
        <v>540</v>
      </c>
      <c r="H6" s="162" t="s">
        <v>539</v>
      </c>
      <c r="I6" s="162" t="s">
        <v>538</v>
      </c>
      <c r="J6" s="162" t="s">
        <v>537</v>
      </c>
      <c r="K6" s="162" t="s">
        <v>536</v>
      </c>
      <c r="L6" s="162" t="s">
        <v>535</v>
      </c>
      <c r="M6" s="162" t="s">
        <v>534</v>
      </c>
      <c r="N6" s="162" t="s">
        <v>533</v>
      </c>
      <c r="O6" s="162" t="s">
        <v>532</v>
      </c>
      <c r="P6" s="27"/>
      <c r="Q6" s="27"/>
    </row>
    <row r="7" spans="1:17">
      <c r="A7" s="180" t="s">
        <v>735</v>
      </c>
      <c r="B7" s="162"/>
      <c r="C7" s="163"/>
      <c r="D7" s="162"/>
      <c r="E7" s="162"/>
      <c r="F7" s="162"/>
      <c r="G7" s="162"/>
      <c r="H7" s="162"/>
      <c r="I7" s="162"/>
      <c r="J7" s="162"/>
      <c r="K7" s="162"/>
      <c r="L7" s="162"/>
      <c r="M7" s="162"/>
      <c r="N7" s="162"/>
      <c r="O7" s="162"/>
      <c r="P7" s="27"/>
      <c r="Q7" s="27"/>
    </row>
    <row r="8" spans="1:17">
      <c r="A8" s="162"/>
      <c r="B8" s="180">
        <v>2022</v>
      </c>
      <c r="C8" s="163">
        <v>0</v>
      </c>
      <c r="D8" s="162">
        <v>0</v>
      </c>
      <c r="E8" s="162">
        <v>0</v>
      </c>
      <c r="F8" s="162">
        <v>0</v>
      </c>
      <c r="G8" s="162">
        <v>0</v>
      </c>
      <c r="H8" s="162">
        <v>1</v>
      </c>
      <c r="I8" s="162">
        <v>0</v>
      </c>
      <c r="J8" s="162">
        <v>0</v>
      </c>
      <c r="K8" s="162">
        <v>0</v>
      </c>
      <c r="L8" s="162">
        <v>0</v>
      </c>
      <c r="M8" s="162">
        <v>0</v>
      </c>
      <c r="N8" s="162">
        <v>0</v>
      </c>
      <c r="O8" s="162">
        <v>0</v>
      </c>
      <c r="P8" s="27"/>
      <c r="Q8" s="27"/>
    </row>
    <row r="9" spans="1:17">
      <c r="A9" s="180"/>
      <c r="B9" s="162"/>
      <c r="C9" s="163"/>
      <c r="D9" s="162"/>
      <c r="E9" s="162"/>
      <c r="F9" s="162"/>
      <c r="G9" s="162"/>
      <c r="H9" s="162"/>
      <c r="I9" s="162"/>
      <c r="J9" s="162"/>
      <c r="K9" s="162"/>
      <c r="L9" s="162"/>
      <c r="M9" s="162"/>
      <c r="N9" s="162"/>
      <c r="O9" s="162"/>
      <c r="P9" s="27"/>
      <c r="Q9" s="27"/>
    </row>
    <row r="10" spans="1:17">
      <c r="A10" s="180" t="s">
        <v>280</v>
      </c>
      <c r="B10" s="162"/>
      <c r="C10" s="163"/>
      <c r="D10" s="162"/>
      <c r="E10" s="162"/>
      <c r="F10" s="162"/>
      <c r="G10" s="162"/>
      <c r="H10" s="162"/>
      <c r="I10" s="162"/>
      <c r="J10" s="162"/>
      <c r="K10" s="162"/>
      <c r="L10" s="162"/>
      <c r="M10" s="162"/>
      <c r="N10" s="162"/>
      <c r="O10" s="162"/>
      <c r="P10" s="27"/>
      <c r="Q10" s="27"/>
    </row>
    <row r="11" spans="1:17">
      <c r="A11" s="162"/>
      <c r="B11" s="180">
        <v>2022</v>
      </c>
      <c r="C11" s="163">
        <v>2</v>
      </c>
      <c r="D11" s="162">
        <v>0</v>
      </c>
      <c r="E11" s="162">
        <v>1</v>
      </c>
      <c r="F11" s="162">
        <v>0</v>
      </c>
      <c r="G11" s="162">
        <v>1</v>
      </c>
      <c r="H11" s="162">
        <v>0</v>
      </c>
      <c r="I11" s="162">
        <v>0</v>
      </c>
      <c r="J11" s="162">
        <v>0</v>
      </c>
      <c r="K11" s="162">
        <v>0</v>
      </c>
      <c r="L11" s="162">
        <v>0</v>
      </c>
      <c r="M11" s="162">
        <v>0</v>
      </c>
      <c r="N11" s="162">
        <v>0</v>
      </c>
      <c r="O11" s="162">
        <v>0</v>
      </c>
      <c r="P11" s="27"/>
      <c r="Q11" s="27"/>
    </row>
    <row r="12" spans="1:17">
      <c r="A12" s="180"/>
      <c r="B12" s="162"/>
      <c r="C12" s="163"/>
      <c r="D12" s="162"/>
      <c r="E12" s="162"/>
      <c r="F12" s="162"/>
      <c r="G12" s="162"/>
      <c r="H12" s="162"/>
      <c r="I12" s="162"/>
      <c r="J12" s="162"/>
      <c r="K12" s="162"/>
      <c r="L12" s="162"/>
      <c r="M12" s="162"/>
      <c r="N12" s="162"/>
      <c r="O12" s="162"/>
      <c r="P12" s="27"/>
      <c r="Q12" s="27"/>
    </row>
    <row r="13" spans="1:17">
      <c r="A13" s="180" t="s">
        <v>287</v>
      </c>
      <c r="B13" s="162"/>
      <c r="C13" s="163"/>
      <c r="D13" s="162"/>
      <c r="E13" s="162"/>
      <c r="F13" s="162"/>
      <c r="G13" s="162"/>
      <c r="H13" s="162"/>
      <c r="I13" s="162"/>
      <c r="J13" s="162"/>
      <c r="K13" s="162"/>
      <c r="L13" s="162"/>
      <c r="M13" s="162"/>
      <c r="N13" s="162"/>
      <c r="O13" s="162"/>
      <c r="P13" s="27"/>
      <c r="Q13" s="27"/>
    </row>
    <row r="14" spans="1:17">
      <c r="A14" s="162"/>
      <c r="B14" s="180">
        <v>2022</v>
      </c>
      <c r="C14" s="163">
        <v>0</v>
      </c>
      <c r="D14" s="162">
        <v>0</v>
      </c>
      <c r="E14" s="162">
        <v>0</v>
      </c>
      <c r="F14" s="162">
        <v>0</v>
      </c>
      <c r="G14" s="162">
        <v>0</v>
      </c>
      <c r="H14" s="162">
        <v>0</v>
      </c>
      <c r="I14" s="162">
        <v>0</v>
      </c>
      <c r="J14" s="162">
        <v>0</v>
      </c>
      <c r="K14" s="162">
        <v>0</v>
      </c>
      <c r="L14" s="162">
        <v>1</v>
      </c>
      <c r="M14" s="162">
        <v>0</v>
      </c>
      <c r="N14" s="162">
        <v>0</v>
      </c>
      <c r="O14" s="162">
        <v>0</v>
      </c>
      <c r="P14" s="27"/>
      <c r="Q14" s="27"/>
    </row>
    <row r="15" spans="1:17">
      <c r="A15" s="180"/>
      <c r="B15" s="162"/>
      <c r="C15" s="163"/>
      <c r="D15" s="162"/>
      <c r="E15" s="162"/>
      <c r="F15" s="162"/>
      <c r="G15" s="162"/>
      <c r="H15" s="162"/>
      <c r="I15" s="162"/>
      <c r="J15" s="162"/>
      <c r="K15" s="162"/>
      <c r="L15" s="162"/>
      <c r="M15" s="162"/>
      <c r="N15" s="162"/>
      <c r="O15" s="162"/>
      <c r="P15" s="27"/>
      <c r="Q15" s="27"/>
    </row>
    <row r="16" spans="1:17">
      <c r="A16" s="180" t="s">
        <v>399</v>
      </c>
      <c r="B16" s="162"/>
      <c r="C16" s="163"/>
      <c r="D16" s="162"/>
      <c r="E16" s="162"/>
      <c r="F16" s="162"/>
      <c r="G16" s="162"/>
      <c r="H16" s="162"/>
      <c r="I16" s="162"/>
      <c r="J16" s="162"/>
      <c r="K16" s="162"/>
      <c r="L16" s="162"/>
      <c r="M16" s="162"/>
      <c r="N16" s="162"/>
      <c r="O16" s="162"/>
      <c r="P16" s="27"/>
      <c r="Q16" s="27"/>
    </row>
    <row r="17" spans="1:17">
      <c r="A17" s="162"/>
      <c r="B17" s="180">
        <v>2023</v>
      </c>
      <c r="C17" s="163">
        <v>10</v>
      </c>
      <c r="D17" s="162">
        <v>0</v>
      </c>
      <c r="E17" s="162">
        <v>2</v>
      </c>
      <c r="F17" s="162">
        <v>0</v>
      </c>
      <c r="G17" s="162">
        <v>8</v>
      </c>
      <c r="H17" s="162">
        <v>0</v>
      </c>
      <c r="I17" s="162">
        <v>0</v>
      </c>
      <c r="J17" s="162">
        <v>0</v>
      </c>
      <c r="K17" s="162">
        <v>0</v>
      </c>
      <c r="L17" s="162">
        <v>0</v>
      </c>
      <c r="M17" s="162">
        <v>0</v>
      </c>
      <c r="N17" s="162">
        <v>0</v>
      </c>
      <c r="O17" s="162">
        <v>0</v>
      </c>
      <c r="P17" s="27"/>
      <c r="Q17" s="27"/>
    </row>
    <row r="18" spans="1:17">
      <c r="A18" s="162"/>
      <c r="B18" s="180">
        <v>2022</v>
      </c>
      <c r="C18" s="163">
        <v>4</v>
      </c>
      <c r="D18" s="162">
        <v>1</v>
      </c>
      <c r="E18" s="162">
        <v>0</v>
      </c>
      <c r="F18" s="162">
        <v>2</v>
      </c>
      <c r="G18" s="162">
        <v>1</v>
      </c>
      <c r="H18" s="162">
        <v>1</v>
      </c>
      <c r="I18" s="162">
        <v>1</v>
      </c>
      <c r="J18" s="162">
        <v>1</v>
      </c>
      <c r="K18" s="162">
        <v>0</v>
      </c>
      <c r="L18" s="162">
        <v>0</v>
      </c>
      <c r="M18" s="162">
        <v>3</v>
      </c>
      <c r="N18" s="162">
        <v>0</v>
      </c>
      <c r="O18" s="162">
        <v>0</v>
      </c>
      <c r="P18" s="27"/>
      <c r="Q18" s="27"/>
    </row>
    <row r="19" spans="1:17">
      <c r="A19" s="180"/>
      <c r="B19" s="162"/>
      <c r="C19" s="163"/>
      <c r="D19" s="162"/>
      <c r="E19" s="162"/>
      <c r="F19" s="162"/>
      <c r="G19" s="162"/>
      <c r="H19" s="162"/>
      <c r="I19" s="162"/>
      <c r="J19" s="162"/>
      <c r="K19" s="162"/>
      <c r="L19" s="162"/>
      <c r="M19" s="162"/>
      <c r="N19" s="162"/>
      <c r="O19" s="162"/>
      <c r="P19" s="27"/>
      <c r="Q19" s="27"/>
    </row>
    <row r="20" spans="1:17">
      <c r="A20" s="180" t="s">
        <v>494</v>
      </c>
      <c r="B20" s="162"/>
      <c r="C20" s="163"/>
      <c r="D20" s="162"/>
      <c r="E20" s="162"/>
      <c r="F20" s="162"/>
      <c r="G20" s="162"/>
      <c r="H20" s="162"/>
      <c r="I20" s="162"/>
      <c r="J20" s="162"/>
      <c r="K20" s="162"/>
      <c r="L20" s="162"/>
      <c r="M20" s="162"/>
      <c r="N20" s="162"/>
      <c r="O20" s="162"/>
      <c r="P20" s="27"/>
      <c r="Q20" s="27"/>
    </row>
    <row r="21" spans="1:17">
      <c r="A21" s="162"/>
      <c r="B21" s="180">
        <v>2023</v>
      </c>
      <c r="C21" s="163">
        <v>8</v>
      </c>
      <c r="D21" s="162">
        <v>2</v>
      </c>
      <c r="E21" s="162">
        <v>4</v>
      </c>
      <c r="F21" s="162">
        <v>1</v>
      </c>
      <c r="G21" s="162">
        <v>1</v>
      </c>
      <c r="H21" s="162">
        <v>0</v>
      </c>
      <c r="I21" s="162">
        <v>0</v>
      </c>
      <c r="J21" s="162">
        <v>0</v>
      </c>
      <c r="K21" s="162">
        <v>0</v>
      </c>
      <c r="L21" s="162">
        <v>0</v>
      </c>
      <c r="M21" s="162">
        <v>0</v>
      </c>
      <c r="N21" s="162">
        <v>0</v>
      </c>
      <c r="O21" s="162">
        <v>0</v>
      </c>
      <c r="P21" s="27"/>
      <c r="Q21" s="27"/>
    </row>
    <row r="22" spans="1:17">
      <c r="A22" s="162"/>
      <c r="B22" s="180">
        <v>2022</v>
      </c>
      <c r="C22" s="163">
        <v>1</v>
      </c>
      <c r="D22" s="162">
        <v>0</v>
      </c>
      <c r="E22" s="162">
        <v>0</v>
      </c>
      <c r="F22" s="162">
        <v>0</v>
      </c>
      <c r="G22" s="162">
        <v>1</v>
      </c>
      <c r="H22" s="162">
        <v>0</v>
      </c>
      <c r="I22" s="162">
        <v>0</v>
      </c>
      <c r="J22" s="162">
        <v>0</v>
      </c>
      <c r="K22" s="162">
        <v>0</v>
      </c>
      <c r="L22" s="162">
        <v>0</v>
      </c>
      <c r="M22" s="162">
        <v>0</v>
      </c>
      <c r="N22" s="162">
        <v>6</v>
      </c>
      <c r="O22" s="162">
        <v>5</v>
      </c>
      <c r="P22" s="27"/>
      <c r="Q22" s="27"/>
    </row>
    <row r="23" spans="1:17">
      <c r="A23" s="180"/>
      <c r="B23" s="162"/>
      <c r="C23" s="163"/>
      <c r="D23" s="162"/>
      <c r="E23" s="162"/>
      <c r="F23" s="162"/>
      <c r="G23" s="162"/>
      <c r="H23" s="162"/>
      <c r="I23" s="162"/>
      <c r="J23" s="162"/>
      <c r="K23" s="162"/>
      <c r="L23" s="162"/>
      <c r="M23" s="162"/>
      <c r="N23" s="162"/>
      <c r="O23" s="162"/>
      <c r="P23" s="27"/>
      <c r="Q23" s="27"/>
    </row>
    <row r="24" spans="1:17">
      <c r="A24" s="180" t="s">
        <v>530</v>
      </c>
      <c r="B24" s="162"/>
      <c r="C24" s="163"/>
      <c r="D24" s="162"/>
      <c r="E24" s="162"/>
      <c r="F24" s="162"/>
      <c r="G24" s="162"/>
      <c r="H24" s="162"/>
      <c r="I24" s="162"/>
      <c r="J24" s="162"/>
      <c r="K24" s="162"/>
      <c r="L24" s="162"/>
      <c r="M24" s="162"/>
      <c r="N24" s="162"/>
      <c r="O24" s="162"/>
      <c r="P24" s="27"/>
      <c r="Q24" s="27"/>
    </row>
    <row r="25" spans="1:17">
      <c r="A25" s="162"/>
      <c r="B25" s="180">
        <v>2023</v>
      </c>
      <c r="C25" s="163">
        <v>6</v>
      </c>
      <c r="D25" s="162">
        <v>0</v>
      </c>
      <c r="E25" s="162">
        <v>0</v>
      </c>
      <c r="F25" s="162">
        <v>3</v>
      </c>
      <c r="G25" s="162">
        <v>3</v>
      </c>
      <c r="H25" s="162">
        <v>0</v>
      </c>
      <c r="I25" s="162">
        <v>0</v>
      </c>
      <c r="J25" s="162">
        <v>0</v>
      </c>
      <c r="K25" s="162">
        <v>0</v>
      </c>
      <c r="L25" s="162">
        <v>0</v>
      </c>
      <c r="M25" s="162">
        <v>0</v>
      </c>
      <c r="N25" s="162">
        <v>0</v>
      </c>
      <c r="O25" s="162">
        <v>0</v>
      </c>
      <c r="P25" s="27"/>
      <c r="Q25" s="27"/>
    </row>
    <row r="26" spans="1:17">
      <c r="A26" s="162"/>
      <c r="B26" s="180">
        <v>2022</v>
      </c>
      <c r="C26" s="163">
        <v>1</v>
      </c>
      <c r="D26" s="162">
        <v>1</v>
      </c>
      <c r="E26" s="162">
        <v>0</v>
      </c>
      <c r="F26" s="162">
        <v>0</v>
      </c>
      <c r="G26" s="162">
        <v>0</v>
      </c>
      <c r="H26" s="162">
        <v>1</v>
      </c>
      <c r="I26" s="162">
        <v>0</v>
      </c>
      <c r="J26" s="162">
        <v>0</v>
      </c>
      <c r="K26" s="162">
        <v>0</v>
      </c>
      <c r="L26" s="162">
        <v>1</v>
      </c>
      <c r="M26" s="162">
        <v>0</v>
      </c>
      <c r="N26" s="162">
        <v>0</v>
      </c>
      <c r="O26" s="162">
        <v>0</v>
      </c>
      <c r="P26" s="27"/>
      <c r="Q26" s="27"/>
    </row>
    <row r="27" spans="1:17">
      <c r="A27" s="180"/>
      <c r="B27" s="162"/>
      <c r="C27" s="163"/>
      <c r="D27" s="162"/>
      <c r="E27" s="162"/>
      <c r="F27" s="162"/>
      <c r="G27" s="162"/>
      <c r="H27" s="162"/>
      <c r="I27" s="162"/>
      <c r="J27" s="162"/>
      <c r="K27" s="162"/>
      <c r="L27" s="162"/>
      <c r="M27" s="162"/>
      <c r="N27" s="162"/>
      <c r="O27" s="162"/>
      <c r="P27" s="27"/>
      <c r="Q27" s="27"/>
    </row>
    <row r="28" spans="1:17">
      <c r="A28" s="180" t="s">
        <v>305</v>
      </c>
      <c r="B28" s="162"/>
      <c r="C28" s="163"/>
      <c r="D28" s="162"/>
      <c r="E28" s="162"/>
      <c r="F28" s="162"/>
      <c r="G28" s="162"/>
      <c r="H28" s="162"/>
      <c r="I28" s="162"/>
      <c r="J28" s="162"/>
      <c r="K28" s="162"/>
      <c r="L28" s="162"/>
      <c r="M28" s="162"/>
      <c r="N28" s="162"/>
      <c r="O28" s="162"/>
      <c r="P28" s="27"/>
      <c r="Q28" s="27"/>
    </row>
    <row r="29" spans="1:17">
      <c r="A29" s="162"/>
      <c r="B29" s="180">
        <v>2023</v>
      </c>
      <c r="C29" s="163">
        <v>29</v>
      </c>
      <c r="D29" s="162">
        <v>5</v>
      </c>
      <c r="E29" s="162">
        <v>14</v>
      </c>
      <c r="F29" s="162">
        <v>1</v>
      </c>
      <c r="G29" s="162">
        <v>9</v>
      </c>
      <c r="H29" s="162">
        <v>0</v>
      </c>
      <c r="I29" s="162">
        <v>0</v>
      </c>
      <c r="J29" s="162">
        <v>0</v>
      </c>
      <c r="K29" s="162">
        <v>0</v>
      </c>
      <c r="L29" s="162">
        <v>0</v>
      </c>
      <c r="M29" s="162">
        <v>0</v>
      </c>
      <c r="N29" s="162">
        <v>0</v>
      </c>
      <c r="O29" s="162">
        <v>0</v>
      </c>
      <c r="P29" s="27"/>
      <c r="Q29" s="27"/>
    </row>
    <row r="30" spans="1:17">
      <c r="A30" s="162"/>
      <c r="B30" s="180">
        <v>2022</v>
      </c>
      <c r="C30" s="163">
        <v>27</v>
      </c>
      <c r="D30" s="162">
        <v>4</v>
      </c>
      <c r="E30" s="162">
        <v>6</v>
      </c>
      <c r="F30" s="162">
        <v>3</v>
      </c>
      <c r="G30" s="162">
        <v>14</v>
      </c>
      <c r="H30" s="162">
        <v>8</v>
      </c>
      <c r="I30" s="162">
        <v>5</v>
      </c>
      <c r="J30" s="162">
        <v>2</v>
      </c>
      <c r="K30" s="162">
        <v>8</v>
      </c>
      <c r="L30" s="162">
        <v>0</v>
      </c>
      <c r="M30" s="162">
        <v>3</v>
      </c>
      <c r="N30" s="162">
        <v>4</v>
      </c>
      <c r="O30" s="162">
        <v>8</v>
      </c>
      <c r="P30" s="27"/>
      <c r="Q30" s="27"/>
    </row>
    <row r="31" spans="1:17">
      <c r="A31" s="180"/>
      <c r="B31" s="162"/>
      <c r="C31" s="163"/>
      <c r="D31" s="162"/>
      <c r="E31" s="162"/>
      <c r="F31" s="162"/>
      <c r="G31" s="162"/>
      <c r="H31" s="162"/>
      <c r="I31" s="162"/>
      <c r="J31" s="162"/>
      <c r="K31" s="162"/>
      <c r="L31" s="162"/>
      <c r="M31" s="162"/>
      <c r="N31" s="162"/>
      <c r="O31" s="162"/>
      <c r="P31" s="27"/>
      <c r="Q31" s="27"/>
    </row>
    <row r="32" spans="1:17">
      <c r="A32" s="180" t="s">
        <v>306</v>
      </c>
      <c r="B32" s="162"/>
      <c r="C32" s="163"/>
      <c r="D32" s="162"/>
      <c r="E32" s="162"/>
      <c r="F32" s="162"/>
      <c r="G32" s="162"/>
      <c r="H32" s="162"/>
      <c r="I32" s="162"/>
      <c r="J32" s="162"/>
      <c r="K32" s="162"/>
      <c r="L32" s="162"/>
      <c r="M32" s="162"/>
      <c r="N32" s="162"/>
      <c r="O32" s="162"/>
      <c r="P32" s="27"/>
      <c r="Q32" s="27"/>
    </row>
    <row r="33" spans="1:17">
      <c r="A33" s="162"/>
      <c r="B33" s="180">
        <v>2023</v>
      </c>
      <c r="C33" s="163">
        <v>6</v>
      </c>
      <c r="D33" s="162">
        <v>0</v>
      </c>
      <c r="E33" s="162">
        <v>3</v>
      </c>
      <c r="F33" s="162">
        <v>1</v>
      </c>
      <c r="G33" s="162">
        <v>2</v>
      </c>
      <c r="H33" s="162">
        <v>0</v>
      </c>
      <c r="I33" s="162">
        <v>0</v>
      </c>
      <c r="J33" s="162">
        <v>0</v>
      </c>
      <c r="K33" s="162">
        <v>0</v>
      </c>
      <c r="L33" s="162">
        <v>0</v>
      </c>
      <c r="M33" s="162">
        <v>0</v>
      </c>
      <c r="N33" s="162">
        <v>0</v>
      </c>
      <c r="O33" s="162">
        <v>0</v>
      </c>
      <c r="P33" s="27"/>
      <c r="Q33" s="27"/>
    </row>
    <row r="34" spans="1:17">
      <c r="A34" s="162"/>
      <c r="B34" s="180">
        <v>2022</v>
      </c>
      <c r="C34" s="163">
        <v>3</v>
      </c>
      <c r="D34" s="162">
        <v>1</v>
      </c>
      <c r="E34" s="162">
        <v>1</v>
      </c>
      <c r="F34" s="162">
        <v>1</v>
      </c>
      <c r="G34" s="162">
        <v>0</v>
      </c>
      <c r="H34" s="162">
        <v>2</v>
      </c>
      <c r="I34" s="162">
        <v>0</v>
      </c>
      <c r="J34" s="162">
        <v>0</v>
      </c>
      <c r="K34" s="162">
        <v>1</v>
      </c>
      <c r="L34" s="162">
        <v>0</v>
      </c>
      <c r="M34" s="162">
        <v>1</v>
      </c>
      <c r="N34" s="162">
        <v>1</v>
      </c>
      <c r="O34" s="162">
        <v>1</v>
      </c>
      <c r="P34" s="27"/>
      <c r="Q34" s="27"/>
    </row>
    <row r="35" spans="1:17">
      <c r="A35" s="180"/>
      <c r="B35" s="162"/>
      <c r="C35" s="163"/>
      <c r="D35" s="162"/>
      <c r="E35" s="162"/>
      <c r="F35" s="162"/>
      <c r="G35" s="162"/>
      <c r="H35" s="162"/>
      <c r="I35" s="162"/>
      <c r="J35" s="162"/>
      <c r="K35" s="162"/>
      <c r="L35" s="162"/>
      <c r="M35" s="162"/>
      <c r="N35" s="162"/>
      <c r="O35" s="162"/>
      <c r="P35" s="27"/>
      <c r="Q35" s="27"/>
    </row>
    <row r="36" spans="1:17">
      <c r="A36" s="180" t="s">
        <v>529</v>
      </c>
      <c r="B36" s="162"/>
      <c r="C36" s="163"/>
      <c r="D36" s="162"/>
      <c r="E36" s="162"/>
      <c r="F36" s="162"/>
      <c r="G36" s="162"/>
      <c r="H36" s="162"/>
      <c r="I36" s="162"/>
      <c r="J36" s="162"/>
      <c r="K36" s="162"/>
      <c r="L36" s="162"/>
      <c r="M36" s="162"/>
      <c r="N36" s="162"/>
      <c r="O36" s="162"/>
      <c r="P36" s="27"/>
      <c r="Q36" s="27"/>
    </row>
    <row r="37" spans="1:17">
      <c r="A37" s="162"/>
      <c r="B37" s="180">
        <v>2023</v>
      </c>
      <c r="C37" s="163">
        <v>59</v>
      </c>
      <c r="D37" s="162">
        <v>7</v>
      </c>
      <c r="E37" s="162">
        <v>23</v>
      </c>
      <c r="F37" s="162">
        <v>6</v>
      </c>
      <c r="G37" s="162">
        <v>23</v>
      </c>
      <c r="H37" s="162">
        <v>0</v>
      </c>
      <c r="I37" s="162">
        <v>0</v>
      </c>
      <c r="J37" s="162">
        <v>0</v>
      </c>
      <c r="K37" s="162">
        <v>0</v>
      </c>
      <c r="L37" s="162">
        <v>0</v>
      </c>
      <c r="M37" s="162">
        <v>0</v>
      </c>
      <c r="N37" s="162">
        <v>0</v>
      </c>
      <c r="O37" s="162">
        <v>0</v>
      </c>
      <c r="P37" s="27"/>
      <c r="Q37" s="27"/>
    </row>
    <row r="38" spans="1:17">
      <c r="A38" s="162"/>
      <c r="B38" s="180">
        <v>2022</v>
      </c>
      <c r="C38" s="163">
        <v>38</v>
      </c>
      <c r="D38" s="162">
        <v>7</v>
      </c>
      <c r="E38" s="162">
        <v>8</v>
      </c>
      <c r="F38" s="162">
        <v>6</v>
      </c>
      <c r="G38" s="162">
        <v>17</v>
      </c>
      <c r="H38" s="162">
        <v>13</v>
      </c>
      <c r="I38" s="162">
        <v>6</v>
      </c>
      <c r="J38" s="162">
        <v>3</v>
      </c>
      <c r="K38" s="162">
        <v>9</v>
      </c>
      <c r="L38" s="162">
        <v>2</v>
      </c>
      <c r="M38" s="162">
        <v>7</v>
      </c>
      <c r="N38" s="162">
        <v>11</v>
      </c>
      <c r="O38" s="162">
        <v>14</v>
      </c>
      <c r="P38" s="27"/>
      <c r="Q38" s="27"/>
    </row>
    <row r="39" spans="1:17">
      <c r="A39" s="180"/>
      <c r="B39" s="162"/>
      <c r="C39" s="163"/>
      <c r="D39" s="162"/>
      <c r="E39" s="162"/>
      <c r="F39" s="162"/>
      <c r="G39" s="162"/>
      <c r="H39" s="162"/>
      <c r="I39" s="162"/>
      <c r="J39" s="162"/>
      <c r="K39" s="162"/>
      <c r="L39" s="162"/>
      <c r="M39" s="162"/>
      <c r="N39" s="162"/>
      <c r="O39" s="162"/>
      <c r="P39" s="27"/>
      <c r="Q39" s="27"/>
    </row>
    <row r="40" spans="1:17">
      <c r="P40" s="27"/>
      <c r="Q40" s="27"/>
    </row>
    <row r="41" spans="1:17">
      <c r="P41" s="27"/>
      <c r="Q41" s="27"/>
    </row>
    <row r="42" spans="1:17">
      <c r="A42" s="27" t="s">
        <v>707</v>
      </c>
      <c r="P42" s="27"/>
      <c r="Q42" s="27"/>
    </row>
    <row r="43" spans="1:17">
      <c r="P43" s="27"/>
      <c r="Q43" s="27"/>
    </row>
    <row r="44" spans="1:17">
      <c r="P44" s="27"/>
      <c r="Q44" s="27"/>
    </row>
    <row r="45" spans="1:17">
      <c r="P45" s="27"/>
      <c r="Q45" s="27"/>
    </row>
    <row r="46" spans="1:17">
      <c r="P46" s="27"/>
      <c r="Q46" s="27"/>
    </row>
    <row r="47" spans="1:17">
      <c r="P47" s="27"/>
      <c r="Q47" s="27"/>
    </row>
    <row r="48" spans="1:17">
      <c r="P48" s="27"/>
      <c r="Q48" s="27"/>
    </row>
    <row r="49" spans="1:17">
      <c r="P49" s="27"/>
      <c r="Q49" s="27"/>
    </row>
    <row r="50" spans="1:17">
      <c r="P50" s="27"/>
      <c r="Q50" s="27"/>
    </row>
    <row r="51" spans="1:17">
      <c r="B51" s="27"/>
      <c r="C51" s="27"/>
      <c r="D51" s="27"/>
      <c r="E51" s="27"/>
      <c r="F51" s="27"/>
      <c r="G51" s="27"/>
      <c r="H51" s="27"/>
      <c r="I51" s="27"/>
      <c r="J51" s="27"/>
      <c r="K51" s="27"/>
      <c r="L51" s="27"/>
      <c r="M51" s="27"/>
      <c r="N51" s="27"/>
      <c r="O51" s="27"/>
      <c r="P51" s="27"/>
      <c r="Q51" s="27"/>
    </row>
    <row r="52" spans="1:17">
      <c r="A52" s="27"/>
      <c r="B52" s="27"/>
      <c r="C52" s="27"/>
      <c r="D52" s="27"/>
      <c r="E52" s="27"/>
      <c r="F52" s="27"/>
      <c r="G52" s="27"/>
      <c r="H52" s="27"/>
      <c r="I52" s="27"/>
      <c r="J52" s="27"/>
      <c r="K52" s="27"/>
      <c r="L52" s="27"/>
      <c r="M52" s="27"/>
      <c r="N52" s="27"/>
      <c r="O52" s="27"/>
      <c r="P52" s="27"/>
      <c r="Q52" s="27"/>
    </row>
    <row r="53" spans="1:17">
      <c r="A53" s="27"/>
      <c r="B53" s="27"/>
      <c r="C53" s="27"/>
      <c r="D53" s="27"/>
      <c r="E53" s="27"/>
      <c r="F53" s="27"/>
      <c r="G53" s="27"/>
      <c r="H53" s="27"/>
      <c r="I53" s="27"/>
      <c r="J53" s="27"/>
      <c r="K53" s="27"/>
      <c r="L53" s="27"/>
      <c r="M53" s="27"/>
      <c r="N53" s="27"/>
      <c r="O53" s="27"/>
      <c r="P53" s="27"/>
      <c r="Q53" s="27"/>
    </row>
    <row r="54" spans="1:17">
      <c r="A54" s="27"/>
      <c r="B54" s="27"/>
      <c r="C54" s="27"/>
      <c r="D54" s="27"/>
      <c r="E54" s="27"/>
      <c r="F54" s="27"/>
      <c r="G54" s="27"/>
      <c r="H54" s="27"/>
      <c r="I54" s="27"/>
      <c r="J54" s="27"/>
      <c r="K54" s="27"/>
      <c r="L54" s="27"/>
      <c r="M54" s="27"/>
      <c r="N54" s="27"/>
      <c r="O54" s="27"/>
      <c r="P54" s="27"/>
      <c r="Q54" s="27"/>
    </row>
    <row r="55" spans="1:17">
      <c r="A55" s="27"/>
      <c r="B55" s="27"/>
      <c r="C55" s="27"/>
      <c r="D55" s="27"/>
      <c r="E55" s="27"/>
      <c r="F55" s="27"/>
      <c r="G55" s="27"/>
      <c r="H55" s="27"/>
      <c r="I55" s="27"/>
      <c r="J55" s="27"/>
      <c r="K55" s="27"/>
      <c r="L55" s="27"/>
      <c r="M55" s="27"/>
      <c r="N55" s="27"/>
      <c r="O55" s="27"/>
      <c r="P55" s="27"/>
      <c r="Q55" s="27"/>
    </row>
    <row r="56" spans="1:17">
      <c r="A56" s="27"/>
      <c r="B56" s="27"/>
      <c r="C56" s="27"/>
      <c r="D56" s="27"/>
      <c r="E56" s="27"/>
      <c r="F56" s="27"/>
      <c r="G56" s="27"/>
      <c r="H56" s="27"/>
      <c r="I56" s="27"/>
      <c r="J56" s="27"/>
      <c r="K56" s="27"/>
      <c r="L56" s="27"/>
      <c r="M56" s="27"/>
      <c r="N56" s="27"/>
      <c r="O56" s="27"/>
      <c r="P56" s="27"/>
      <c r="Q56" s="27"/>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3"/>
  <sheetViews>
    <sheetView showZeros="0" workbookViewId="0">
      <pane ySplit="7" topLeftCell="A308" activePane="bottomLeft" state="frozen"/>
      <selection activeCell="D49" sqref="D49"/>
      <selection pane="bottomLeft" activeCell="E309" sqref="E309"/>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60" t="s">
        <v>473</v>
      </c>
      <c r="D2" s="60"/>
      <c r="E2" s="60"/>
      <c r="F2" s="60"/>
      <c r="G2" s="60"/>
    </row>
    <row r="4" spans="1:12">
      <c r="A4" s="8" t="s">
        <v>474</v>
      </c>
      <c r="B4" s="59"/>
      <c r="C4" s="69"/>
      <c r="D4" s="69"/>
      <c r="E4" s="27"/>
      <c r="F4" s="27"/>
      <c r="G4" s="27"/>
      <c r="H4" s="243" t="s">
        <v>475</v>
      </c>
      <c r="I4" s="243"/>
      <c r="J4" s="243"/>
      <c r="K4" s="243"/>
      <c r="L4" s="243"/>
    </row>
    <row r="5" spans="1:12">
      <c r="A5" s="110"/>
      <c r="B5" s="111"/>
      <c r="C5" s="246" t="s">
        <v>562</v>
      </c>
      <c r="D5" s="245"/>
      <c r="E5" s="246" t="s">
        <v>562</v>
      </c>
      <c r="F5" s="245"/>
      <c r="G5" s="247" t="s">
        <v>563</v>
      </c>
      <c r="H5" s="248"/>
      <c r="I5" s="244" t="s">
        <v>564</v>
      </c>
      <c r="J5" s="245"/>
      <c r="K5" s="244" t="s">
        <v>564</v>
      </c>
      <c r="L5" s="245"/>
    </row>
    <row r="6" spans="1:12">
      <c r="A6" s="110"/>
      <c r="B6" s="111" t="s">
        <v>476</v>
      </c>
      <c r="C6" s="112" t="str">
        <f>Innehåll!D79</f>
        <v xml:space="preserve"> 2023-04</v>
      </c>
      <c r="D6" s="112" t="str">
        <f>Innehåll!D80</f>
        <v xml:space="preserve"> 2022-04</v>
      </c>
      <c r="E6" s="112" t="str">
        <f>Innehåll!D81</f>
        <v>YTD  2023</v>
      </c>
      <c r="F6" s="112" t="str">
        <f>Innehåll!D82</f>
        <v>YTD  2022</v>
      </c>
      <c r="G6" s="113" t="str">
        <f>C6</f>
        <v xml:space="preserve"> 2023-04</v>
      </c>
      <c r="H6" s="114" t="str">
        <f>E6</f>
        <v>YTD  2023</v>
      </c>
      <c r="I6" s="112" t="str">
        <f>C6</f>
        <v xml:space="preserve"> 2023-04</v>
      </c>
      <c r="J6" s="115" t="str">
        <f>E6</f>
        <v>YTD  2023</v>
      </c>
      <c r="K6" s="116" t="str">
        <f>D6</f>
        <v xml:space="preserve"> 2022-04</v>
      </c>
      <c r="L6" s="116" t="str">
        <f>F6</f>
        <v>YTD  2022</v>
      </c>
    </row>
    <row r="7" spans="1:12" ht="15" hidden="1" customHeight="1">
      <c r="A7" s="59" t="s">
        <v>33</v>
      </c>
      <c r="B7" s="59" t="s">
        <v>34</v>
      </c>
      <c r="C7" s="59" t="s">
        <v>35</v>
      </c>
      <c r="D7" s="59" t="s">
        <v>36</v>
      </c>
      <c r="E7" s="59" t="s">
        <v>37</v>
      </c>
      <c r="F7" s="59" t="s">
        <v>38</v>
      </c>
      <c r="G7" s="59" t="s">
        <v>39</v>
      </c>
      <c r="H7" s="59" t="s">
        <v>40</v>
      </c>
      <c r="I7" s="59" t="s">
        <v>41</v>
      </c>
      <c r="J7" s="59" t="s">
        <v>42</v>
      </c>
      <c r="K7" s="59" t="s">
        <v>43</v>
      </c>
      <c r="L7" s="59" t="s">
        <v>44</v>
      </c>
    </row>
    <row r="8" spans="1:12">
      <c r="A8" s="59">
        <v>1</v>
      </c>
      <c r="B8" s="59" t="s">
        <v>629</v>
      </c>
      <c r="C8" s="59">
        <v>652</v>
      </c>
      <c r="D8" s="59">
        <v>5</v>
      </c>
      <c r="E8" s="59">
        <v>4262</v>
      </c>
      <c r="F8" s="59">
        <v>1959</v>
      </c>
      <c r="G8" s="59">
        <v>12940</v>
      </c>
      <c r="H8" s="59">
        <v>117.56</v>
      </c>
      <c r="I8" s="59">
        <v>3.17</v>
      </c>
      <c r="J8" s="59">
        <v>5.08</v>
      </c>
      <c r="K8" s="59">
        <v>0.02</v>
      </c>
      <c r="L8" s="59">
        <v>2.14</v>
      </c>
    </row>
    <row r="9" spans="1:12">
      <c r="A9" s="59">
        <v>2</v>
      </c>
      <c r="B9" s="59" t="s">
        <v>52</v>
      </c>
      <c r="C9" s="59">
        <v>848</v>
      </c>
      <c r="D9" s="59">
        <v>1148</v>
      </c>
      <c r="E9" s="59">
        <v>4131</v>
      </c>
      <c r="F9" s="59">
        <v>5081</v>
      </c>
      <c r="G9" s="59">
        <v>-26.13</v>
      </c>
      <c r="H9" s="59">
        <v>-18.7</v>
      </c>
      <c r="I9" s="59">
        <v>4.12</v>
      </c>
      <c r="J9" s="59">
        <v>4.92</v>
      </c>
      <c r="K9" s="59">
        <v>5.23</v>
      </c>
      <c r="L9" s="59">
        <v>5.54</v>
      </c>
    </row>
    <row r="10" spans="1:12">
      <c r="A10" s="59">
        <v>3</v>
      </c>
      <c r="B10" s="59" t="s">
        <v>48</v>
      </c>
      <c r="C10" s="59">
        <v>999</v>
      </c>
      <c r="D10" s="59">
        <v>774</v>
      </c>
      <c r="E10" s="59">
        <v>3394</v>
      </c>
      <c r="F10" s="59">
        <v>3974</v>
      </c>
      <c r="G10" s="59">
        <v>29.07</v>
      </c>
      <c r="H10" s="59">
        <v>-14.59</v>
      </c>
      <c r="I10" s="59">
        <v>4.8499999999999996</v>
      </c>
      <c r="J10" s="59">
        <v>4.05</v>
      </c>
      <c r="K10" s="59">
        <v>3.53</v>
      </c>
      <c r="L10" s="59">
        <v>4.33</v>
      </c>
    </row>
    <row r="11" spans="1:12">
      <c r="A11" s="59">
        <v>4</v>
      </c>
      <c r="B11" s="59" t="s">
        <v>505</v>
      </c>
      <c r="C11" s="59">
        <v>661</v>
      </c>
      <c r="D11" s="59">
        <v>420</v>
      </c>
      <c r="E11" s="59">
        <v>2553</v>
      </c>
      <c r="F11" s="59">
        <v>2442</v>
      </c>
      <c r="G11" s="59">
        <v>57.38</v>
      </c>
      <c r="H11" s="59">
        <v>4.55</v>
      </c>
      <c r="I11" s="59">
        <v>3.21</v>
      </c>
      <c r="J11" s="59">
        <v>3.04</v>
      </c>
      <c r="K11" s="59">
        <v>1.91</v>
      </c>
      <c r="L11" s="59">
        <v>2.66</v>
      </c>
    </row>
    <row r="12" spans="1:12">
      <c r="A12" s="59">
        <v>5</v>
      </c>
      <c r="B12" s="59" t="s">
        <v>45</v>
      </c>
      <c r="C12" s="59">
        <v>346</v>
      </c>
      <c r="D12" s="59">
        <v>747</v>
      </c>
      <c r="E12" s="59">
        <v>1823</v>
      </c>
      <c r="F12" s="59">
        <v>3372</v>
      </c>
      <c r="G12" s="59">
        <v>-53.68</v>
      </c>
      <c r="H12" s="59">
        <v>-45.94</v>
      </c>
      <c r="I12" s="59">
        <v>1.68</v>
      </c>
      <c r="J12" s="59">
        <v>2.17</v>
      </c>
      <c r="K12" s="59">
        <v>3.4</v>
      </c>
      <c r="L12" s="59">
        <v>3.68</v>
      </c>
    </row>
    <row r="13" spans="1:12">
      <c r="A13" s="59">
        <v>6</v>
      </c>
      <c r="B13" s="59" t="s">
        <v>51</v>
      </c>
      <c r="C13" s="59">
        <v>459</v>
      </c>
      <c r="D13" s="59">
        <v>819</v>
      </c>
      <c r="E13" s="59">
        <v>1706</v>
      </c>
      <c r="F13" s="59">
        <v>4110</v>
      </c>
      <c r="G13" s="59">
        <v>-43.96</v>
      </c>
      <c r="H13" s="59">
        <v>-58.49</v>
      </c>
      <c r="I13" s="59">
        <v>2.23</v>
      </c>
      <c r="J13" s="59">
        <v>2.0299999999999998</v>
      </c>
      <c r="K13" s="59">
        <v>3.73</v>
      </c>
      <c r="L13" s="59">
        <v>4.4800000000000004</v>
      </c>
    </row>
    <row r="14" spans="1:12">
      <c r="A14" s="59">
        <v>7</v>
      </c>
      <c r="B14" s="59" t="s">
        <v>236</v>
      </c>
      <c r="C14" s="59">
        <v>288</v>
      </c>
      <c r="D14" s="59">
        <v>724</v>
      </c>
      <c r="E14" s="59">
        <v>1619</v>
      </c>
      <c r="F14" s="59">
        <v>2815</v>
      </c>
      <c r="G14" s="59">
        <v>-60.22</v>
      </c>
      <c r="H14" s="59">
        <v>-42.49</v>
      </c>
      <c r="I14" s="59">
        <v>1.4</v>
      </c>
      <c r="J14" s="59">
        <v>1.93</v>
      </c>
      <c r="K14" s="59">
        <v>3.3</v>
      </c>
      <c r="L14" s="59">
        <v>3.07</v>
      </c>
    </row>
    <row r="15" spans="1:12">
      <c r="A15" s="59">
        <v>8</v>
      </c>
      <c r="B15" s="59" t="s">
        <v>657</v>
      </c>
      <c r="C15" s="59">
        <v>322</v>
      </c>
      <c r="D15" s="59">
        <v>420</v>
      </c>
      <c r="E15" s="59">
        <v>1610</v>
      </c>
      <c r="F15" s="59">
        <v>1193</v>
      </c>
      <c r="G15" s="59">
        <v>-23.33</v>
      </c>
      <c r="H15" s="59">
        <v>34.950000000000003</v>
      </c>
      <c r="I15" s="59">
        <v>1.56</v>
      </c>
      <c r="J15" s="59">
        <v>1.92</v>
      </c>
      <c r="K15" s="59">
        <v>1.91</v>
      </c>
      <c r="L15" s="59">
        <v>1.3</v>
      </c>
    </row>
    <row r="16" spans="1:12">
      <c r="A16" s="59">
        <v>9</v>
      </c>
      <c r="B16" s="59" t="s">
        <v>656</v>
      </c>
      <c r="C16" s="59">
        <v>132</v>
      </c>
      <c r="D16" s="59">
        <v>155</v>
      </c>
      <c r="E16" s="59">
        <v>1443</v>
      </c>
      <c r="F16" s="59">
        <v>934</v>
      </c>
      <c r="G16" s="59">
        <v>-14.84</v>
      </c>
      <c r="H16" s="59">
        <v>54.5</v>
      </c>
      <c r="I16" s="59">
        <v>0.64</v>
      </c>
      <c r="J16" s="59">
        <v>1.72</v>
      </c>
      <c r="K16" s="59">
        <v>0.71</v>
      </c>
      <c r="L16" s="59">
        <v>1.02</v>
      </c>
    </row>
    <row r="17" spans="1:12">
      <c r="A17" s="59">
        <v>10</v>
      </c>
      <c r="B17" s="59" t="s">
        <v>95</v>
      </c>
      <c r="C17" s="59">
        <v>314</v>
      </c>
      <c r="D17" s="59">
        <v>519</v>
      </c>
      <c r="E17" s="59">
        <v>1426</v>
      </c>
      <c r="F17" s="59">
        <v>898</v>
      </c>
      <c r="G17" s="59">
        <v>-39.5</v>
      </c>
      <c r="H17" s="59">
        <v>58.8</v>
      </c>
      <c r="I17" s="59">
        <v>1.53</v>
      </c>
      <c r="J17" s="59">
        <v>1.7</v>
      </c>
      <c r="K17" s="59">
        <v>2.37</v>
      </c>
      <c r="L17" s="59">
        <v>0.98</v>
      </c>
    </row>
    <row r="18" spans="1:12">
      <c r="A18" s="59">
        <v>11</v>
      </c>
      <c r="B18" s="59" t="s">
        <v>59</v>
      </c>
      <c r="C18" s="59">
        <v>373</v>
      </c>
      <c r="D18" s="59">
        <v>355</v>
      </c>
      <c r="E18" s="59">
        <v>1325</v>
      </c>
      <c r="F18" s="59">
        <v>2218</v>
      </c>
      <c r="G18" s="59">
        <v>5.07</v>
      </c>
      <c r="H18" s="59">
        <v>-40.26</v>
      </c>
      <c r="I18" s="59">
        <v>1.81</v>
      </c>
      <c r="J18" s="59">
        <v>1.58</v>
      </c>
      <c r="K18" s="59">
        <v>1.62</v>
      </c>
      <c r="L18" s="59">
        <v>2.42</v>
      </c>
    </row>
    <row r="19" spans="1:12">
      <c r="A19" s="59">
        <v>12</v>
      </c>
      <c r="B19" s="59" t="s">
        <v>594</v>
      </c>
      <c r="C19" s="59">
        <v>346</v>
      </c>
      <c r="D19" s="59">
        <v>259</v>
      </c>
      <c r="E19" s="59">
        <v>1157</v>
      </c>
      <c r="F19" s="59">
        <v>799</v>
      </c>
      <c r="G19" s="59">
        <v>33.590000000000003</v>
      </c>
      <c r="H19" s="59">
        <v>44.81</v>
      </c>
      <c r="I19" s="59">
        <v>1.68</v>
      </c>
      <c r="J19" s="59">
        <v>1.38</v>
      </c>
      <c r="K19" s="59">
        <v>1.18</v>
      </c>
      <c r="L19" s="59">
        <v>0.87</v>
      </c>
    </row>
    <row r="20" spans="1:12">
      <c r="A20" s="59">
        <v>13</v>
      </c>
      <c r="B20" s="59" t="s">
        <v>54</v>
      </c>
      <c r="C20" s="59">
        <v>329</v>
      </c>
      <c r="D20" s="59">
        <v>695</v>
      </c>
      <c r="E20" s="59">
        <v>1125</v>
      </c>
      <c r="F20" s="59">
        <v>2015</v>
      </c>
      <c r="G20" s="59">
        <v>-52.66</v>
      </c>
      <c r="H20" s="59">
        <v>-44.17</v>
      </c>
      <c r="I20" s="59">
        <v>1.6</v>
      </c>
      <c r="J20" s="59">
        <v>1.34</v>
      </c>
      <c r="K20" s="59">
        <v>3.17</v>
      </c>
      <c r="L20" s="59">
        <v>2.2000000000000002</v>
      </c>
    </row>
    <row r="21" spans="1:12">
      <c r="A21" s="59">
        <v>14</v>
      </c>
      <c r="B21" s="59" t="s">
        <v>661</v>
      </c>
      <c r="C21" s="59">
        <v>261</v>
      </c>
      <c r="D21" s="59">
        <v>63</v>
      </c>
      <c r="E21" s="59">
        <v>1102</v>
      </c>
      <c r="F21" s="59">
        <v>293</v>
      </c>
      <c r="G21" s="59">
        <v>314.29000000000002</v>
      </c>
      <c r="H21" s="59">
        <v>276.11</v>
      </c>
      <c r="I21" s="59">
        <v>1.27</v>
      </c>
      <c r="J21" s="59">
        <v>1.31</v>
      </c>
      <c r="K21" s="59">
        <v>0.28999999999999998</v>
      </c>
      <c r="L21" s="59">
        <v>0.32</v>
      </c>
    </row>
    <row r="22" spans="1:12">
      <c r="A22" s="59">
        <v>15</v>
      </c>
      <c r="B22" s="59" t="s">
        <v>64</v>
      </c>
      <c r="C22" s="59">
        <v>61</v>
      </c>
      <c r="D22" s="59">
        <v>4</v>
      </c>
      <c r="E22" s="59">
        <v>1066</v>
      </c>
      <c r="F22" s="59">
        <v>1183</v>
      </c>
      <c r="G22" s="59">
        <v>1425</v>
      </c>
      <c r="H22" s="59">
        <v>-9.89</v>
      </c>
      <c r="I22" s="59">
        <v>0.3</v>
      </c>
      <c r="J22" s="59">
        <v>1.27</v>
      </c>
      <c r="K22" s="59">
        <v>0.02</v>
      </c>
      <c r="L22" s="59">
        <v>1.29</v>
      </c>
    </row>
    <row r="23" spans="1:12">
      <c r="A23" s="59">
        <v>16</v>
      </c>
      <c r="B23" s="59" t="s">
        <v>46</v>
      </c>
      <c r="C23" s="59">
        <v>295</v>
      </c>
      <c r="D23" s="59">
        <v>411</v>
      </c>
      <c r="E23" s="59">
        <v>1027</v>
      </c>
      <c r="F23" s="59">
        <v>2165</v>
      </c>
      <c r="G23" s="59">
        <v>-28.22</v>
      </c>
      <c r="H23" s="59">
        <v>-52.56</v>
      </c>
      <c r="I23" s="59">
        <v>1.43</v>
      </c>
      <c r="J23" s="59">
        <v>1.22</v>
      </c>
      <c r="K23" s="59">
        <v>1.87</v>
      </c>
      <c r="L23" s="59">
        <v>2.36</v>
      </c>
    </row>
    <row r="24" spans="1:12">
      <c r="A24" s="59">
        <v>17</v>
      </c>
      <c r="B24" s="59" t="s">
        <v>56</v>
      </c>
      <c r="C24" s="59">
        <v>304</v>
      </c>
      <c r="D24" s="59">
        <v>390</v>
      </c>
      <c r="E24" s="59">
        <v>965</v>
      </c>
      <c r="F24" s="59">
        <v>1168</v>
      </c>
      <c r="G24" s="59">
        <v>-22.05</v>
      </c>
      <c r="H24" s="59">
        <v>-17.38</v>
      </c>
      <c r="I24" s="59">
        <v>1.48</v>
      </c>
      <c r="J24" s="59">
        <v>1.1499999999999999</v>
      </c>
      <c r="K24" s="59">
        <v>1.78</v>
      </c>
      <c r="L24" s="59">
        <v>1.27</v>
      </c>
    </row>
    <row r="25" spans="1:12">
      <c r="A25" s="59">
        <v>18</v>
      </c>
      <c r="B25" s="59" t="s">
        <v>438</v>
      </c>
      <c r="C25" s="59">
        <v>325</v>
      </c>
      <c r="D25" s="59">
        <v>90</v>
      </c>
      <c r="E25" s="59">
        <v>892</v>
      </c>
      <c r="F25" s="59">
        <v>486</v>
      </c>
      <c r="G25" s="59">
        <v>261.11</v>
      </c>
      <c r="H25" s="59">
        <v>83.54</v>
      </c>
      <c r="I25" s="59">
        <v>1.58</v>
      </c>
      <c r="J25" s="59">
        <v>1.06</v>
      </c>
      <c r="K25" s="59">
        <v>0.41</v>
      </c>
      <c r="L25" s="59">
        <v>0.53</v>
      </c>
    </row>
    <row r="26" spans="1:12">
      <c r="A26" s="59">
        <v>19</v>
      </c>
      <c r="B26" s="59" t="s">
        <v>63</v>
      </c>
      <c r="C26" s="59">
        <v>285</v>
      </c>
      <c r="D26" s="59">
        <v>78</v>
      </c>
      <c r="E26" s="59">
        <v>881</v>
      </c>
      <c r="F26" s="59">
        <v>453</v>
      </c>
      <c r="G26" s="59">
        <v>265.38</v>
      </c>
      <c r="H26" s="59">
        <v>94.48</v>
      </c>
      <c r="I26" s="59">
        <v>1.38</v>
      </c>
      <c r="J26" s="59">
        <v>1.05</v>
      </c>
      <c r="K26" s="59">
        <v>0.36</v>
      </c>
      <c r="L26" s="59">
        <v>0.49</v>
      </c>
    </row>
    <row r="27" spans="1:12">
      <c r="A27" s="59">
        <v>20</v>
      </c>
      <c r="B27" s="59" t="s">
        <v>722</v>
      </c>
      <c r="C27" s="59">
        <v>165</v>
      </c>
      <c r="D27" s="59">
        <v>10</v>
      </c>
      <c r="E27" s="59">
        <v>878</v>
      </c>
      <c r="F27" s="59">
        <v>102</v>
      </c>
      <c r="G27" s="59">
        <v>1550</v>
      </c>
      <c r="H27" s="59">
        <v>760.78</v>
      </c>
      <c r="I27" s="59">
        <v>0.8</v>
      </c>
      <c r="J27" s="59">
        <v>1.05</v>
      </c>
      <c r="K27" s="59">
        <v>0.05</v>
      </c>
      <c r="L27" s="59">
        <v>0.11</v>
      </c>
    </row>
    <row r="28" spans="1:12">
      <c r="A28" s="59">
        <v>21</v>
      </c>
      <c r="B28" s="59" t="s">
        <v>73</v>
      </c>
      <c r="C28" s="59">
        <v>285</v>
      </c>
      <c r="D28" s="59">
        <v>127</v>
      </c>
      <c r="E28" s="59">
        <v>870</v>
      </c>
      <c r="F28" s="59">
        <v>468</v>
      </c>
      <c r="G28" s="59">
        <v>124.41</v>
      </c>
      <c r="H28" s="59">
        <v>85.9</v>
      </c>
      <c r="I28" s="59">
        <v>1.38</v>
      </c>
      <c r="J28" s="59">
        <v>1.04</v>
      </c>
      <c r="K28" s="59">
        <v>0.57999999999999996</v>
      </c>
      <c r="L28" s="59">
        <v>0.51</v>
      </c>
    </row>
    <row r="29" spans="1:12">
      <c r="A29" s="59">
        <v>22</v>
      </c>
      <c r="B29" s="59" t="s">
        <v>61</v>
      </c>
      <c r="C29" s="59">
        <v>164</v>
      </c>
      <c r="D29" s="59">
        <v>400</v>
      </c>
      <c r="E29" s="59">
        <v>867</v>
      </c>
      <c r="F29" s="59">
        <v>1162</v>
      </c>
      <c r="G29" s="59">
        <v>-59</v>
      </c>
      <c r="H29" s="59">
        <v>-25.39</v>
      </c>
      <c r="I29" s="59">
        <v>0.8</v>
      </c>
      <c r="J29" s="59">
        <v>1.03</v>
      </c>
      <c r="K29" s="59">
        <v>1.82</v>
      </c>
      <c r="L29" s="59">
        <v>1.27</v>
      </c>
    </row>
    <row r="30" spans="1:12">
      <c r="A30" s="59">
        <v>23</v>
      </c>
      <c r="B30" s="59" t="s">
        <v>671</v>
      </c>
      <c r="C30" s="59">
        <v>314</v>
      </c>
      <c r="D30" s="59">
        <v>52</v>
      </c>
      <c r="E30" s="59">
        <v>867</v>
      </c>
      <c r="F30" s="59">
        <v>130</v>
      </c>
      <c r="G30" s="59">
        <v>503.85</v>
      </c>
      <c r="H30" s="59">
        <v>566.91999999999996</v>
      </c>
      <c r="I30" s="59">
        <v>1.53</v>
      </c>
      <c r="J30" s="59">
        <v>1.03</v>
      </c>
      <c r="K30" s="59">
        <v>0.24</v>
      </c>
      <c r="L30" s="59">
        <v>0.14000000000000001</v>
      </c>
    </row>
    <row r="31" spans="1:12">
      <c r="A31" s="59">
        <v>24</v>
      </c>
      <c r="B31" s="59" t="s">
        <v>1046</v>
      </c>
      <c r="C31" s="59">
        <v>140</v>
      </c>
      <c r="D31" s="59">
        <v>0</v>
      </c>
      <c r="E31" s="59">
        <v>867</v>
      </c>
      <c r="F31" s="59">
        <v>0</v>
      </c>
      <c r="G31" s="59">
        <v>0</v>
      </c>
      <c r="H31" s="59">
        <v>0</v>
      </c>
      <c r="I31" s="59">
        <v>0.68</v>
      </c>
      <c r="J31" s="59">
        <v>1.03</v>
      </c>
      <c r="K31" s="59">
        <v>0</v>
      </c>
      <c r="L31" s="59">
        <v>0</v>
      </c>
    </row>
    <row r="32" spans="1:12">
      <c r="A32" s="59">
        <v>25</v>
      </c>
      <c r="B32" s="59" t="s">
        <v>65</v>
      </c>
      <c r="C32" s="59">
        <v>229</v>
      </c>
      <c r="D32" s="59">
        <v>99</v>
      </c>
      <c r="E32" s="59">
        <v>858</v>
      </c>
      <c r="F32" s="59">
        <v>769</v>
      </c>
      <c r="G32" s="59">
        <v>131.31</v>
      </c>
      <c r="H32" s="59">
        <v>11.57</v>
      </c>
      <c r="I32" s="59">
        <v>1.1100000000000001</v>
      </c>
      <c r="J32" s="59">
        <v>1.02</v>
      </c>
      <c r="K32" s="59">
        <v>0.45</v>
      </c>
      <c r="L32" s="59">
        <v>0.84</v>
      </c>
    </row>
    <row r="33" spans="1:12">
      <c r="A33" s="59">
        <v>26</v>
      </c>
      <c r="B33" s="59" t="s">
        <v>80</v>
      </c>
      <c r="C33" s="59">
        <v>283</v>
      </c>
      <c r="D33" s="59">
        <v>243</v>
      </c>
      <c r="E33" s="59">
        <v>837</v>
      </c>
      <c r="F33" s="59">
        <v>1161</v>
      </c>
      <c r="G33" s="59">
        <v>16.46</v>
      </c>
      <c r="H33" s="59">
        <v>-27.91</v>
      </c>
      <c r="I33" s="59">
        <v>1.37</v>
      </c>
      <c r="J33" s="59">
        <v>1</v>
      </c>
      <c r="K33" s="59">
        <v>1.1100000000000001</v>
      </c>
      <c r="L33" s="59">
        <v>1.27</v>
      </c>
    </row>
    <row r="34" spans="1:12">
      <c r="A34" s="59">
        <v>27</v>
      </c>
      <c r="B34" s="59" t="s">
        <v>91</v>
      </c>
      <c r="C34" s="59">
        <v>230</v>
      </c>
      <c r="D34" s="59">
        <v>175</v>
      </c>
      <c r="E34" s="59">
        <v>829</v>
      </c>
      <c r="F34" s="59">
        <v>677</v>
      </c>
      <c r="G34" s="59">
        <v>31.43</v>
      </c>
      <c r="H34" s="59">
        <v>22.45</v>
      </c>
      <c r="I34" s="59">
        <v>1.1200000000000001</v>
      </c>
      <c r="J34" s="59">
        <v>0.99</v>
      </c>
      <c r="K34" s="59">
        <v>0.8</v>
      </c>
      <c r="L34" s="59">
        <v>0.74</v>
      </c>
    </row>
    <row r="35" spans="1:12">
      <c r="A35" s="59">
        <v>28</v>
      </c>
      <c r="B35" s="59" t="s">
        <v>47</v>
      </c>
      <c r="C35" s="59">
        <v>251</v>
      </c>
      <c r="D35" s="59">
        <v>179</v>
      </c>
      <c r="E35" s="59">
        <v>823</v>
      </c>
      <c r="F35" s="59">
        <v>796</v>
      </c>
      <c r="G35" s="59">
        <v>40.22</v>
      </c>
      <c r="H35" s="59">
        <v>3.39</v>
      </c>
      <c r="I35" s="59">
        <v>1.22</v>
      </c>
      <c r="J35" s="59">
        <v>0.98</v>
      </c>
      <c r="K35" s="59">
        <v>0.82</v>
      </c>
      <c r="L35" s="59">
        <v>0.87</v>
      </c>
    </row>
    <row r="36" spans="1:12">
      <c r="A36" s="59">
        <v>29</v>
      </c>
      <c r="B36" s="59" t="s">
        <v>621</v>
      </c>
      <c r="C36" s="59">
        <v>193</v>
      </c>
      <c r="D36" s="59">
        <v>85</v>
      </c>
      <c r="E36" s="59">
        <v>754</v>
      </c>
      <c r="F36" s="59">
        <v>778</v>
      </c>
      <c r="G36" s="59">
        <v>127.06</v>
      </c>
      <c r="H36" s="59">
        <v>-3.08</v>
      </c>
      <c r="I36" s="59">
        <v>0.94</v>
      </c>
      <c r="J36" s="59">
        <v>0.9</v>
      </c>
      <c r="K36" s="59">
        <v>0.39</v>
      </c>
      <c r="L36" s="59">
        <v>0.85</v>
      </c>
    </row>
    <row r="37" spans="1:12">
      <c r="A37" s="59">
        <v>30</v>
      </c>
      <c r="B37" s="59" t="s">
        <v>93</v>
      </c>
      <c r="C37" s="59">
        <v>334</v>
      </c>
      <c r="D37" s="59">
        <v>142</v>
      </c>
      <c r="E37" s="59">
        <v>742</v>
      </c>
      <c r="F37" s="59">
        <v>1092</v>
      </c>
      <c r="G37" s="59">
        <v>135.21</v>
      </c>
      <c r="H37" s="59">
        <v>-32.049999999999997</v>
      </c>
      <c r="I37" s="59">
        <v>1.62</v>
      </c>
      <c r="J37" s="59">
        <v>0.88</v>
      </c>
      <c r="K37" s="59">
        <v>0.65</v>
      </c>
      <c r="L37" s="59">
        <v>1.19</v>
      </c>
    </row>
    <row r="38" spans="1:12">
      <c r="A38" s="59">
        <v>31</v>
      </c>
      <c r="B38" s="59" t="s">
        <v>76</v>
      </c>
      <c r="C38" s="59">
        <v>222</v>
      </c>
      <c r="D38" s="59">
        <v>152</v>
      </c>
      <c r="E38" s="59">
        <v>723</v>
      </c>
      <c r="F38" s="59">
        <v>741</v>
      </c>
      <c r="G38" s="59">
        <v>46.05</v>
      </c>
      <c r="H38" s="59">
        <v>-2.4300000000000002</v>
      </c>
      <c r="I38" s="59">
        <v>1.08</v>
      </c>
      <c r="J38" s="59">
        <v>0.86</v>
      </c>
      <c r="K38" s="59">
        <v>0.69</v>
      </c>
      <c r="L38" s="59">
        <v>0.81</v>
      </c>
    </row>
    <row r="39" spans="1:12">
      <c r="A39" s="59">
        <v>32</v>
      </c>
      <c r="B39" s="59" t="s">
        <v>53</v>
      </c>
      <c r="C39" s="59">
        <v>121</v>
      </c>
      <c r="D39" s="59">
        <v>233</v>
      </c>
      <c r="E39" s="59">
        <v>707</v>
      </c>
      <c r="F39" s="59">
        <v>712</v>
      </c>
      <c r="G39" s="59">
        <v>-48.07</v>
      </c>
      <c r="H39" s="59">
        <v>-0.7</v>
      </c>
      <c r="I39" s="59">
        <v>0.59</v>
      </c>
      <c r="J39" s="59">
        <v>0.84</v>
      </c>
      <c r="K39" s="59">
        <v>1.06</v>
      </c>
      <c r="L39" s="59">
        <v>0.78</v>
      </c>
    </row>
    <row r="40" spans="1:12">
      <c r="A40" s="59">
        <v>33</v>
      </c>
      <c r="B40" s="59" t="s">
        <v>113</v>
      </c>
      <c r="C40" s="59">
        <v>296</v>
      </c>
      <c r="D40" s="59">
        <v>59</v>
      </c>
      <c r="E40" s="59">
        <v>707</v>
      </c>
      <c r="F40" s="59">
        <v>176</v>
      </c>
      <c r="G40" s="59">
        <v>401.69</v>
      </c>
      <c r="H40" s="59">
        <v>301.7</v>
      </c>
      <c r="I40" s="59">
        <v>1.44</v>
      </c>
      <c r="J40" s="59">
        <v>0.84</v>
      </c>
      <c r="K40" s="59">
        <v>0.27</v>
      </c>
      <c r="L40" s="59">
        <v>0.19</v>
      </c>
    </row>
    <row r="41" spans="1:12">
      <c r="A41" s="59">
        <v>34</v>
      </c>
      <c r="B41" s="59" t="s">
        <v>58</v>
      </c>
      <c r="C41" s="59">
        <v>135</v>
      </c>
      <c r="D41" s="59">
        <v>152</v>
      </c>
      <c r="E41" s="59">
        <v>700</v>
      </c>
      <c r="F41" s="59">
        <v>1120</v>
      </c>
      <c r="G41" s="59">
        <v>-11.18</v>
      </c>
      <c r="H41" s="59">
        <v>-37.5</v>
      </c>
      <c r="I41" s="59">
        <v>0.66</v>
      </c>
      <c r="J41" s="59">
        <v>0.83</v>
      </c>
      <c r="K41" s="59">
        <v>0.69</v>
      </c>
      <c r="L41" s="59">
        <v>1.22</v>
      </c>
    </row>
    <row r="42" spans="1:12">
      <c r="A42" s="59">
        <v>35</v>
      </c>
      <c r="B42" s="59" t="s">
        <v>79</v>
      </c>
      <c r="C42" s="59">
        <v>287</v>
      </c>
      <c r="D42" s="59">
        <v>279</v>
      </c>
      <c r="E42" s="59">
        <v>691</v>
      </c>
      <c r="F42" s="59">
        <v>781</v>
      </c>
      <c r="G42" s="59">
        <v>2.87</v>
      </c>
      <c r="H42" s="59">
        <v>-11.52</v>
      </c>
      <c r="I42" s="59">
        <v>1.39</v>
      </c>
      <c r="J42" s="59">
        <v>0.82</v>
      </c>
      <c r="K42" s="59">
        <v>1.27</v>
      </c>
      <c r="L42" s="59">
        <v>0.85</v>
      </c>
    </row>
    <row r="43" spans="1:12">
      <c r="A43" s="59">
        <v>36</v>
      </c>
      <c r="B43" s="59" t="s">
        <v>1014</v>
      </c>
      <c r="C43" s="59">
        <v>40</v>
      </c>
      <c r="D43" s="59">
        <v>0</v>
      </c>
      <c r="E43" s="59">
        <v>690</v>
      </c>
      <c r="F43" s="59">
        <v>0</v>
      </c>
      <c r="G43" s="59">
        <v>0</v>
      </c>
      <c r="H43" s="59">
        <v>0</v>
      </c>
      <c r="I43" s="59">
        <v>0.19</v>
      </c>
      <c r="J43" s="59">
        <v>0.82</v>
      </c>
      <c r="K43" s="59">
        <v>0</v>
      </c>
      <c r="L43" s="59">
        <v>0</v>
      </c>
    </row>
    <row r="44" spans="1:12">
      <c r="A44" s="59">
        <v>37</v>
      </c>
      <c r="B44" s="59" t="s">
        <v>60</v>
      </c>
      <c r="C44" s="59">
        <v>197</v>
      </c>
      <c r="D44" s="59">
        <v>247</v>
      </c>
      <c r="E44" s="59">
        <v>688</v>
      </c>
      <c r="F44" s="59">
        <v>975</v>
      </c>
      <c r="G44" s="59">
        <v>-20.239999999999998</v>
      </c>
      <c r="H44" s="59">
        <v>-29.44</v>
      </c>
      <c r="I44" s="59">
        <v>0.96</v>
      </c>
      <c r="J44" s="59">
        <v>0.82</v>
      </c>
      <c r="K44" s="59">
        <v>1.1299999999999999</v>
      </c>
      <c r="L44" s="59">
        <v>1.06</v>
      </c>
    </row>
    <row r="45" spans="1:12">
      <c r="A45" s="59">
        <v>38</v>
      </c>
      <c r="B45" s="59" t="s">
        <v>55</v>
      </c>
      <c r="C45" s="59">
        <v>167</v>
      </c>
      <c r="D45" s="59">
        <v>77</v>
      </c>
      <c r="E45" s="59">
        <v>671</v>
      </c>
      <c r="F45" s="59">
        <v>823</v>
      </c>
      <c r="G45" s="59">
        <v>116.88</v>
      </c>
      <c r="H45" s="59">
        <v>-18.47</v>
      </c>
      <c r="I45" s="59">
        <v>0.81</v>
      </c>
      <c r="J45" s="59">
        <v>0.8</v>
      </c>
      <c r="K45" s="59">
        <v>0.35</v>
      </c>
      <c r="L45" s="59">
        <v>0.9</v>
      </c>
    </row>
    <row r="46" spans="1:12">
      <c r="A46" s="59">
        <v>39</v>
      </c>
      <c r="B46" s="59" t="s">
        <v>66</v>
      </c>
      <c r="C46" s="59">
        <v>195</v>
      </c>
      <c r="D46" s="59">
        <v>172</v>
      </c>
      <c r="E46" s="59">
        <v>651</v>
      </c>
      <c r="F46" s="59">
        <v>604</v>
      </c>
      <c r="G46" s="59">
        <v>13.37</v>
      </c>
      <c r="H46" s="59">
        <v>7.78</v>
      </c>
      <c r="I46" s="59">
        <v>0.95</v>
      </c>
      <c r="J46" s="59">
        <v>0.78</v>
      </c>
      <c r="K46" s="59">
        <v>0.78</v>
      </c>
      <c r="L46" s="59">
        <v>0.66</v>
      </c>
    </row>
    <row r="47" spans="1:12">
      <c r="A47" s="59">
        <v>40</v>
      </c>
      <c r="B47" s="59" t="s">
        <v>413</v>
      </c>
      <c r="C47" s="59">
        <v>120</v>
      </c>
      <c r="D47" s="59">
        <v>496</v>
      </c>
      <c r="E47" s="59">
        <v>644</v>
      </c>
      <c r="F47" s="59">
        <v>1684</v>
      </c>
      <c r="G47" s="59">
        <v>-75.81</v>
      </c>
      <c r="H47" s="59">
        <v>-61.76</v>
      </c>
      <c r="I47" s="59">
        <v>0.57999999999999996</v>
      </c>
      <c r="J47" s="59">
        <v>0.77</v>
      </c>
      <c r="K47" s="59">
        <v>2.2599999999999998</v>
      </c>
      <c r="L47" s="59">
        <v>1.84</v>
      </c>
    </row>
    <row r="48" spans="1:12">
      <c r="A48" s="59">
        <v>41</v>
      </c>
      <c r="B48" s="59" t="s">
        <v>81</v>
      </c>
      <c r="C48" s="59">
        <v>168</v>
      </c>
      <c r="D48" s="59">
        <v>121</v>
      </c>
      <c r="E48" s="59">
        <v>642</v>
      </c>
      <c r="F48" s="59">
        <v>630</v>
      </c>
      <c r="G48" s="59">
        <v>38.840000000000003</v>
      </c>
      <c r="H48" s="59">
        <v>1.9</v>
      </c>
      <c r="I48" s="59">
        <v>0.82</v>
      </c>
      <c r="J48" s="59">
        <v>0.77</v>
      </c>
      <c r="K48" s="59">
        <v>0.55000000000000004</v>
      </c>
      <c r="L48" s="59">
        <v>0.69</v>
      </c>
    </row>
    <row r="49" spans="1:12">
      <c r="A49" s="59">
        <v>42</v>
      </c>
      <c r="B49" s="59" t="s">
        <v>87</v>
      </c>
      <c r="C49" s="59">
        <v>130</v>
      </c>
      <c r="D49" s="59">
        <v>218</v>
      </c>
      <c r="E49" s="59">
        <v>595</v>
      </c>
      <c r="F49" s="59">
        <v>792</v>
      </c>
      <c r="G49" s="59">
        <v>-40.369999999999997</v>
      </c>
      <c r="H49" s="59">
        <v>-24.87</v>
      </c>
      <c r="I49" s="59">
        <v>0.63</v>
      </c>
      <c r="J49" s="59">
        <v>0.71</v>
      </c>
      <c r="K49" s="59">
        <v>0.99</v>
      </c>
      <c r="L49" s="59">
        <v>0.86</v>
      </c>
    </row>
    <row r="50" spans="1:12">
      <c r="A50" s="59">
        <v>43</v>
      </c>
      <c r="B50" s="59" t="s">
        <v>596</v>
      </c>
      <c r="C50" s="59">
        <v>143</v>
      </c>
      <c r="D50" s="59">
        <v>211</v>
      </c>
      <c r="E50" s="59">
        <v>580</v>
      </c>
      <c r="F50" s="59">
        <v>662</v>
      </c>
      <c r="G50" s="59">
        <v>-32.229999999999997</v>
      </c>
      <c r="H50" s="59">
        <v>-12.39</v>
      </c>
      <c r="I50" s="59">
        <v>0.69</v>
      </c>
      <c r="J50" s="59">
        <v>0.69</v>
      </c>
      <c r="K50" s="59">
        <v>0.96</v>
      </c>
      <c r="L50" s="59">
        <v>0.72</v>
      </c>
    </row>
    <row r="51" spans="1:12">
      <c r="A51" s="59">
        <v>44</v>
      </c>
      <c r="B51" s="59" t="s">
        <v>50</v>
      </c>
      <c r="C51" s="59">
        <v>143</v>
      </c>
      <c r="D51" s="59">
        <v>538</v>
      </c>
      <c r="E51" s="59">
        <v>576</v>
      </c>
      <c r="F51" s="59">
        <v>1438</v>
      </c>
      <c r="G51" s="59">
        <v>-73.42</v>
      </c>
      <c r="H51" s="59">
        <v>-59.94</v>
      </c>
      <c r="I51" s="59">
        <v>0.69</v>
      </c>
      <c r="J51" s="59">
        <v>0.69</v>
      </c>
      <c r="K51" s="59">
        <v>2.4500000000000002</v>
      </c>
      <c r="L51" s="59">
        <v>1.57</v>
      </c>
    </row>
    <row r="52" spans="1:12">
      <c r="A52" s="59">
        <v>45</v>
      </c>
      <c r="B52" s="59" t="s">
        <v>108</v>
      </c>
      <c r="C52" s="59">
        <v>40</v>
      </c>
      <c r="D52" s="59">
        <v>215</v>
      </c>
      <c r="E52" s="59">
        <v>576</v>
      </c>
      <c r="F52" s="59">
        <v>719</v>
      </c>
      <c r="G52" s="59">
        <v>-81.400000000000006</v>
      </c>
      <c r="H52" s="59">
        <v>-19.89</v>
      </c>
      <c r="I52" s="59">
        <v>0.19</v>
      </c>
      <c r="J52" s="59">
        <v>0.69</v>
      </c>
      <c r="K52" s="59">
        <v>0.98</v>
      </c>
      <c r="L52" s="59">
        <v>0.78</v>
      </c>
    </row>
    <row r="53" spans="1:12">
      <c r="A53" s="59">
        <v>46</v>
      </c>
      <c r="B53" s="59" t="s">
        <v>103</v>
      </c>
      <c r="C53" s="59">
        <v>144</v>
      </c>
      <c r="D53" s="59">
        <v>391</v>
      </c>
      <c r="E53" s="59">
        <v>566</v>
      </c>
      <c r="F53" s="59">
        <v>1219</v>
      </c>
      <c r="G53" s="59">
        <v>-63.17</v>
      </c>
      <c r="H53" s="59">
        <v>-53.57</v>
      </c>
      <c r="I53" s="59">
        <v>0.7</v>
      </c>
      <c r="J53" s="59">
        <v>0.67</v>
      </c>
      <c r="K53" s="59">
        <v>1.78</v>
      </c>
      <c r="L53" s="59">
        <v>1.33</v>
      </c>
    </row>
    <row r="54" spans="1:12">
      <c r="A54" s="59">
        <v>47</v>
      </c>
      <c r="B54" s="59" t="s">
        <v>49</v>
      </c>
      <c r="C54" s="59">
        <v>201</v>
      </c>
      <c r="D54" s="59">
        <v>233</v>
      </c>
      <c r="E54" s="59">
        <v>564</v>
      </c>
      <c r="F54" s="59">
        <v>1245</v>
      </c>
      <c r="G54" s="59">
        <v>-13.73</v>
      </c>
      <c r="H54" s="59">
        <v>-54.7</v>
      </c>
      <c r="I54" s="59">
        <v>0.98</v>
      </c>
      <c r="J54" s="59">
        <v>0.67</v>
      </c>
      <c r="K54" s="59">
        <v>1.06</v>
      </c>
      <c r="L54" s="59">
        <v>1.36</v>
      </c>
    </row>
    <row r="55" spans="1:12">
      <c r="A55" s="59">
        <v>48</v>
      </c>
      <c r="B55" s="59" t="s">
        <v>96</v>
      </c>
      <c r="C55" s="59">
        <v>141</v>
      </c>
      <c r="D55" s="59">
        <v>113</v>
      </c>
      <c r="E55" s="59">
        <v>556</v>
      </c>
      <c r="F55" s="59">
        <v>538</v>
      </c>
      <c r="G55" s="59">
        <v>24.78</v>
      </c>
      <c r="H55" s="59">
        <v>3.35</v>
      </c>
      <c r="I55" s="59">
        <v>0.68</v>
      </c>
      <c r="J55" s="59">
        <v>0.66</v>
      </c>
      <c r="K55" s="59">
        <v>0.51</v>
      </c>
      <c r="L55" s="59">
        <v>0.59</v>
      </c>
    </row>
    <row r="56" spans="1:12">
      <c r="A56" s="59">
        <v>49</v>
      </c>
      <c r="B56" s="59" t="s">
        <v>83</v>
      </c>
      <c r="C56" s="59">
        <v>158</v>
      </c>
      <c r="D56" s="59">
        <v>200</v>
      </c>
      <c r="E56" s="59">
        <v>552</v>
      </c>
      <c r="F56" s="59">
        <v>740</v>
      </c>
      <c r="G56" s="59">
        <v>-21</v>
      </c>
      <c r="H56" s="59">
        <v>-25.41</v>
      </c>
      <c r="I56" s="59">
        <v>0.77</v>
      </c>
      <c r="J56" s="59">
        <v>0.66</v>
      </c>
      <c r="K56" s="59">
        <v>0.91</v>
      </c>
      <c r="L56" s="59">
        <v>0.81</v>
      </c>
    </row>
    <row r="57" spans="1:12">
      <c r="A57" s="59">
        <v>50</v>
      </c>
      <c r="B57" s="59" t="s">
        <v>127</v>
      </c>
      <c r="C57" s="59">
        <v>113</v>
      </c>
      <c r="D57" s="59">
        <v>108</v>
      </c>
      <c r="E57" s="59">
        <v>503</v>
      </c>
      <c r="F57" s="59">
        <v>462</v>
      </c>
      <c r="G57" s="59">
        <v>4.63</v>
      </c>
      <c r="H57" s="59">
        <v>8.8699999999999992</v>
      </c>
      <c r="I57" s="59">
        <v>0.55000000000000004</v>
      </c>
      <c r="J57" s="59">
        <v>0.6</v>
      </c>
      <c r="K57" s="59">
        <v>0.49</v>
      </c>
      <c r="L57" s="59">
        <v>0.5</v>
      </c>
    </row>
    <row r="58" spans="1:12">
      <c r="A58" s="59">
        <v>51</v>
      </c>
      <c r="B58" s="59" t="s">
        <v>670</v>
      </c>
      <c r="C58" s="59">
        <v>91</v>
      </c>
      <c r="D58" s="59">
        <v>116</v>
      </c>
      <c r="E58" s="59">
        <v>501</v>
      </c>
      <c r="F58" s="59">
        <v>428</v>
      </c>
      <c r="G58" s="59">
        <v>-21.55</v>
      </c>
      <c r="H58" s="59">
        <v>17.059999999999999</v>
      </c>
      <c r="I58" s="59">
        <v>0.44</v>
      </c>
      <c r="J58" s="59">
        <v>0.6</v>
      </c>
      <c r="K58" s="59">
        <v>0.53</v>
      </c>
      <c r="L58" s="59">
        <v>0.47</v>
      </c>
    </row>
    <row r="59" spans="1:12">
      <c r="A59" s="59">
        <v>52</v>
      </c>
      <c r="B59" s="59" t="s">
        <v>69</v>
      </c>
      <c r="C59" s="59">
        <v>108</v>
      </c>
      <c r="D59" s="59">
        <v>131</v>
      </c>
      <c r="E59" s="59">
        <v>484</v>
      </c>
      <c r="F59" s="59">
        <v>459</v>
      </c>
      <c r="G59" s="59">
        <v>-17.559999999999999</v>
      </c>
      <c r="H59" s="59">
        <v>5.45</v>
      </c>
      <c r="I59" s="59">
        <v>0.52</v>
      </c>
      <c r="J59" s="59">
        <v>0.57999999999999996</v>
      </c>
      <c r="K59" s="59">
        <v>0.6</v>
      </c>
      <c r="L59" s="59">
        <v>0.5</v>
      </c>
    </row>
    <row r="60" spans="1:12">
      <c r="A60" s="59">
        <v>53</v>
      </c>
      <c r="B60" s="59" t="s">
        <v>57</v>
      </c>
      <c r="C60" s="59">
        <v>187</v>
      </c>
      <c r="D60" s="59">
        <v>135</v>
      </c>
      <c r="E60" s="59">
        <v>479</v>
      </c>
      <c r="F60" s="59">
        <v>435</v>
      </c>
      <c r="G60" s="59">
        <v>38.520000000000003</v>
      </c>
      <c r="H60" s="59">
        <v>10.11</v>
      </c>
      <c r="I60" s="59">
        <v>0.91</v>
      </c>
      <c r="J60" s="59">
        <v>0.56999999999999995</v>
      </c>
      <c r="K60" s="59">
        <v>0.62</v>
      </c>
      <c r="L60" s="59">
        <v>0.47</v>
      </c>
    </row>
    <row r="61" spans="1:12">
      <c r="A61" s="59">
        <v>54</v>
      </c>
      <c r="B61" s="59" t="s">
        <v>72</v>
      </c>
      <c r="C61" s="59">
        <v>76</v>
      </c>
      <c r="D61" s="59">
        <v>125</v>
      </c>
      <c r="E61" s="59">
        <v>477</v>
      </c>
      <c r="F61" s="59">
        <v>569</v>
      </c>
      <c r="G61" s="59">
        <v>-39.200000000000003</v>
      </c>
      <c r="H61" s="59">
        <v>-16.170000000000002</v>
      </c>
      <c r="I61" s="59">
        <v>0.37</v>
      </c>
      <c r="J61" s="59">
        <v>0.56999999999999995</v>
      </c>
      <c r="K61" s="59">
        <v>0.56999999999999995</v>
      </c>
      <c r="L61" s="59">
        <v>0.62</v>
      </c>
    </row>
    <row r="62" spans="1:12">
      <c r="A62" s="59">
        <v>55</v>
      </c>
      <c r="B62" s="59" t="s">
        <v>99</v>
      </c>
      <c r="C62" s="59">
        <v>41</v>
      </c>
      <c r="D62" s="59">
        <v>36</v>
      </c>
      <c r="E62" s="59">
        <v>463</v>
      </c>
      <c r="F62" s="59">
        <v>604</v>
      </c>
      <c r="G62" s="59">
        <v>13.89</v>
      </c>
      <c r="H62" s="59">
        <v>-23.34</v>
      </c>
      <c r="I62" s="59">
        <v>0.2</v>
      </c>
      <c r="J62" s="59">
        <v>0.55000000000000004</v>
      </c>
      <c r="K62" s="59">
        <v>0.16</v>
      </c>
      <c r="L62" s="59">
        <v>0.66</v>
      </c>
    </row>
    <row r="63" spans="1:12">
      <c r="A63" s="59">
        <v>56</v>
      </c>
      <c r="B63" s="59" t="s">
        <v>62</v>
      </c>
      <c r="C63" s="59">
        <v>89</v>
      </c>
      <c r="D63" s="59">
        <v>184</v>
      </c>
      <c r="E63" s="59">
        <v>446</v>
      </c>
      <c r="F63" s="59">
        <v>548</v>
      </c>
      <c r="G63" s="59">
        <v>-51.63</v>
      </c>
      <c r="H63" s="59">
        <v>-18.61</v>
      </c>
      <c r="I63" s="59">
        <v>0.43</v>
      </c>
      <c r="J63" s="59">
        <v>0.53</v>
      </c>
      <c r="K63" s="59">
        <v>0.84</v>
      </c>
      <c r="L63" s="59">
        <v>0.6</v>
      </c>
    </row>
    <row r="64" spans="1:12">
      <c r="A64" s="59">
        <v>57</v>
      </c>
      <c r="B64" s="59" t="s">
        <v>148</v>
      </c>
      <c r="C64" s="59">
        <v>151</v>
      </c>
      <c r="D64" s="59">
        <v>194</v>
      </c>
      <c r="E64" s="59">
        <v>445</v>
      </c>
      <c r="F64" s="59">
        <v>472</v>
      </c>
      <c r="G64" s="59">
        <v>-22.16</v>
      </c>
      <c r="H64" s="59">
        <v>-5.72</v>
      </c>
      <c r="I64" s="59">
        <v>0.73</v>
      </c>
      <c r="J64" s="59">
        <v>0.53</v>
      </c>
      <c r="K64" s="59">
        <v>0.88</v>
      </c>
      <c r="L64" s="59">
        <v>0.51</v>
      </c>
    </row>
    <row r="65" spans="1:12">
      <c r="A65" s="59">
        <v>58</v>
      </c>
      <c r="B65" s="59" t="s">
        <v>159</v>
      </c>
      <c r="C65" s="59">
        <v>63</v>
      </c>
      <c r="D65" s="59">
        <v>13</v>
      </c>
      <c r="E65" s="59">
        <v>437</v>
      </c>
      <c r="F65" s="59">
        <v>90</v>
      </c>
      <c r="G65" s="59">
        <v>384.62</v>
      </c>
      <c r="H65" s="59">
        <v>385.56</v>
      </c>
      <c r="I65" s="59">
        <v>0.31</v>
      </c>
      <c r="J65" s="59">
        <v>0.52</v>
      </c>
      <c r="K65" s="59">
        <v>0.06</v>
      </c>
      <c r="L65" s="59">
        <v>0.1</v>
      </c>
    </row>
    <row r="66" spans="1:12">
      <c r="A66" s="59">
        <v>59</v>
      </c>
      <c r="B66" s="59" t="s">
        <v>94</v>
      </c>
      <c r="C66" s="59">
        <v>78</v>
      </c>
      <c r="D66" s="59">
        <v>43</v>
      </c>
      <c r="E66" s="59">
        <v>426</v>
      </c>
      <c r="F66" s="59">
        <v>269</v>
      </c>
      <c r="G66" s="59">
        <v>81.400000000000006</v>
      </c>
      <c r="H66" s="59">
        <v>58.36</v>
      </c>
      <c r="I66" s="59">
        <v>0.38</v>
      </c>
      <c r="J66" s="59">
        <v>0.51</v>
      </c>
      <c r="K66" s="59">
        <v>0.2</v>
      </c>
      <c r="L66" s="59">
        <v>0.28999999999999998</v>
      </c>
    </row>
    <row r="67" spans="1:12">
      <c r="A67" s="59">
        <v>60</v>
      </c>
      <c r="B67" s="59" t="s">
        <v>70</v>
      </c>
      <c r="C67" s="59">
        <v>184</v>
      </c>
      <c r="D67" s="59">
        <v>315</v>
      </c>
      <c r="E67" s="59">
        <v>421</v>
      </c>
      <c r="F67" s="59">
        <v>663</v>
      </c>
      <c r="G67" s="59">
        <v>-41.59</v>
      </c>
      <c r="H67" s="59">
        <v>-36.5</v>
      </c>
      <c r="I67" s="59">
        <v>0.89</v>
      </c>
      <c r="J67" s="59">
        <v>0.5</v>
      </c>
      <c r="K67" s="59">
        <v>1.44</v>
      </c>
      <c r="L67" s="59">
        <v>0.72</v>
      </c>
    </row>
    <row r="68" spans="1:12">
      <c r="A68" s="59">
        <v>61</v>
      </c>
      <c r="B68" s="59" t="s">
        <v>724</v>
      </c>
      <c r="C68" s="59">
        <v>149</v>
      </c>
      <c r="D68" s="59">
        <v>20</v>
      </c>
      <c r="E68" s="59">
        <v>416</v>
      </c>
      <c r="F68" s="59">
        <v>20</v>
      </c>
      <c r="G68" s="59">
        <v>645</v>
      </c>
      <c r="H68" s="59">
        <v>1980</v>
      </c>
      <c r="I68" s="59">
        <v>0.72</v>
      </c>
      <c r="J68" s="59">
        <v>0.5</v>
      </c>
      <c r="K68" s="59">
        <v>0.09</v>
      </c>
      <c r="L68" s="59">
        <v>0.02</v>
      </c>
    </row>
    <row r="69" spans="1:12">
      <c r="A69" s="59">
        <v>62</v>
      </c>
      <c r="B69" s="59" t="s">
        <v>102</v>
      </c>
      <c r="C69" s="59">
        <v>45</v>
      </c>
      <c r="D69" s="59">
        <v>20</v>
      </c>
      <c r="E69" s="59">
        <v>395</v>
      </c>
      <c r="F69" s="59">
        <v>111</v>
      </c>
      <c r="G69" s="59">
        <v>125</v>
      </c>
      <c r="H69" s="59">
        <v>255.86</v>
      </c>
      <c r="I69" s="59">
        <v>0.22</v>
      </c>
      <c r="J69" s="59">
        <v>0.47</v>
      </c>
      <c r="K69" s="59">
        <v>0.09</v>
      </c>
      <c r="L69" s="59">
        <v>0.12</v>
      </c>
    </row>
    <row r="70" spans="1:12">
      <c r="A70" s="59">
        <v>63</v>
      </c>
      <c r="B70" s="59" t="s">
        <v>206</v>
      </c>
      <c r="C70" s="59">
        <v>99</v>
      </c>
      <c r="D70" s="59">
        <v>54</v>
      </c>
      <c r="E70" s="59">
        <v>393</v>
      </c>
      <c r="F70" s="59">
        <v>357</v>
      </c>
      <c r="G70" s="59">
        <v>83.33</v>
      </c>
      <c r="H70" s="59">
        <v>10.08</v>
      </c>
      <c r="I70" s="59">
        <v>0.48</v>
      </c>
      <c r="J70" s="59">
        <v>0.47</v>
      </c>
      <c r="K70" s="59">
        <v>0.25</v>
      </c>
      <c r="L70" s="59">
        <v>0.39</v>
      </c>
    </row>
    <row r="71" spans="1:12">
      <c r="A71" s="59">
        <v>64</v>
      </c>
      <c r="B71" s="59" t="s">
        <v>723</v>
      </c>
      <c r="C71" s="59">
        <v>73</v>
      </c>
      <c r="D71" s="59">
        <v>64</v>
      </c>
      <c r="E71" s="59">
        <v>387</v>
      </c>
      <c r="F71" s="59">
        <v>64</v>
      </c>
      <c r="G71" s="59">
        <v>14.06</v>
      </c>
      <c r="H71" s="59">
        <v>504.69</v>
      </c>
      <c r="I71" s="59">
        <v>0.35</v>
      </c>
      <c r="J71" s="59">
        <v>0.46</v>
      </c>
      <c r="K71" s="59">
        <v>0.28999999999999998</v>
      </c>
      <c r="L71" s="59">
        <v>7.0000000000000007E-2</v>
      </c>
    </row>
    <row r="72" spans="1:12">
      <c r="A72" s="59">
        <v>65</v>
      </c>
      <c r="B72" s="59" t="s">
        <v>1041</v>
      </c>
      <c r="C72" s="59">
        <v>115</v>
      </c>
      <c r="D72" s="59">
        <v>0</v>
      </c>
      <c r="E72" s="59">
        <v>387</v>
      </c>
      <c r="F72" s="59">
        <v>0</v>
      </c>
      <c r="G72" s="59">
        <v>0</v>
      </c>
      <c r="H72" s="59">
        <v>0</v>
      </c>
      <c r="I72" s="59">
        <v>0.56000000000000005</v>
      </c>
      <c r="J72" s="59">
        <v>0.46</v>
      </c>
      <c r="K72" s="59">
        <v>0</v>
      </c>
      <c r="L72" s="59">
        <v>0</v>
      </c>
    </row>
    <row r="73" spans="1:12">
      <c r="A73" s="59">
        <v>66</v>
      </c>
      <c r="B73" s="59" t="s">
        <v>86</v>
      </c>
      <c r="C73" s="59">
        <v>90</v>
      </c>
      <c r="D73" s="59">
        <v>89</v>
      </c>
      <c r="E73" s="59">
        <v>384</v>
      </c>
      <c r="F73" s="59">
        <v>358</v>
      </c>
      <c r="G73" s="59">
        <v>1.1200000000000001</v>
      </c>
      <c r="H73" s="59">
        <v>7.26</v>
      </c>
      <c r="I73" s="59">
        <v>0.44</v>
      </c>
      <c r="J73" s="59">
        <v>0.46</v>
      </c>
      <c r="K73" s="59">
        <v>0.41</v>
      </c>
      <c r="L73" s="59">
        <v>0.39</v>
      </c>
    </row>
    <row r="74" spans="1:12">
      <c r="A74" s="59">
        <v>67</v>
      </c>
      <c r="B74" s="59" t="s">
        <v>129</v>
      </c>
      <c r="C74" s="59">
        <v>64</v>
      </c>
      <c r="D74" s="59">
        <v>123</v>
      </c>
      <c r="E74" s="59">
        <v>379</v>
      </c>
      <c r="F74" s="59">
        <v>423</v>
      </c>
      <c r="G74" s="59">
        <v>-47.97</v>
      </c>
      <c r="H74" s="59">
        <v>-10.4</v>
      </c>
      <c r="I74" s="59">
        <v>0.31</v>
      </c>
      <c r="J74" s="59">
        <v>0.45</v>
      </c>
      <c r="K74" s="59">
        <v>0.56000000000000005</v>
      </c>
      <c r="L74" s="59">
        <v>0.46</v>
      </c>
    </row>
    <row r="75" spans="1:12">
      <c r="A75" s="59">
        <v>68</v>
      </c>
      <c r="B75" s="59" t="s">
        <v>68</v>
      </c>
      <c r="C75" s="59">
        <v>79</v>
      </c>
      <c r="D75" s="59">
        <v>76</v>
      </c>
      <c r="E75" s="59">
        <v>372</v>
      </c>
      <c r="F75" s="59">
        <v>443</v>
      </c>
      <c r="G75" s="59">
        <v>3.95</v>
      </c>
      <c r="H75" s="59">
        <v>-16.03</v>
      </c>
      <c r="I75" s="59">
        <v>0.38</v>
      </c>
      <c r="J75" s="59">
        <v>0.44</v>
      </c>
      <c r="K75" s="59">
        <v>0.35</v>
      </c>
      <c r="L75" s="59">
        <v>0.48</v>
      </c>
    </row>
    <row r="76" spans="1:12">
      <c r="A76" s="59">
        <v>69</v>
      </c>
      <c r="B76" s="59" t="s">
        <v>121</v>
      </c>
      <c r="C76" s="59">
        <v>84</v>
      </c>
      <c r="D76" s="59">
        <v>42</v>
      </c>
      <c r="E76" s="59">
        <v>372</v>
      </c>
      <c r="F76" s="59">
        <v>169</v>
      </c>
      <c r="G76" s="59">
        <v>100</v>
      </c>
      <c r="H76" s="59">
        <v>120.12</v>
      </c>
      <c r="I76" s="59">
        <v>0.41</v>
      </c>
      <c r="J76" s="59">
        <v>0.44</v>
      </c>
      <c r="K76" s="59">
        <v>0.19</v>
      </c>
      <c r="L76" s="59">
        <v>0.18</v>
      </c>
    </row>
    <row r="77" spans="1:12">
      <c r="A77" s="59">
        <v>70</v>
      </c>
      <c r="B77" s="59" t="s">
        <v>67</v>
      </c>
      <c r="C77" s="59">
        <v>118</v>
      </c>
      <c r="D77" s="59">
        <v>199</v>
      </c>
      <c r="E77" s="59">
        <v>366</v>
      </c>
      <c r="F77" s="59">
        <v>600</v>
      </c>
      <c r="G77" s="59">
        <v>-40.700000000000003</v>
      </c>
      <c r="H77" s="59">
        <v>-39</v>
      </c>
      <c r="I77" s="59">
        <v>0.56999999999999995</v>
      </c>
      <c r="J77" s="59">
        <v>0.44</v>
      </c>
      <c r="K77" s="59">
        <v>0.91</v>
      </c>
      <c r="L77" s="59">
        <v>0.65</v>
      </c>
    </row>
    <row r="78" spans="1:12">
      <c r="A78" s="59">
        <v>71</v>
      </c>
      <c r="B78" s="59" t="s">
        <v>85</v>
      </c>
      <c r="C78" s="59">
        <v>113</v>
      </c>
      <c r="D78" s="59">
        <v>79</v>
      </c>
      <c r="E78" s="59">
        <v>353</v>
      </c>
      <c r="F78" s="59">
        <v>422</v>
      </c>
      <c r="G78" s="59">
        <v>43.04</v>
      </c>
      <c r="H78" s="59">
        <v>-16.350000000000001</v>
      </c>
      <c r="I78" s="59">
        <v>0.55000000000000004</v>
      </c>
      <c r="J78" s="59">
        <v>0.42</v>
      </c>
      <c r="K78" s="59">
        <v>0.36</v>
      </c>
      <c r="L78" s="59">
        <v>0.46</v>
      </c>
    </row>
    <row r="79" spans="1:12">
      <c r="A79" s="59">
        <v>72</v>
      </c>
      <c r="B79" s="59" t="s">
        <v>110</v>
      </c>
      <c r="C79" s="59">
        <v>104</v>
      </c>
      <c r="D79" s="59">
        <v>99</v>
      </c>
      <c r="E79" s="59">
        <v>349</v>
      </c>
      <c r="F79" s="59">
        <v>240</v>
      </c>
      <c r="G79" s="59">
        <v>5.05</v>
      </c>
      <c r="H79" s="59">
        <v>45.42</v>
      </c>
      <c r="I79" s="59">
        <v>0.51</v>
      </c>
      <c r="J79" s="59">
        <v>0.42</v>
      </c>
      <c r="K79" s="59">
        <v>0.45</v>
      </c>
      <c r="L79" s="59">
        <v>0.26</v>
      </c>
    </row>
    <row r="80" spans="1:12">
      <c r="A80" s="59">
        <v>73</v>
      </c>
      <c r="B80" s="59" t="s">
        <v>595</v>
      </c>
      <c r="C80" s="59">
        <v>77</v>
      </c>
      <c r="D80" s="59">
        <v>183</v>
      </c>
      <c r="E80" s="59">
        <v>348</v>
      </c>
      <c r="F80" s="59">
        <v>779</v>
      </c>
      <c r="G80" s="59">
        <v>-57.92</v>
      </c>
      <c r="H80" s="59">
        <v>-55.33</v>
      </c>
      <c r="I80" s="59">
        <v>0.37</v>
      </c>
      <c r="J80" s="59">
        <v>0.41</v>
      </c>
      <c r="K80" s="59">
        <v>0.83</v>
      </c>
      <c r="L80" s="59">
        <v>0.85</v>
      </c>
    </row>
    <row r="81" spans="1:12">
      <c r="A81" s="59">
        <v>74</v>
      </c>
      <c r="B81" s="59" t="s">
        <v>662</v>
      </c>
      <c r="C81" s="59">
        <v>74</v>
      </c>
      <c r="D81" s="59">
        <v>92</v>
      </c>
      <c r="E81" s="59">
        <v>341</v>
      </c>
      <c r="F81" s="59">
        <v>185</v>
      </c>
      <c r="G81" s="59">
        <v>-19.57</v>
      </c>
      <c r="H81" s="59">
        <v>84.32</v>
      </c>
      <c r="I81" s="59">
        <v>0.36</v>
      </c>
      <c r="J81" s="59">
        <v>0.41</v>
      </c>
      <c r="K81" s="59">
        <v>0.42</v>
      </c>
      <c r="L81" s="59">
        <v>0.2</v>
      </c>
    </row>
    <row r="82" spans="1:12">
      <c r="A82" s="59">
        <v>75</v>
      </c>
      <c r="B82" s="59" t="s">
        <v>152</v>
      </c>
      <c r="C82" s="59">
        <v>99</v>
      </c>
      <c r="D82" s="59">
        <v>37</v>
      </c>
      <c r="E82" s="59">
        <v>325</v>
      </c>
      <c r="F82" s="59">
        <v>207</v>
      </c>
      <c r="G82" s="59">
        <v>167.57</v>
      </c>
      <c r="H82" s="59">
        <v>57</v>
      </c>
      <c r="I82" s="59">
        <v>0.48</v>
      </c>
      <c r="J82" s="59">
        <v>0.39</v>
      </c>
      <c r="K82" s="59">
        <v>0.17</v>
      </c>
      <c r="L82" s="59">
        <v>0.23</v>
      </c>
    </row>
    <row r="83" spans="1:12">
      <c r="A83" s="59">
        <v>76</v>
      </c>
      <c r="B83" s="59" t="s">
        <v>507</v>
      </c>
      <c r="C83" s="59">
        <v>90</v>
      </c>
      <c r="D83" s="59">
        <v>46</v>
      </c>
      <c r="E83" s="59">
        <v>324</v>
      </c>
      <c r="F83" s="59">
        <v>210</v>
      </c>
      <c r="G83" s="59">
        <v>95.65</v>
      </c>
      <c r="H83" s="59">
        <v>54.29</v>
      </c>
      <c r="I83" s="59">
        <v>0.44</v>
      </c>
      <c r="J83" s="59">
        <v>0.39</v>
      </c>
      <c r="K83" s="59">
        <v>0.21</v>
      </c>
      <c r="L83" s="59">
        <v>0.23</v>
      </c>
    </row>
    <row r="84" spans="1:12">
      <c r="A84" s="59">
        <v>77</v>
      </c>
      <c r="B84" s="59" t="s">
        <v>613</v>
      </c>
      <c r="C84" s="59">
        <v>58</v>
      </c>
      <c r="D84" s="59">
        <v>233</v>
      </c>
      <c r="E84" s="59">
        <v>318</v>
      </c>
      <c r="F84" s="59">
        <v>563</v>
      </c>
      <c r="G84" s="59">
        <v>-75.11</v>
      </c>
      <c r="H84" s="59">
        <v>-43.52</v>
      </c>
      <c r="I84" s="59">
        <v>0.28000000000000003</v>
      </c>
      <c r="J84" s="59">
        <v>0.38</v>
      </c>
      <c r="K84" s="59">
        <v>1.06</v>
      </c>
      <c r="L84" s="59">
        <v>0.61</v>
      </c>
    </row>
    <row r="85" spans="1:12">
      <c r="A85" s="59">
        <v>78</v>
      </c>
      <c r="B85" s="59" t="s">
        <v>89</v>
      </c>
      <c r="C85" s="59">
        <v>51</v>
      </c>
      <c r="D85" s="59">
        <v>49</v>
      </c>
      <c r="E85" s="59">
        <v>315</v>
      </c>
      <c r="F85" s="59">
        <v>210</v>
      </c>
      <c r="G85" s="59">
        <v>4.08</v>
      </c>
      <c r="H85" s="59">
        <v>50</v>
      </c>
      <c r="I85" s="59">
        <v>0.25</v>
      </c>
      <c r="J85" s="59">
        <v>0.38</v>
      </c>
      <c r="K85" s="59">
        <v>0.22</v>
      </c>
      <c r="L85" s="59">
        <v>0.23</v>
      </c>
    </row>
    <row r="86" spans="1:12">
      <c r="A86" s="59">
        <v>79</v>
      </c>
      <c r="B86" s="59" t="s">
        <v>667</v>
      </c>
      <c r="C86" s="59">
        <v>106</v>
      </c>
      <c r="D86" s="59">
        <v>0</v>
      </c>
      <c r="E86" s="59">
        <v>307</v>
      </c>
      <c r="F86" s="59">
        <v>0</v>
      </c>
      <c r="G86" s="59">
        <v>0</v>
      </c>
      <c r="H86" s="59">
        <v>0</v>
      </c>
      <c r="I86" s="59">
        <v>0.51</v>
      </c>
      <c r="J86" s="59">
        <v>0.37</v>
      </c>
      <c r="K86" s="59">
        <v>0</v>
      </c>
      <c r="L86" s="59">
        <v>0</v>
      </c>
    </row>
    <row r="87" spans="1:12">
      <c r="A87" s="59">
        <v>80</v>
      </c>
      <c r="B87" s="59" t="s">
        <v>508</v>
      </c>
      <c r="C87" s="59">
        <v>4</v>
      </c>
      <c r="D87" s="59">
        <v>60</v>
      </c>
      <c r="E87" s="59">
        <v>300</v>
      </c>
      <c r="F87" s="59">
        <v>83</v>
      </c>
      <c r="G87" s="59">
        <v>-93.33</v>
      </c>
      <c r="H87" s="59">
        <v>261.45</v>
      </c>
      <c r="I87" s="59">
        <v>0.02</v>
      </c>
      <c r="J87" s="59">
        <v>0.36</v>
      </c>
      <c r="K87" s="59">
        <v>0.27</v>
      </c>
      <c r="L87" s="59">
        <v>0.09</v>
      </c>
    </row>
    <row r="88" spans="1:12">
      <c r="A88" s="59">
        <v>81</v>
      </c>
      <c r="B88" s="59" t="s">
        <v>146</v>
      </c>
      <c r="C88" s="59">
        <v>107</v>
      </c>
      <c r="D88" s="59">
        <v>115</v>
      </c>
      <c r="E88" s="59">
        <v>297</v>
      </c>
      <c r="F88" s="59">
        <v>588</v>
      </c>
      <c r="G88" s="59">
        <v>-6.96</v>
      </c>
      <c r="H88" s="59">
        <v>-49.49</v>
      </c>
      <c r="I88" s="59">
        <v>0.52</v>
      </c>
      <c r="J88" s="59">
        <v>0.35</v>
      </c>
      <c r="K88" s="59">
        <v>0.52</v>
      </c>
      <c r="L88" s="59">
        <v>0.64</v>
      </c>
    </row>
    <row r="89" spans="1:12">
      <c r="A89" s="59">
        <v>82</v>
      </c>
      <c r="B89" s="59" t="s">
        <v>74</v>
      </c>
      <c r="C89" s="59">
        <v>104</v>
      </c>
      <c r="D89" s="59">
        <v>47</v>
      </c>
      <c r="E89" s="59">
        <v>287</v>
      </c>
      <c r="F89" s="59">
        <v>120</v>
      </c>
      <c r="G89" s="59">
        <v>121.28</v>
      </c>
      <c r="H89" s="59">
        <v>139.16999999999999</v>
      </c>
      <c r="I89" s="59">
        <v>0.51</v>
      </c>
      <c r="J89" s="59">
        <v>0.34</v>
      </c>
      <c r="K89" s="59">
        <v>0.21</v>
      </c>
      <c r="L89" s="59">
        <v>0.13</v>
      </c>
    </row>
    <row r="90" spans="1:12">
      <c r="A90" s="59">
        <v>83</v>
      </c>
      <c r="B90" s="59" t="s">
        <v>84</v>
      </c>
      <c r="C90" s="59">
        <v>85</v>
      </c>
      <c r="D90" s="59">
        <v>81</v>
      </c>
      <c r="E90" s="59">
        <v>277</v>
      </c>
      <c r="F90" s="59">
        <v>421</v>
      </c>
      <c r="G90" s="59">
        <v>4.9400000000000004</v>
      </c>
      <c r="H90" s="59">
        <v>-34.200000000000003</v>
      </c>
      <c r="I90" s="59">
        <v>0.41</v>
      </c>
      <c r="J90" s="59">
        <v>0.33</v>
      </c>
      <c r="K90" s="59">
        <v>0.37</v>
      </c>
      <c r="L90" s="59">
        <v>0.46</v>
      </c>
    </row>
    <row r="91" spans="1:12">
      <c r="A91" s="59">
        <v>84</v>
      </c>
      <c r="B91" s="59" t="s">
        <v>680</v>
      </c>
      <c r="C91" s="59">
        <v>87</v>
      </c>
      <c r="D91" s="59">
        <v>44</v>
      </c>
      <c r="E91" s="59">
        <v>269</v>
      </c>
      <c r="F91" s="59">
        <v>149</v>
      </c>
      <c r="G91" s="59">
        <v>97.73</v>
      </c>
      <c r="H91" s="59">
        <v>80.540000000000006</v>
      </c>
      <c r="I91" s="59">
        <v>0.42</v>
      </c>
      <c r="J91" s="59">
        <v>0.32</v>
      </c>
      <c r="K91" s="59">
        <v>0.2</v>
      </c>
      <c r="L91" s="59">
        <v>0.16</v>
      </c>
    </row>
    <row r="92" spans="1:12">
      <c r="A92" s="59">
        <v>85</v>
      </c>
      <c r="B92" s="59" t="s">
        <v>90</v>
      </c>
      <c r="C92" s="59">
        <v>77</v>
      </c>
      <c r="D92" s="59">
        <v>46</v>
      </c>
      <c r="E92" s="59">
        <v>267</v>
      </c>
      <c r="F92" s="59">
        <v>314</v>
      </c>
      <c r="G92" s="59">
        <v>67.39</v>
      </c>
      <c r="H92" s="59">
        <v>-14.97</v>
      </c>
      <c r="I92" s="59">
        <v>0.37</v>
      </c>
      <c r="J92" s="59">
        <v>0.32</v>
      </c>
      <c r="K92" s="59">
        <v>0.21</v>
      </c>
      <c r="L92" s="59">
        <v>0.34</v>
      </c>
    </row>
    <row r="93" spans="1:12">
      <c r="A93" s="59">
        <v>86</v>
      </c>
      <c r="B93" s="59" t="s">
        <v>731</v>
      </c>
      <c r="C93" s="59">
        <v>35</v>
      </c>
      <c r="D93" s="59">
        <v>0</v>
      </c>
      <c r="E93" s="59">
        <v>264</v>
      </c>
      <c r="F93" s="59">
        <v>0</v>
      </c>
      <c r="G93" s="59">
        <v>0</v>
      </c>
      <c r="H93" s="59">
        <v>0</v>
      </c>
      <c r="I93" s="59">
        <v>0.17</v>
      </c>
      <c r="J93" s="59">
        <v>0.31</v>
      </c>
      <c r="K93" s="59">
        <v>0</v>
      </c>
      <c r="L93" s="59">
        <v>0</v>
      </c>
    </row>
    <row r="94" spans="1:12">
      <c r="A94" s="59">
        <v>87</v>
      </c>
      <c r="B94" s="59" t="s">
        <v>1093</v>
      </c>
      <c r="C94" s="59">
        <v>86</v>
      </c>
      <c r="D94" s="59">
        <v>0</v>
      </c>
      <c r="E94" s="59">
        <v>261</v>
      </c>
      <c r="F94" s="59">
        <v>0</v>
      </c>
      <c r="G94" s="59">
        <v>0</v>
      </c>
      <c r="H94" s="59">
        <v>0</v>
      </c>
      <c r="I94" s="59">
        <v>0.42</v>
      </c>
      <c r="J94" s="59">
        <v>0.31</v>
      </c>
      <c r="K94" s="59">
        <v>0</v>
      </c>
      <c r="L94" s="59">
        <v>0</v>
      </c>
    </row>
    <row r="95" spans="1:12">
      <c r="A95" s="59">
        <v>88</v>
      </c>
      <c r="B95" s="59" t="s">
        <v>160</v>
      </c>
      <c r="C95" s="59">
        <v>64</v>
      </c>
      <c r="D95" s="59">
        <v>78</v>
      </c>
      <c r="E95" s="59">
        <v>260</v>
      </c>
      <c r="F95" s="59">
        <v>182</v>
      </c>
      <c r="G95" s="59">
        <v>-17.95</v>
      </c>
      <c r="H95" s="59">
        <v>42.86</v>
      </c>
      <c r="I95" s="59">
        <v>0.31</v>
      </c>
      <c r="J95" s="59">
        <v>0.31</v>
      </c>
      <c r="K95" s="59">
        <v>0.36</v>
      </c>
      <c r="L95" s="59">
        <v>0.2</v>
      </c>
    </row>
    <row r="96" spans="1:12">
      <c r="A96" s="59">
        <v>89</v>
      </c>
      <c r="B96" s="59" t="s">
        <v>627</v>
      </c>
      <c r="C96" s="59">
        <v>49</v>
      </c>
      <c r="D96" s="59">
        <v>23</v>
      </c>
      <c r="E96" s="59">
        <v>259</v>
      </c>
      <c r="F96" s="59">
        <v>255</v>
      </c>
      <c r="G96" s="59">
        <v>113.04</v>
      </c>
      <c r="H96" s="59">
        <v>1.57</v>
      </c>
      <c r="I96" s="59">
        <v>0.24</v>
      </c>
      <c r="J96" s="59">
        <v>0.31</v>
      </c>
      <c r="K96" s="59">
        <v>0.1</v>
      </c>
      <c r="L96" s="59">
        <v>0.28000000000000003</v>
      </c>
    </row>
    <row r="97" spans="1:12">
      <c r="A97" s="59">
        <v>90</v>
      </c>
      <c r="B97" s="59" t="s">
        <v>111</v>
      </c>
      <c r="C97" s="59">
        <v>75</v>
      </c>
      <c r="D97" s="59">
        <v>29</v>
      </c>
      <c r="E97" s="59">
        <v>258</v>
      </c>
      <c r="F97" s="59">
        <v>80</v>
      </c>
      <c r="G97" s="59">
        <v>158.62</v>
      </c>
      <c r="H97" s="59">
        <v>222.5</v>
      </c>
      <c r="I97" s="59">
        <v>0.36</v>
      </c>
      <c r="J97" s="59">
        <v>0.31</v>
      </c>
      <c r="K97" s="59">
        <v>0.13</v>
      </c>
      <c r="L97" s="59">
        <v>0.09</v>
      </c>
    </row>
    <row r="98" spans="1:12">
      <c r="A98" s="59">
        <v>91</v>
      </c>
      <c r="B98" s="59" t="s">
        <v>383</v>
      </c>
      <c r="C98" s="59">
        <v>56</v>
      </c>
      <c r="D98" s="59">
        <v>40</v>
      </c>
      <c r="E98" s="59">
        <v>257</v>
      </c>
      <c r="F98" s="59">
        <v>315</v>
      </c>
      <c r="G98" s="59">
        <v>40</v>
      </c>
      <c r="H98" s="59">
        <v>-18.41</v>
      </c>
      <c r="I98" s="59">
        <v>0.27</v>
      </c>
      <c r="J98" s="59">
        <v>0.31</v>
      </c>
      <c r="K98" s="59">
        <v>0.18</v>
      </c>
      <c r="L98" s="59">
        <v>0.34</v>
      </c>
    </row>
    <row r="99" spans="1:12">
      <c r="A99" s="59">
        <v>92</v>
      </c>
      <c r="B99" s="59" t="s">
        <v>78</v>
      </c>
      <c r="C99" s="59">
        <v>49</v>
      </c>
      <c r="D99" s="59">
        <v>81</v>
      </c>
      <c r="E99" s="59">
        <v>257</v>
      </c>
      <c r="F99" s="59">
        <v>307</v>
      </c>
      <c r="G99" s="59">
        <v>-39.51</v>
      </c>
      <c r="H99" s="59">
        <v>-16.29</v>
      </c>
      <c r="I99" s="59">
        <v>0.24</v>
      </c>
      <c r="J99" s="59">
        <v>0.31</v>
      </c>
      <c r="K99" s="59">
        <v>0.37</v>
      </c>
      <c r="L99" s="59">
        <v>0.33</v>
      </c>
    </row>
    <row r="100" spans="1:12">
      <c r="A100" s="59">
        <v>93</v>
      </c>
      <c r="B100" s="59" t="s">
        <v>82</v>
      </c>
      <c r="C100" s="59">
        <v>80</v>
      </c>
      <c r="D100" s="59">
        <v>32</v>
      </c>
      <c r="E100" s="59">
        <v>253</v>
      </c>
      <c r="F100" s="59">
        <v>215</v>
      </c>
      <c r="G100" s="59">
        <v>150</v>
      </c>
      <c r="H100" s="59">
        <v>17.670000000000002</v>
      </c>
      <c r="I100" s="59">
        <v>0.39</v>
      </c>
      <c r="J100" s="59">
        <v>0.3</v>
      </c>
      <c r="K100" s="59">
        <v>0.15</v>
      </c>
      <c r="L100" s="59">
        <v>0.23</v>
      </c>
    </row>
    <row r="101" spans="1:12">
      <c r="A101" s="59">
        <v>94</v>
      </c>
      <c r="B101" s="59" t="s">
        <v>71</v>
      </c>
      <c r="C101" s="59">
        <v>42</v>
      </c>
      <c r="D101" s="59">
        <v>111</v>
      </c>
      <c r="E101" s="59">
        <v>250</v>
      </c>
      <c r="F101" s="59">
        <v>513</v>
      </c>
      <c r="G101" s="59">
        <v>-62.16</v>
      </c>
      <c r="H101" s="59">
        <v>-51.27</v>
      </c>
      <c r="I101" s="59">
        <v>0.2</v>
      </c>
      <c r="J101" s="59">
        <v>0.3</v>
      </c>
      <c r="K101" s="59">
        <v>0.51</v>
      </c>
      <c r="L101" s="59">
        <v>0.56000000000000005</v>
      </c>
    </row>
    <row r="102" spans="1:12">
      <c r="A102" s="59">
        <v>95</v>
      </c>
      <c r="B102" s="59" t="s">
        <v>77</v>
      </c>
      <c r="C102" s="59">
        <v>39</v>
      </c>
      <c r="D102" s="59">
        <v>109</v>
      </c>
      <c r="E102" s="59">
        <v>242</v>
      </c>
      <c r="F102" s="59">
        <v>597</v>
      </c>
      <c r="G102" s="59">
        <v>-64.22</v>
      </c>
      <c r="H102" s="59">
        <v>-59.46</v>
      </c>
      <c r="I102" s="59">
        <v>0.19</v>
      </c>
      <c r="J102" s="59">
        <v>0.28999999999999998</v>
      </c>
      <c r="K102" s="59">
        <v>0.5</v>
      </c>
      <c r="L102" s="59">
        <v>0.65</v>
      </c>
    </row>
    <row r="103" spans="1:12">
      <c r="A103" s="59">
        <v>96</v>
      </c>
      <c r="B103" s="59" t="s">
        <v>92</v>
      </c>
      <c r="C103" s="59">
        <v>66</v>
      </c>
      <c r="D103" s="59">
        <v>37</v>
      </c>
      <c r="E103" s="59">
        <v>239</v>
      </c>
      <c r="F103" s="59">
        <v>300</v>
      </c>
      <c r="G103" s="59">
        <v>78.38</v>
      </c>
      <c r="H103" s="59">
        <v>-20.329999999999998</v>
      </c>
      <c r="I103" s="59">
        <v>0.32</v>
      </c>
      <c r="J103" s="59">
        <v>0.28000000000000003</v>
      </c>
      <c r="K103" s="59">
        <v>0.17</v>
      </c>
      <c r="L103" s="59">
        <v>0.33</v>
      </c>
    </row>
    <row r="104" spans="1:12">
      <c r="A104" s="59">
        <v>97</v>
      </c>
      <c r="B104" s="59" t="s">
        <v>635</v>
      </c>
      <c r="C104" s="59">
        <v>92</v>
      </c>
      <c r="D104" s="59">
        <v>24</v>
      </c>
      <c r="E104" s="59">
        <v>239</v>
      </c>
      <c r="F104" s="59">
        <v>172</v>
      </c>
      <c r="G104" s="59">
        <v>283.33</v>
      </c>
      <c r="H104" s="59">
        <v>38.950000000000003</v>
      </c>
      <c r="I104" s="59">
        <v>0.45</v>
      </c>
      <c r="J104" s="59">
        <v>0.28000000000000003</v>
      </c>
      <c r="K104" s="59">
        <v>0.11</v>
      </c>
      <c r="L104" s="59">
        <v>0.19</v>
      </c>
    </row>
    <row r="105" spans="1:12">
      <c r="A105" s="59">
        <v>98</v>
      </c>
      <c r="B105" s="59" t="s">
        <v>1167</v>
      </c>
      <c r="C105" s="59">
        <v>190</v>
      </c>
      <c r="D105" s="59">
        <v>0</v>
      </c>
      <c r="E105" s="59">
        <v>234</v>
      </c>
      <c r="F105" s="59">
        <v>0</v>
      </c>
      <c r="G105" s="59">
        <v>0</v>
      </c>
      <c r="H105" s="59">
        <v>0</v>
      </c>
      <c r="I105" s="59">
        <v>0.92</v>
      </c>
      <c r="J105" s="59">
        <v>0.28000000000000003</v>
      </c>
      <c r="K105" s="59">
        <v>0</v>
      </c>
      <c r="L105" s="59">
        <v>0</v>
      </c>
    </row>
    <row r="106" spans="1:12">
      <c r="A106" s="59">
        <v>99</v>
      </c>
      <c r="B106" s="59" t="s">
        <v>167</v>
      </c>
      <c r="C106" s="59">
        <v>13</v>
      </c>
      <c r="D106" s="59">
        <v>24</v>
      </c>
      <c r="E106" s="59">
        <v>232</v>
      </c>
      <c r="F106" s="59">
        <v>56</v>
      </c>
      <c r="G106" s="59">
        <v>-45.83</v>
      </c>
      <c r="H106" s="59">
        <v>314.29000000000002</v>
      </c>
      <c r="I106" s="59">
        <v>0.06</v>
      </c>
      <c r="J106" s="59">
        <v>0.28000000000000003</v>
      </c>
      <c r="K106" s="59">
        <v>0.11</v>
      </c>
      <c r="L106" s="59">
        <v>0.06</v>
      </c>
    </row>
    <row r="107" spans="1:12">
      <c r="A107" s="59">
        <v>100</v>
      </c>
      <c r="B107" s="59" t="s">
        <v>1047</v>
      </c>
      <c r="C107" s="59">
        <v>83</v>
      </c>
      <c r="D107" s="59">
        <v>0</v>
      </c>
      <c r="E107" s="59">
        <v>232</v>
      </c>
      <c r="F107" s="59">
        <v>0</v>
      </c>
      <c r="G107" s="59">
        <v>0</v>
      </c>
      <c r="H107" s="59">
        <v>0</v>
      </c>
      <c r="I107" s="59">
        <v>0.4</v>
      </c>
      <c r="J107" s="59">
        <v>0.28000000000000003</v>
      </c>
      <c r="K107" s="59">
        <v>0</v>
      </c>
      <c r="L107" s="59">
        <v>0</v>
      </c>
    </row>
    <row r="108" spans="1:12">
      <c r="A108" s="59">
        <v>101</v>
      </c>
      <c r="B108" s="59" t="s">
        <v>1057</v>
      </c>
      <c r="C108" s="59">
        <v>60</v>
      </c>
      <c r="D108" s="59">
        <v>0</v>
      </c>
      <c r="E108" s="59">
        <v>232</v>
      </c>
      <c r="F108" s="59">
        <v>0</v>
      </c>
      <c r="G108" s="59">
        <v>0</v>
      </c>
      <c r="H108" s="59">
        <v>0</v>
      </c>
      <c r="I108" s="59">
        <v>0.28999999999999998</v>
      </c>
      <c r="J108" s="59">
        <v>0.28000000000000003</v>
      </c>
      <c r="K108" s="59">
        <v>0</v>
      </c>
      <c r="L108" s="59">
        <v>0</v>
      </c>
    </row>
    <row r="109" spans="1:12">
      <c r="A109" s="59">
        <v>102</v>
      </c>
      <c r="B109" s="59" t="s">
        <v>637</v>
      </c>
      <c r="C109" s="59">
        <v>39</v>
      </c>
      <c r="D109" s="59">
        <v>87</v>
      </c>
      <c r="E109" s="59">
        <v>230</v>
      </c>
      <c r="F109" s="59">
        <v>249</v>
      </c>
      <c r="G109" s="59">
        <v>-55.17</v>
      </c>
      <c r="H109" s="59">
        <v>-7.63</v>
      </c>
      <c r="I109" s="59">
        <v>0.19</v>
      </c>
      <c r="J109" s="59">
        <v>0.27</v>
      </c>
      <c r="K109" s="59">
        <v>0.4</v>
      </c>
      <c r="L109" s="59">
        <v>0.27</v>
      </c>
    </row>
    <row r="110" spans="1:12">
      <c r="A110" s="59">
        <v>103</v>
      </c>
      <c r="B110" s="59" t="s">
        <v>136</v>
      </c>
      <c r="C110" s="59">
        <v>19</v>
      </c>
      <c r="D110" s="59">
        <v>57</v>
      </c>
      <c r="E110" s="59">
        <v>225</v>
      </c>
      <c r="F110" s="59">
        <v>183</v>
      </c>
      <c r="G110" s="59">
        <v>-66.67</v>
      </c>
      <c r="H110" s="59">
        <v>22.95</v>
      </c>
      <c r="I110" s="59">
        <v>0.09</v>
      </c>
      <c r="J110" s="59">
        <v>0.27</v>
      </c>
      <c r="K110" s="59">
        <v>0.26</v>
      </c>
      <c r="L110" s="59">
        <v>0.2</v>
      </c>
    </row>
    <row r="111" spans="1:12">
      <c r="A111" s="59">
        <v>104</v>
      </c>
      <c r="B111" s="59" t="s">
        <v>117</v>
      </c>
      <c r="C111" s="59">
        <v>80</v>
      </c>
      <c r="D111" s="59">
        <v>46</v>
      </c>
      <c r="E111" s="59">
        <v>224</v>
      </c>
      <c r="F111" s="59">
        <v>265</v>
      </c>
      <c r="G111" s="59">
        <v>73.91</v>
      </c>
      <c r="H111" s="59">
        <v>-15.47</v>
      </c>
      <c r="I111" s="59">
        <v>0.39</v>
      </c>
      <c r="J111" s="59">
        <v>0.27</v>
      </c>
      <c r="K111" s="59">
        <v>0.21</v>
      </c>
      <c r="L111" s="59">
        <v>0.28999999999999998</v>
      </c>
    </row>
    <row r="112" spans="1:12">
      <c r="A112" s="59">
        <v>105</v>
      </c>
      <c r="B112" s="59" t="s">
        <v>143</v>
      </c>
      <c r="C112" s="59">
        <v>45</v>
      </c>
      <c r="D112" s="59">
        <v>114</v>
      </c>
      <c r="E112" s="59">
        <v>221</v>
      </c>
      <c r="F112" s="59">
        <v>401</v>
      </c>
      <c r="G112" s="59">
        <v>-60.53</v>
      </c>
      <c r="H112" s="59">
        <v>-44.89</v>
      </c>
      <c r="I112" s="59">
        <v>0.22</v>
      </c>
      <c r="J112" s="59">
        <v>0.26</v>
      </c>
      <c r="K112" s="59">
        <v>0.52</v>
      </c>
      <c r="L112" s="59">
        <v>0.44</v>
      </c>
    </row>
    <row r="113" spans="1:12">
      <c r="A113" s="59">
        <v>106</v>
      </c>
      <c r="B113" s="59" t="s">
        <v>679</v>
      </c>
      <c r="C113" s="59">
        <v>61</v>
      </c>
      <c r="D113" s="59">
        <v>14</v>
      </c>
      <c r="E113" s="59">
        <v>221</v>
      </c>
      <c r="F113" s="59">
        <v>148</v>
      </c>
      <c r="G113" s="59">
        <v>335.71</v>
      </c>
      <c r="H113" s="59">
        <v>49.32</v>
      </c>
      <c r="I113" s="59">
        <v>0.3</v>
      </c>
      <c r="J113" s="59">
        <v>0.26</v>
      </c>
      <c r="K113" s="59">
        <v>0.06</v>
      </c>
      <c r="L113" s="59">
        <v>0.16</v>
      </c>
    </row>
    <row r="114" spans="1:12">
      <c r="A114" s="59">
        <v>107</v>
      </c>
      <c r="B114" s="59" t="s">
        <v>138</v>
      </c>
      <c r="C114" s="59">
        <v>31</v>
      </c>
      <c r="D114" s="59">
        <v>127</v>
      </c>
      <c r="E114" s="59">
        <v>219</v>
      </c>
      <c r="F114" s="59">
        <v>362</v>
      </c>
      <c r="G114" s="59">
        <v>-75.59</v>
      </c>
      <c r="H114" s="59">
        <v>-39.5</v>
      </c>
      <c r="I114" s="59">
        <v>0.15</v>
      </c>
      <c r="J114" s="59">
        <v>0.26</v>
      </c>
      <c r="K114" s="59">
        <v>0.57999999999999996</v>
      </c>
      <c r="L114" s="59">
        <v>0.39</v>
      </c>
    </row>
    <row r="115" spans="1:12">
      <c r="A115" s="59">
        <v>108</v>
      </c>
      <c r="B115" s="59" t="s">
        <v>184</v>
      </c>
      <c r="C115" s="59">
        <v>69</v>
      </c>
      <c r="D115" s="59">
        <v>84</v>
      </c>
      <c r="E115" s="59">
        <v>218</v>
      </c>
      <c r="F115" s="59">
        <v>251</v>
      </c>
      <c r="G115" s="59">
        <v>-17.86</v>
      </c>
      <c r="H115" s="59">
        <v>-13.15</v>
      </c>
      <c r="I115" s="59">
        <v>0.34</v>
      </c>
      <c r="J115" s="59">
        <v>0.26</v>
      </c>
      <c r="K115" s="59">
        <v>0.38</v>
      </c>
      <c r="L115" s="59">
        <v>0.27</v>
      </c>
    </row>
    <row r="116" spans="1:12">
      <c r="A116" s="59">
        <v>109</v>
      </c>
      <c r="B116" s="59" t="s">
        <v>118</v>
      </c>
      <c r="C116" s="59">
        <v>49</v>
      </c>
      <c r="D116" s="59">
        <v>28</v>
      </c>
      <c r="E116" s="59">
        <v>203</v>
      </c>
      <c r="F116" s="59">
        <v>113</v>
      </c>
      <c r="G116" s="59">
        <v>75</v>
      </c>
      <c r="H116" s="59">
        <v>79.650000000000006</v>
      </c>
      <c r="I116" s="59">
        <v>0.24</v>
      </c>
      <c r="J116" s="59">
        <v>0.24</v>
      </c>
      <c r="K116" s="59">
        <v>0.13</v>
      </c>
      <c r="L116" s="59">
        <v>0.12</v>
      </c>
    </row>
    <row r="117" spans="1:12">
      <c r="A117" s="59">
        <v>110</v>
      </c>
      <c r="B117" s="59" t="s">
        <v>147</v>
      </c>
      <c r="C117" s="59">
        <v>64</v>
      </c>
      <c r="D117" s="59">
        <v>26</v>
      </c>
      <c r="E117" s="59">
        <v>196</v>
      </c>
      <c r="F117" s="59">
        <v>123</v>
      </c>
      <c r="G117" s="59">
        <v>146.15</v>
      </c>
      <c r="H117" s="59">
        <v>59.35</v>
      </c>
      <c r="I117" s="59">
        <v>0.31</v>
      </c>
      <c r="J117" s="59">
        <v>0.23</v>
      </c>
      <c r="K117" s="59">
        <v>0.12</v>
      </c>
      <c r="L117" s="59">
        <v>0.13</v>
      </c>
    </row>
    <row r="118" spans="1:12">
      <c r="A118" s="59">
        <v>111</v>
      </c>
      <c r="B118" s="59" t="s">
        <v>124</v>
      </c>
      <c r="C118" s="59">
        <v>50</v>
      </c>
      <c r="D118" s="59">
        <v>36</v>
      </c>
      <c r="E118" s="59">
        <v>191</v>
      </c>
      <c r="F118" s="59">
        <v>168</v>
      </c>
      <c r="G118" s="59">
        <v>38.89</v>
      </c>
      <c r="H118" s="59">
        <v>13.69</v>
      </c>
      <c r="I118" s="59">
        <v>0.24</v>
      </c>
      <c r="J118" s="59">
        <v>0.23</v>
      </c>
      <c r="K118" s="59">
        <v>0.16</v>
      </c>
      <c r="L118" s="59">
        <v>0.18</v>
      </c>
    </row>
    <row r="119" spans="1:12">
      <c r="A119" s="59">
        <v>112</v>
      </c>
      <c r="B119" s="59" t="s">
        <v>171</v>
      </c>
      <c r="C119" s="59">
        <v>75</v>
      </c>
      <c r="D119" s="59">
        <v>76</v>
      </c>
      <c r="E119" s="59">
        <v>188</v>
      </c>
      <c r="F119" s="59">
        <v>172</v>
      </c>
      <c r="G119" s="59">
        <v>-1.32</v>
      </c>
      <c r="H119" s="59">
        <v>9.3000000000000007</v>
      </c>
      <c r="I119" s="59">
        <v>0.36</v>
      </c>
      <c r="J119" s="59">
        <v>0.22</v>
      </c>
      <c r="K119" s="59">
        <v>0.35</v>
      </c>
      <c r="L119" s="59">
        <v>0.19</v>
      </c>
    </row>
    <row r="120" spans="1:12">
      <c r="A120" s="59">
        <v>113</v>
      </c>
      <c r="B120" s="59" t="s">
        <v>130</v>
      </c>
      <c r="C120" s="59">
        <v>58</v>
      </c>
      <c r="D120" s="59">
        <v>80</v>
      </c>
      <c r="E120" s="59">
        <v>187</v>
      </c>
      <c r="F120" s="59">
        <v>226</v>
      </c>
      <c r="G120" s="59">
        <v>-27.5</v>
      </c>
      <c r="H120" s="59">
        <v>-17.260000000000002</v>
      </c>
      <c r="I120" s="59">
        <v>0.28000000000000003</v>
      </c>
      <c r="J120" s="59">
        <v>0.22</v>
      </c>
      <c r="K120" s="59">
        <v>0.36</v>
      </c>
      <c r="L120" s="59">
        <v>0.25</v>
      </c>
    </row>
    <row r="121" spans="1:12">
      <c r="A121" s="59">
        <v>114</v>
      </c>
      <c r="B121" s="59" t="s">
        <v>101</v>
      </c>
      <c r="C121" s="59">
        <v>41</v>
      </c>
      <c r="D121" s="59">
        <v>34</v>
      </c>
      <c r="E121" s="59">
        <v>187</v>
      </c>
      <c r="F121" s="59">
        <v>162</v>
      </c>
      <c r="G121" s="59">
        <v>20.59</v>
      </c>
      <c r="H121" s="59">
        <v>15.43</v>
      </c>
      <c r="I121" s="59">
        <v>0.2</v>
      </c>
      <c r="J121" s="59">
        <v>0.22</v>
      </c>
      <c r="K121" s="59">
        <v>0.15</v>
      </c>
      <c r="L121" s="59">
        <v>0.18</v>
      </c>
    </row>
    <row r="122" spans="1:12">
      <c r="A122" s="59">
        <v>115</v>
      </c>
      <c r="B122" s="59" t="s">
        <v>97</v>
      </c>
      <c r="C122" s="59">
        <v>43</v>
      </c>
      <c r="D122" s="59">
        <v>83</v>
      </c>
      <c r="E122" s="59">
        <v>185</v>
      </c>
      <c r="F122" s="59">
        <v>511</v>
      </c>
      <c r="G122" s="59">
        <v>-48.19</v>
      </c>
      <c r="H122" s="59">
        <v>-63.8</v>
      </c>
      <c r="I122" s="59">
        <v>0.21</v>
      </c>
      <c r="J122" s="59">
        <v>0.22</v>
      </c>
      <c r="K122" s="59">
        <v>0.38</v>
      </c>
      <c r="L122" s="59">
        <v>0.56000000000000005</v>
      </c>
    </row>
    <row r="123" spans="1:12">
      <c r="A123" s="59">
        <v>116</v>
      </c>
      <c r="B123" s="59" t="s">
        <v>693</v>
      </c>
      <c r="C123" s="59">
        <v>15</v>
      </c>
      <c r="D123" s="59">
        <v>28</v>
      </c>
      <c r="E123" s="59">
        <v>184</v>
      </c>
      <c r="F123" s="59">
        <v>61</v>
      </c>
      <c r="G123" s="59">
        <v>-46.43</v>
      </c>
      <c r="H123" s="59">
        <v>201.64</v>
      </c>
      <c r="I123" s="59">
        <v>7.0000000000000007E-2</v>
      </c>
      <c r="J123" s="59">
        <v>0.22</v>
      </c>
      <c r="K123" s="59">
        <v>0.13</v>
      </c>
      <c r="L123" s="59">
        <v>7.0000000000000007E-2</v>
      </c>
    </row>
    <row r="124" spans="1:12">
      <c r="A124" s="59">
        <v>117</v>
      </c>
      <c r="B124" s="59" t="s">
        <v>174</v>
      </c>
      <c r="C124" s="59">
        <v>47</v>
      </c>
      <c r="D124" s="59">
        <v>61</v>
      </c>
      <c r="E124" s="59">
        <v>183</v>
      </c>
      <c r="F124" s="59">
        <v>217</v>
      </c>
      <c r="G124" s="59">
        <v>-22.95</v>
      </c>
      <c r="H124" s="59">
        <v>-15.67</v>
      </c>
      <c r="I124" s="59">
        <v>0.23</v>
      </c>
      <c r="J124" s="59">
        <v>0.22</v>
      </c>
      <c r="K124" s="59">
        <v>0.28000000000000003</v>
      </c>
      <c r="L124" s="59">
        <v>0.24</v>
      </c>
    </row>
    <row r="125" spans="1:12">
      <c r="A125" s="59">
        <v>118</v>
      </c>
      <c r="B125" s="59" t="s">
        <v>134</v>
      </c>
      <c r="C125" s="59">
        <v>57</v>
      </c>
      <c r="D125" s="59">
        <v>41</v>
      </c>
      <c r="E125" s="59">
        <v>181</v>
      </c>
      <c r="F125" s="59">
        <v>155</v>
      </c>
      <c r="G125" s="59">
        <v>39.020000000000003</v>
      </c>
      <c r="H125" s="59">
        <v>16.77</v>
      </c>
      <c r="I125" s="59">
        <v>0.28000000000000003</v>
      </c>
      <c r="J125" s="59">
        <v>0.22</v>
      </c>
      <c r="K125" s="59">
        <v>0.19</v>
      </c>
      <c r="L125" s="59">
        <v>0.17</v>
      </c>
    </row>
    <row r="126" spans="1:12">
      <c r="A126" s="59">
        <v>119</v>
      </c>
      <c r="B126" s="59" t="s">
        <v>161</v>
      </c>
      <c r="C126" s="59">
        <v>32</v>
      </c>
      <c r="D126" s="59">
        <v>27</v>
      </c>
      <c r="E126" s="59">
        <v>178</v>
      </c>
      <c r="F126" s="59">
        <v>155</v>
      </c>
      <c r="G126" s="59">
        <v>18.52</v>
      </c>
      <c r="H126" s="59">
        <v>14.84</v>
      </c>
      <c r="I126" s="59">
        <v>0.16</v>
      </c>
      <c r="J126" s="59">
        <v>0.21</v>
      </c>
      <c r="K126" s="59">
        <v>0.12</v>
      </c>
      <c r="L126" s="59">
        <v>0.17</v>
      </c>
    </row>
    <row r="127" spans="1:12">
      <c r="A127" s="59">
        <v>120</v>
      </c>
      <c r="B127" s="59" t="s">
        <v>408</v>
      </c>
      <c r="C127" s="59">
        <v>41</v>
      </c>
      <c r="D127" s="59">
        <v>24</v>
      </c>
      <c r="E127" s="59">
        <v>176</v>
      </c>
      <c r="F127" s="59">
        <v>136</v>
      </c>
      <c r="G127" s="59">
        <v>70.83</v>
      </c>
      <c r="H127" s="59">
        <v>29.41</v>
      </c>
      <c r="I127" s="59">
        <v>0.2</v>
      </c>
      <c r="J127" s="59">
        <v>0.21</v>
      </c>
      <c r="K127" s="59">
        <v>0.11</v>
      </c>
      <c r="L127" s="59">
        <v>0.15</v>
      </c>
    </row>
    <row r="128" spans="1:12">
      <c r="A128" s="59">
        <v>121</v>
      </c>
      <c r="B128" s="59" t="s">
        <v>155</v>
      </c>
      <c r="C128" s="59">
        <v>18</v>
      </c>
      <c r="D128" s="59">
        <v>41</v>
      </c>
      <c r="E128" s="59">
        <v>166</v>
      </c>
      <c r="F128" s="59">
        <v>155</v>
      </c>
      <c r="G128" s="59">
        <v>-56.1</v>
      </c>
      <c r="H128" s="59">
        <v>7.1</v>
      </c>
      <c r="I128" s="59">
        <v>0.09</v>
      </c>
      <c r="J128" s="59">
        <v>0.2</v>
      </c>
      <c r="K128" s="59">
        <v>0.19</v>
      </c>
      <c r="L128" s="59">
        <v>0.17</v>
      </c>
    </row>
    <row r="129" spans="1:12">
      <c r="A129" s="59">
        <v>122</v>
      </c>
      <c r="B129" s="59" t="s">
        <v>153</v>
      </c>
      <c r="C129" s="59">
        <v>67</v>
      </c>
      <c r="D129" s="59">
        <v>124</v>
      </c>
      <c r="E129" s="59">
        <v>154</v>
      </c>
      <c r="F129" s="59">
        <v>393</v>
      </c>
      <c r="G129" s="59">
        <v>-45.97</v>
      </c>
      <c r="H129" s="59">
        <v>-60.81</v>
      </c>
      <c r="I129" s="59">
        <v>0.33</v>
      </c>
      <c r="J129" s="59">
        <v>0.18</v>
      </c>
      <c r="K129" s="59">
        <v>0.56999999999999995</v>
      </c>
      <c r="L129" s="59">
        <v>0.43</v>
      </c>
    </row>
    <row r="130" spans="1:12">
      <c r="A130" s="59">
        <v>123</v>
      </c>
      <c r="B130" s="59" t="s">
        <v>628</v>
      </c>
      <c r="C130" s="59">
        <v>27</v>
      </c>
      <c r="D130" s="59">
        <v>216</v>
      </c>
      <c r="E130" s="59">
        <v>145</v>
      </c>
      <c r="F130" s="59">
        <v>371</v>
      </c>
      <c r="G130" s="59">
        <v>-87.5</v>
      </c>
      <c r="H130" s="59">
        <v>-60.92</v>
      </c>
      <c r="I130" s="59">
        <v>0.13</v>
      </c>
      <c r="J130" s="59">
        <v>0.17</v>
      </c>
      <c r="K130" s="59">
        <v>0.98</v>
      </c>
      <c r="L130" s="59">
        <v>0.4</v>
      </c>
    </row>
    <row r="131" spans="1:12">
      <c r="A131" s="59">
        <v>124</v>
      </c>
      <c r="B131" s="59" t="s">
        <v>382</v>
      </c>
      <c r="C131" s="59">
        <v>49</v>
      </c>
      <c r="D131" s="59">
        <v>52</v>
      </c>
      <c r="E131" s="59">
        <v>144</v>
      </c>
      <c r="F131" s="59">
        <v>153</v>
      </c>
      <c r="G131" s="59">
        <v>-5.77</v>
      </c>
      <c r="H131" s="59">
        <v>-5.88</v>
      </c>
      <c r="I131" s="59">
        <v>0.24</v>
      </c>
      <c r="J131" s="59">
        <v>0.17</v>
      </c>
      <c r="K131" s="59">
        <v>0.24</v>
      </c>
      <c r="L131" s="59">
        <v>0.17</v>
      </c>
    </row>
    <row r="132" spans="1:12">
      <c r="A132" s="59">
        <v>125</v>
      </c>
      <c r="B132" s="59" t="s">
        <v>612</v>
      </c>
      <c r="C132" s="59">
        <v>5</v>
      </c>
      <c r="D132" s="59">
        <v>49</v>
      </c>
      <c r="E132" s="59">
        <v>142</v>
      </c>
      <c r="F132" s="59">
        <v>765</v>
      </c>
      <c r="G132" s="59">
        <v>-89.8</v>
      </c>
      <c r="H132" s="59">
        <v>-81.44</v>
      </c>
      <c r="I132" s="59">
        <v>0.02</v>
      </c>
      <c r="J132" s="59">
        <v>0.17</v>
      </c>
      <c r="K132" s="59">
        <v>0.22</v>
      </c>
      <c r="L132" s="59">
        <v>0.83</v>
      </c>
    </row>
    <row r="133" spans="1:12">
      <c r="A133" s="59">
        <v>126</v>
      </c>
      <c r="B133" s="59" t="s">
        <v>391</v>
      </c>
      <c r="C133" s="59">
        <v>67</v>
      </c>
      <c r="D133" s="59">
        <v>50</v>
      </c>
      <c r="E133" s="59">
        <v>141</v>
      </c>
      <c r="F133" s="59">
        <v>103</v>
      </c>
      <c r="G133" s="59">
        <v>34</v>
      </c>
      <c r="H133" s="59">
        <v>36.89</v>
      </c>
      <c r="I133" s="59">
        <v>0.33</v>
      </c>
      <c r="J133" s="59">
        <v>0.17</v>
      </c>
      <c r="K133" s="59">
        <v>0.23</v>
      </c>
      <c r="L133" s="59">
        <v>0.11</v>
      </c>
    </row>
    <row r="134" spans="1:12">
      <c r="A134" s="59">
        <v>127</v>
      </c>
      <c r="B134" s="59" t="s">
        <v>106</v>
      </c>
      <c r="C134" s="59">
        <v>28</v>
      </c>
      <c r="D134" s="59">
        <v>40</v>
      </c>
      <c r="E134" s="59">
        <v>131</v>
      </c>
      <c r="F134" s="59">
        <v>228</v>
      </c>
      <c r="G134" s="59">
        <v>-30</v>
      </c>
      <c r="H134" s="59">
        <v>-42.54</v>
      </c>
      <c r="I134" s="59">
        <v>0.14000000000000001</v>
      </c>
      <c r="J134" s="59">
        <v>0.16</v>
      </c>
      <c r="K134" s="59">
        <v>0.18</v>
      </c>
      <c r="L134" s="59">
        <v>0.25</v>
      </c>
    </row>
    <row r="135" spans="1:12">
      <c r="A135" s="59">
        <v>128</v>
      </c>
      <c r="B135" s="59" t="s">
        <v>180</v>
      </c>
      <c r="C135" s="59">
        <v>51</v>
      </c>
      <c r="D135" s="59">
        <v>3</v>
      </c>
      <c r="E135" s="59">
        <v>128</v>
      </c>
      <c r="F135" s="59">
        <v>34</v>
      </c>
      <c r="G135" s="59">
        <v>1600</v>
      </c>
      <c r="H135" s="59">
        <v>276.47000000000003</v>
      </c>
      <c r="I135" s="59">
        <v>0.25</v>
      </c>
      <c r="J135" s="59">
        <v>0.15</v>
      </c>
      <c r="K135" s="59">
        <v>0.01</v>
      </c>
      <c r="L135" s="59">
        <v>0.04</v>
      </c>
    </row>
    <row r="136" spans="1:12">
      <c r="A136" s="59">
        <v>129</v>
      </c>
      <c r="B136" s="59" t="s">
        <v>104</v>
      </c>
      <c r="C136" s="59">
        <v>28</v>
      </c>
      <c r="D136" s="59">
        <v>29</v>
      </c>
      <c r="E136" s="59">
        <v>124</v>
      </c>
      <c r="F136" s="59">
        <v>83</v>
      </c>
      <c r="G136" s="59">
        <v>-3.45</v>
      </c>
      <c r="H136" s="59">
        <v>49.4</v>
      </c>
      <c r="I136" s="59">
        <v>0.14000000000000001</v>
      </c>
      <c r="J136" s="59">
        <v>0.15</v>
      </c>
      <c r="K136" s="59">
        <v>0.13</v>
      </c>
      <c r="L136" s="59">
        <v>0.09</v>
      </c>
    </row>
    <row r="137" spans="1:12">
      <c r="A137" s="59">
        <v>130</v>
      </c>
      <c r="B137" s="59" t="s">
        <v>188</v>
      </c>
      <c r="C137" s="59">
        <v>35</v>
      </c>
      <c r="D137" s="59">
        <v>59</v>
      </c>
      <c r="E137" s="59">
        <v>123</v>
      </c>
      <c r="F137" s="59">
        <v>149</v>
      </c>
      <c r="G137" s="59">
        <v>-40.68</v>
      </c>
      <c r="H137" s="59">
        <v>-17.45</v>
      </c>
      <c r="I137" s="59">
        <v>0.17</v>
      </c>
      <c r="J137" s="59">
        <v>0.15</v>
      </c>
      <c r="K137" s="59">
        <v>0.27</v>
      </c>
      <c r="L137" s="59">
        <v>0.16</v>
      </c>
    </row>
    <row r="138" spans="1:12">
      <c r="A138" s="59">
        <v>131</v>
      </c>
      <c r="B138" s="59" t="s">
        <v>179</v>
      </c>
      <c r="C138" s="59">
        <v>27</v>
      </c>
      <c r="D138" s="59">
        <v>8</v>
      </c>
      <c r="E138" s="59">
        <v>118</v>
      </c>
      <c r="F138" s="59">
        <v>26</v>
      </c>
      <c r="G138" s="59">
        <v>237.5</v>
      </c>
      <c r="H138" s="59">
        <v>353.85</v>
      </c>
      <c r="I138" s="59">
        <v>0.13</v>
      </c>
      <c r="J138" s="59">
        <v>0.14000000000000001</v>
      </c>
      <c r="K138" s="59">
        <v>0.04</v>
      </c>
      <c r="L138" s="59">
        <v>0.03</v>
      </c>
    </row>
    <row r="139" spans="1:12">
      <c r="A139" s="59">
        <v>132</v>
      </c>
      <c r="B139" s="59" t="s">
        <v>190</v>
      </c>
      <c r="C139" s="59">
        <v>35</v>
      </c>
      <c r="D139" s="59">
        <v>17</v>
      </c>
      <c r="E139" s="59">
        <v>115</v>
      </c>
      <c r="F139" s="59">
        <v>62</v>
      </c>
      <c r="G139" s="59">
        <v>105.88</v>
      </c>
      <c r="H139" s="59">
        <v>85.48</v>
      </c>
      <c r="I139" s="59">
        <v>0.17</v>
      </c>
      <c r="J139" s="59">
        <v>0.14000000000000001</v>
      </c>
      <c r="K139" s="59">
        <v>0.08</v>
      </c>
      <c r="L139" s="59">
        <v>7.0000000000000007E-2</v>
      </c>
    </row>
    <row r="140" spans="1:12">
      <c r="A140" s="59">
        <v>133</v>
      </c>
      <c r="B140" s="59" t="s">
        <v>112</v>
      </c>
      <c r="C140" s="59">
        <v>38</v>
      </c>
      <c r="D140" s="59">
        <v>24</v>
      </c>
      <c r="E140" s="59">
        <v>110</v>
      </c>
      <c r="F140" s="59">
        <v>53</v>
      </c>
      <c r="G140" s="59">
        <v>58.33</v>
      </c>
      <c r="H140" s="59">
        <v>107.55</v>
      </c>
      <c r="I140" s="59">
        <v>0.18</v>
      </c>
      <c r="J140" s="59">
        <v>0.13</v>
      </c>
      <c r="K140" s="59">
        <v>0.11</v>
      </c>
      <c r="L140" s="59">
        <v>0.06</v>
      </c>
    </row>
    <row r="141" spans="1:12">
      <c r="A141" s="59">
        <v>134</v>
      </c>
      <c r="B141" s="59" t="s">
        <v>1095</v>
      </c>
      <c r="C141" s="59">
        <v>62</v>
      </c>
      <c r="D141" s="59">
        <v>0</v>
      </c>
      <c r="E141" s="59">
        <v>109</v>
      </c>
      <c r="F141" s="59">
        <v>0</v>
      </c>
      <c r="G141" s="59">
        <v>0</v>
      </c>
      <c r="H141" s="59">
        <v>0</v>
      </c>
      <c r="I141" s="59">
        <v>0.3</v>
      </c>
      <c r="J141" s="59">
        <v>0.13</v>
      </c>
      <c r="K141" s="59">
        <v>0</v>
      </c>
      <c r="L141" s="59">
        <v>0</v>
      </c>
    </row>
    <row r="142" spans="1:12">
      <c r="A142" s="59">
        <v>135</v>
      </c>
      <c r="B142" s="59" t="s">
        <v>123</v>
      </c>
      <c r="C142" s="59">
        <v>14</v>
      </c>
      <c r="D142" s="59">
        <v>29</v>
      </c>
      <c r="E142" s="59">
        <v>108</v>
      </c>
      <c r="F142" s="59">
        <v>166</v>
      </c>
      <c r="G142" s="59">
        <v>-51.72</v>
      </c>
      <c r="H142" s="59">
        <v>-34.94</v>
      </c>
      <c r="I142" s="59">
        <v>7.0000000000000007E-2</v>
      </c>
      <c r="J142" s="59">
        <v>0.13</v>
      </c>
      <c r="K142" s="59">
        <v>0.13</v>
      </c>
      <c r="L142" s="59">
        <v>0.18</v>
      </c>
    </row>
    <row r="143" spans="1:12">
      <c r="A143" s="59">
        <v>136</v>
      </c>
      <c r="B143" s="59" t="s">
        <v>632</v>
      </c>
      <c r="C143" s="59">
        <v>45</v>
      </c>
      <c r="D143" s="59">
        <v>41</v>
      </c>
      <c r="E143" s="59">
        <v>105</v>
      </c>
      <c r="F143" s="59">
        <v>84</v>
      </c>
      <c r="G143" s="59">
        <v>9.76</v>
      </c>
      <c r="H143" s="59">
        <v>25</v>
      </c>
      <c r="I143" s="59">
        <v>0.22</v>
      </c>
      <c r="J143" s="59">
        <v>0.13</v>
      </c>
      <c r="K143" s="59">
        <v>0.19</v>
      </c>
      <c r="L143" s="59">
        <v>0.09</v>
      </c>
    </row>
    <row r="144" spans="1:12">
      <c r="A144" s="59">
        <v>137</v>
      </c>
      <c r="B144" s="59" t="s">
        <v>170</v>
      </c>
      <c r="C144" s="59">
        <v>43</v>
      </c>
      <c r="D144" s="59">
        <v>46</v>
      </c>
      <c r="E144" s="59">
        <v>104</v>
      </c>
      <c r="F144" s="59">
        <v>163</v>
      </c>
      <c r="G144" s="59">
        <v>-6.52</v>
      </c>
      <c r="H144" s="59">
        <v>-36.200000000000003</v>
      </c>
      <c r="I144" s="59">
        <v>0.21</v>
      </c>
      <c r="J144" s="59">
        <v>0.12</v>
      </c>
      <c r="K144" s="59">
        <v>0.21</v>
      </c>
      <c r="L144" s="59">
        <v>0.18</v>
      </c>
    </row>
    <row r="145" spans="1:12">
      <c r="A145" s="59">
        <v>138</v>
      </c>
      <c r="B145" s="59" t="s">
        <v>166</v>
      </c>
      <c r="C145" s="59">
        <v>5</v>
      </c>
      <c r="D145" s="59">
        <v>0</v>
      </c>
      <c r="E145" s="59">
        <v>104</v>
      </c>
      <c r="F145" s="59">
        <v>1</v>
      </c>
      <c r="G145" s="59">
        <v>0</v>
      </c>
      <c r="H145" s="59">
        <v>10300</v>
      </c>
      <c r="I145" s="59">
        <v>0.02</v>
      </c>
      <c r="J145" s="59">
        <v>0.12</v>
      </c>
      <c r="K145" s="59">
        <v>0</v>
      </c>
      <c r="L145" s="59">
        <v>0</v>
      </c>
    </row>
    <row r="146" spans="1:12">
      <c r="A146" s="59">
        <v>139</v>
      </c>
      <c r="B146" s="59" t="s">
        <v>177</v>
      </c>
      <c r="C146" s="59">
        <v>21</v>
      </c>
      <c r="D146" s="59">
        <v>27</v>
      </c>
      <c r="E146" s="59">
        <v>103</v>
      </c>
      <c r="F146" s="59">
        <v>131</v>
      </c>
      <c r="G146" s="59">
        <v>-22.22</v>
      </c>
      <c r="H146" s="59">
        <v>-21.37</v>
      </c>
      <c r="I146" s="59">
        <v>0.1</v>
      </c>
      <c r="J146" s="59">
        <v>0.12</v>
      </c>
      <c r="K146" s="59">
        <v>0.12</v>
      </c>
      <c r="L146" s="59">
        <v>0.14000000000000001</v>
      </c>
    </row>
    <row r="147" spans="1:12">
      <c r="A147" s="59">
        <v>140</v>
      </c>
      <c r="B147" s="59" t="s">
        <v>1058</v>
      </c>
      <c r="C147" s="59">
        <v>33</v>
      </c>
      <c r="D147" s="59">
        <v>0</v>
      </c>
      <c r="E147" s="59">
        <v>100</v>
      </c>
      <c r="F147" s="59">
        <v>0</v>
      </c>
      <c r="G147" s="59">
        <v>0</v>
      </c>
      <c r="H147" s="59">
        <v>0</v>
      </c>
      <c r="I147" s="59">
        <v>0.16</v>
      </c>
      <c r="J147" s="59">
        <v>0.12</v>
      </c>
      <c r="K147" s="59">
        <v>0</v>
      </c>
      <c r="L147" s="59">
        <v>0</v>
      </c>
    </row>
    <row r="148" spans="1:12">
      <c r="A148" s="59">
        <v>141</v>
      </c>
      <c r="B148" s="59" t="s">
        <v>201</v>
      </c>
      <c r="C148" s="59">
        <v>32</v>
      </c>
      <c r="D148" s="59">
        <v>5</v>
      </c>
      <c r="E148" s="59">
        <v>98</v>
      </c>
      <c r="F148" s="59">
        <v>15</v>
      </c>
      <c r="G148" s="59">
        <v>540</v>
      </c>
      <c r="H148" s="59">
        <v>553.33000000000004</v>
      </c>
      <c r="I148" s="59">
        <v>0.16</v>
      </c>
      <c r="J148" s="59">
        <v>0.12</v>
      </c>
      <c r="K148" s="59">
        <v>0.02</v>
      </c>
      <c r="L148" s="59">
        <v>0.02</v>
      </c>
    </row>
    <row r="149" spans="1:12">
      <c r="A149" s="59">
        <v>142</v>
      </c>
      <c r="B149" s="59" t="s">
        <v>1071</v>
      </c>
      <c r="C149" s="59">
        <v>3</v>
      </c>
      <c r="D149" s="59">
        <v>0</v>
      </c>
      <c r="E149" s="59">
        <v>98</v>
      </c>
      <c r="F149" s="59">
        <v>0</v>
      </c>
      <c r="G149" s="59">
        <v>0</v>
      </c>
      <c r="H149" s="59">
        <v>0</v>
      </c>
      <c r="I149" s="59">
        <v>0.01</v>
      </c>
      <c r="J149" s="59">
        <v>0.12</v>
      </c>
      <c r="K149" s="59">
        <v>0</v>
      </c>
      <c r="L149" s="59">
        <v>0</v>
      </c>
    </row>
    <row r="150" spans="1:12">
      <c r="A150" s="59">
        <v>143</v>
      </c>
      <c r="B150" s="59" t="s">
        <v>122</v>
      </c>
      <c r="C150" s="59">
        <v>15</v>
      </c>
      <c r="D150" s="59">
        <v>45</v>
      </c>
      <c r="E150" s="59">
        <v>94</v>
      </c>
      <c r="F150" s="59">
        <v>224</v>
      </c>
      <c r="G150" s="59">
        <v>-66.67</v>
      </c>
      <c r="H150" s="59">
        <v>-58.04</v>
      </c>
      <c r="I150" s="59">
        <v>7.0000000000000007E-2</v>
      </c>
      <c r="J150" s="59">
        <v>0.11</v>
      </c>
      <c r="K150" s="59">
        <v>0.21</v>
      </c>
      <c r="L150" s="59">
        <v>0.24</v>
      </c>
    </row>
    <row r="151" spans="1:12">
      <c r="A151" s="59">
        <v>144</v>
      </c>
      <c r="B151" s="59" t="s">
        <v>620</v>
      </c>
      <c r="C151" s="59">
        <v>15</v>
      </c>
      <c r="D151" s="59">
        <v>128</v>
      </c>
      <c r="E151" s="59">
        <v>93</v>
      </c>
      <c r="F151" s="59">
        <v>549</v>
      </c>
      <c r="G151" s="59">
        <v>-88.28</v>
      </c>
      <c r="H151" s="59">
        <v>-83.06</v>
      </c>
      <c r="I151" s="59">
        <v>7.0000000000000007E-2</v>
      </c>
      <c r="J151" s="59">
        <v>0.11</v>
      </c>
      <c r="K151" s="59">
        <v>0.57999999999999996</v>
      </c>
      <c r="L151" s="59">
        <v>0.6</v>
      </c>
    </row>
    <row r="152" spans="1:12">
      <c r="A152" s="59">
        <v>145</v>
      </c>
      <c r="B152" s="59" t="s">
        <v>165</v>
      </c>
      <c r="C152" s="59">
        <v>25</v>
      </c>
      <c r="D152" s="59">
        <v>86</v>
      </c>
      <c r="E152" s="59">
        <v>93</v>
      </c>
      <c r="F152" s="59">
        <v>243</v>
      </c>
      <c r="G152" s="59">
        <v>-70.930000000000007</v>
      </c>
      <c r="H152" s="59">
        <v>-61.73</v>
      </c>
      <c r="I152" s="59">
        <v>0.12</v>
      </c>
      <c r="J152" s="59">
        <v>0.11</v>
      </c>
      <c r="K152" s="59">
        <v>0.39</v>
      </c>
      <c r="L152" s="59">
        <v>0.27</v>
      </c>
    </row>
    <row r="153" spans="1:12">
      <c r="A153" s="59">
        <v>146</v>
      </c>
      <c r="B153" s="59" t="s">
        <v>107</v>
      </c>
      <c r="C153" s="59">
        <v>12</v>
      </c>
      <c r="D153" s="59">
        <v>71</v>
      </c>
      <c r="E153" s="59">
        <v>91</v>
      </c>
      <c r="F153" s="59">
        <v>241</v>
      </c>
      <c r="G153" s="59">
        <v>-83.1</v>
      </c>
      <c r="H153" s="59">
        <v>-62.24</v>
      </c>
      <c r="I153" s="59">
        <v>0.06</v>
      </c>
      <c r="J153" s="59">
        <v>0.11</v>
      </c>
      <c r="K153" s="59">
        <v>0.32</v>
      </c>
      <c r="L153" s="59">
        <v>0.26</v>
      </c>
    </row>
    <row r="154" spans="1:12">
      <c r="A154" s="59">
        <v>147</v>
      </c>
      <c r="B154" s="59" t="s">
        <v>88</v>
      </c>
      <c r="C154" s="59">
        <v>21</v>
      </c>
      <c r="D154" s="59">
        <v>58</v>
      </c>
      <c r="E154" s="59">
        <v>90</v>
      </c>
      <c r="F154" s="59">
        <v>255</v>
      </c>
      <c r="G154" s="59">
        <v>-63.79</v>
      </c>
      <c r="H154" s="59">
        <v>-64.709999999999994</v>
      </c>
      <c r="I154" s="59">
        <v>0.1</v>
      </c>
      <c r="J154" s="59">
        <v>0.11</v>
      </c>
      <c r="K154" s="59">
        <v>0.26</v>
      </c>
      <c r="L154" s="59">
        <v>0.28000000000000003</v>
      </c>
    </row>
    <row r="155" spans="1:12">
      <c r="A155" s="59">
        <v>148</v>
      </c>
      <c r="B155" s="59" t="s">
        <v>128</v>
      </c>
      <c r="C155" s="59">
        <v>21</v>
      </c>
      <c r="D155" s="59">
        <v>14</v>
      </c>
      <c r="E155" s="59">
        <v>89</v>
      </c>
      <c r="F155" s="59">
        <v>63</v>
      </c>
      <c r="G155" s="59">
        <v>50</v>
      </c>
      <c r="H155" s="59">
        <v>41.27</v>
      </c>
      <c r="I155" s="59">
        <v>0.1</v>
      </c>
      <c r="J155" s="59">
        <v>0.11</v>
      </c>
      <c r="K155" s="59">
        <v>0.06</v>
      </c>
      <c r="L155" s="59">
        <v>7.0000000000000007E-2</v>
      </c>
    </row>
    <row r="156" spans="1:12">
      <c r="A156" s="59">
        <v>149</v>
      </c>
      <c r="B156" s="59" t="s">
        <v>506</v>
      </c>
      <c r="C156" s="59">
        <v>25</v>
      </c>
      <c r="D156" s="59">
        <v>16</v>
      </c>
      <c r="E156" s="59">
        <v>87</v>
      </c>
      <c r="F156" s="59">
        <v>96</v>
      </c>
      <c r="G156" s="59">
        <v>56.25</v>
      </c>
      <c r="H156" s="59">
        <v>-9.3800000000000008</v>
      </c>
      <c r="I156" s="59">
        <v>0.12</v>
      </c>
      <c r="J156" s="59">
        <v>0.1</v>
      </c>
      <c r="K156" s="59">
        <v>7.0000000000000007E-2</v>
      </c>
      <c r="L156" s="59">
        <v>0.1</v>
      </c>
    </row>
    <row r="157" spans="1:12">
      <c r="A157" s="59">
        <v>150</v>
      </c>
      <c r="B157" s="59" t="s">
        <v>181</v>
      </c>
      <c r="C157" s="59">
        <v>23</v>
      </c>
      <c r="D157" s="59">
        <v>17</v>
      </c>
      <c r="E157" s="59">
        <v>86</v>
      </c>
      <c r="F157" s="59">
        <v>65</v>
      </c>
      <c r="G157" s="59">
        <v>35.29</v>
      </c>
      <c r="H157" s="59">
        <v>32.31</v>
      </c>
      <c r="I157" s="59">
        <v>0.11</v>
      </c>
      <c r="J157" s="59">
        <v>0.1</v>
      </c>
      <c r="K157" s="59">
        <v>0.08</v>
      </c>
      <c r="L157" s="59">
        <v>7.0000000000000007E-2</v>
      </c>
    </row>
    <row r="158" spans="1:12">
      <c r="A158" s="59">
        <v>151</v>
      </c>
      <c r="B158" s="59" t="s">
        <v>175</v>
      </c>
      <c r="C158" s="59">
        <v>20</v>
      </c>
      <c r="D158" s="59">
        <v>28</v>
      </c>
      <c r="E158" s="59">
        <v>84</v>
      </c>
      <c r="F158" s="59">
        <v>68</v>
      </c>
      <c r="G158" s="59">
        <v>-28.57</v>
      </c>
      <c r="H158" s="59">
        <v>23.53</v>
      </c>
      <c r="I158" s="59">
        <v>0.1</v>
      </c>
      <c r="J158" s="59">
        <v>0.1</v>
      </c>
      <c r="K158" s="59">
        <v>0.13</v>
      </c>
      <c r="L158" s="59">
        <v>7.0000000000000007E-2</v>
      </c>
    </row>
    <row r="159" spans="1:12">
      <c r="A159" s="59">
        <v>152</v>
      </c>
      <c r="B159" s="59" t="s">
        <v>98</v>
      </c>
      <c r="C159" s="59">
        <v>7</v>
      </c>
      <c r="D159" s="59">
        <v>11</v>
      </c>
      <c r="E159" s="59">
        <v>83</v>
      </c>
      <c r="F159" s="59">
        <v>58</v>
      </c>
      <c r="G159" s="59">
        <v>-36.36</v>
      </c>
      <c r="H159" s="59">
        <v>43.1</v>
      </c>
      <c r="I159" s="59">
        <v>0.03</v>
      </c>
      <c r="J159" s="59">
        <v>0.1</v>
      </c>
      <c r="K159" s="59">
        <v>0.05</v>
      </c>
      <c r="L159" s="59">
        <v>0.06</v>
      </c>
    </row>
    <row r="160" spans="1:12">
      <c r="A160" s="59">
        <v>153</v>
      </c>
      <c r="B160" s="59" t="s">
        <v>132</v>
      </c>
      <c r="C160" s="59">
        <v>5</v>
      </c>
      <c r="D160" s="59">
        <v>15</v>
      </c>
      <c r="E160" s="59">
        <v>83</v>
      </c>
      <c r="F160" s="59">
        <v>49</v>
      </c>
      <c r="G160" s="59">
        <v>-66.67</v>
      </c>
      <c r="H160" s="59">
        <v>69.39</v>
      </c>
      <c r="I160" s="59">
        <v>0.02</v>
      </c>
      <c r="J160" s="59">
        <v>0.1</v>
      </c>
      <c r="K160" s="59">
        <v>7.0000000000000007E-2</v>
      </c>
      <c r="L160" s="59">
        <v>0.05</v>
      </c>
    </row>
    <row r="161" spans="1:12">
      <c r="A161" s="59">
        <v>154</v>
      </c>
      <c r="B161" s="59" t="s">
        <v>1040</v>
      </c>
      <c r="C161" s="59">
        <v>19</v>
      </c>
      <c r="D161" s="59">
        <v>0</v>
      </c>
      <c r="E161" s="59">
        <v>83</v>
      </c>
      <c r="F161" s="59">
        <v>0</v>
      </c>
      <c r="G161" s="59">
        <v>0</v>
      </c>
      <c r="H161" s="59">
        <v>0</v>
      </c>
      <c r="I161" s="59">
        <v>0.09</v>
      </c>
      <c r="J161" s="59">
        <v>0.1</v>
      </c>
      <c r="K161" s="59">
        <v>0</v>
      </c>
      <c r="L161" s="59">
        <v>0</v>
      </c>
    </row>
    <row r="162" spans="1:12">
      <c r="A162" s="59">
        <v>155</v>
      </c>
      <c r="B162" s="59" t="s">
        <v>157</v>
      </c>
      <c r="C162" s="59">
        <v>7</v>
      </c>
      <c r="D162" s="59">
        <v>17</v>
      </c>
      <c r="E162" s="59">
        <v>82</v>
      </c>
      <c r="F162" s="59">
        <v>121</v>
      </c>
      <c r="G162" s="59">
        <v>-58.82</v>
      </c>
      <c r="H162" s="59">
        <v>-32.229999999999997</v>
      </c>
      <c r="I162" s="59">
        <v>0.03</v>
      </c>
      <c r="J162" s="59">
        <v>0.1</v>
      </c>
      <c r="K162" s="59">
        <v>0.08</v>
      </c>
      <c r="L162" s="59">
        <v>0.13</v>
      </c>
    </row>
    <row r="163" spans="1:12">
      <c r="A163" s="59">
        <v>156</v>
      </c>
      <c r="B163" s="59" t="s">
        <v>636</v>
      </c>
      <c r="C163" s="59">
        <v>28</v>
      </c>
      <c r="D163" s="59">
        <v>29</v>
      </c>
      <c r="E163" s="59">
        <v>81</v>
      </c>
      <c r="F163" s="59">
        <v>94</v>
      </c>
      <c r="G163" s="59">
        <v>-3.45</v>
      </c>
      <c r="H163" s="59">
        <v>-13.83</v>
      </c>
      <c r="I163" s="59">
        <v>0.14000000000000001</v>
      </c>
      <c r="J163" s="59">
        <v>0.1</v>
      </c>
      <c r="K163" s="59">
        <v>0.13</v>
      </c>
      <c r="L163" s="59">
        <v>0.1</v>
      </c>
    </row>
    <row r="164" spans="1:12">
      <c r="A164" s="59">
        <v>157</v>
      </c>
      <c r="B164" s="59" t="s">
        <v>109</v>
      </c>
      <c r="C164" s="59">
        <v>45</v>
      </c>
      <c r="D164" s="59">
        <v>38</v>
      </c>
      <c r="E164" s="59">
        <v>80</v>
      </c>
      <c r="F164" s="59">
        <v>136</v>
      </c>
      <c r="G164" s="59">
        <v>18.420000000000002</v>
      </c>
      <c r="H164" s="59">
        <v>-41.18</v>
      </c>
      <c r="I164" s="59">
        <v>0.22</v>
      </c>
      <c r="J164" s="59">
        <v>0.1</v>
      </c>
      <c r="K164" s="59">
        <v>0.17</v>
      </c>
      <c r="L164" s="59">
        <v>0.15</v>
      </c>
    </row>
    <row r="165" spans="1:12">
      <c r="A165" s="59">
        <v>158</v>
      </c>
      <c r="B165" s="59" t="s">
        <v>137</v>
      </c>
      <c r="C165" s="59">
        <v>19</v>
      </c>
      <c r="D165" s="59">
        <v>33</v>
      </c>
      <c r="E165" s="59">
        <v>80</v>
      </c>
      <c r="F165" s="59">
        <v>119</v>
      </c>
      <c r="G165" s="59">
        <v>-42.42</v>
      </c>
      <c r="H165" s="59">
        <v>-32.770000000000003</v>
      </c>
      <c r="I165" s="59">
        <v>0.09</v>
      </c>
      <c r="J165" s="59">
        <v>0.1</v>
      </c>
      <c r="K165" s="59">
        <v>0.15</v>
      </c>
      <c r="L165" s="59">
        <v>0.13</v>
      </c>
    </row>
    <row r="166" spans="1:12">
      <c r="A166" s="59">
        <v>159</v>
      </c>
      <c r="B166" s="59" t="s">
        <v>162</v>
      </c>
      <c r="C166" s="59">
        <v>20</v>
      </c>
      <c r="D166" s="59">
        <v>23</v>
      </c>
      <c r="E166" s="59">
        <v>78</v>
      </c>
      <c r="F166" s="59">
        <v>101</v>
      </c>
      <c r="G166" s="59">
        <v>-13.04</v>
      </c>
      <c r="H166" s="59">
        <v>-22.77</v>
      </c>
      <c r="I166" s="59">
        <v>0.1</v>
      </c>
      <c r="J166" s="59">
        <v>0.09</v>
      </c>
      <c r="K166" s="59">
        <v>0.1</v>
      </c>
      <c r="L166" s="59">
        <v>0.11</v>
      </c>
    </row>
    <row r="167" spans="1:12">
      <c r="A167" s="59">
        <v>160</v>
      </c>
      <c r="B167" s="59" t="s">
        <v>664</v>
      </c>
      <c r="C167" s="59">
        <v>14</v>
      </c>
      <c r="D167" s="59">
        <v>7</v>
      </c>
      <c r="E167" s="59">
        <v>78</v>
      </c>
      <c r="F167" s="59">
        <v>16</v>
      </c>
      <c r="G167" s="59">
        <v>100</v>
      </c>
      <c r="H167" s="59">
        <v>387.5</v>
      </c>
      <c r="I167" s="59">
        <v>7.0000000000000007E-2</v>
      </c>
      <c r="J167" s="59">
        <v>0.09</v>
      </c>
      <c r="K167" s="59">
        <v>0.03</v>
      </c>
      <c r="L167" s="59">
        <v>0.02</v>
      </c>
    </row>
    <row r="168" spans="1:12">
      <c r="A168" s="59">
        <v>161</v>
      </c>
      <c r="B168" s="59" t="s">
        <v>154</v>
      </c>
      <c r="C168" s="59">
        <v>3</v>
      </c>
      <c r="D168" s="59">
        <v>0</v>
      </c>
      <c r="E168" s="59">
        <v>77</v>
      </c>
      <c r="F168" s="59">
        <v>15</v>
      </c>
      <c r="G168" s="59">
        <v>0</v>
      </c>
      <c r="H168" s="59">
        <v>413.33</v>
      </c>
      <c r="I168" s="59">
        <v>0.01</v>
      </c>
      <c r="J168" s="59">
        <v>0.09</v>
      </c>
      <c r="K168" s="59">
        <v>0</v>
      </c>
      <c r="L168" s="59">
        <v>0.02</v>
      </c>
    </row>
    <row r="169" spans="1:12">
      <c r="A169" s="59">
        <v>162</v>
      </c>
      <c r="B169" s="59" t="s">
        <v>390</v>
      </c>
      <c r="C169" s="59">
        <v>7</v>
      </c>
      <c r="D169" s="59">
        <v>20</v>
      </c>
      <c r="E169" s="59">
        <v>76</v>
      </c>
      <c r="F169" s="59">
        <v>193</v>
      </c>
      <c r="G169" s="59">
        <v>-65</v>
      </c>
      <c r="H169" s="59">
        <v>-60.62</v>
      </c>
      <c r="I169" s="59">
        <v>0.03</v>
      </c>
      <c r="J169" s="59">
        <v>0.09</v>
      </c>
      <c r="K169" s="59">
        <v>0.09</v>
      </c>
      <c r="L169" s="59">
        <v>0.21</v>
      </c>
    </row>
    <row r="170" spans="1:12">
      <c r="A170" s="59">
        <v>163</v>
      </c>
      <c r="B170" s="59" t="s">
        <v>140</v>
      </c>
      <c r="C170" s="59">
        <v>13</v>
      </c>
      <c r="D170" s="59">
        <v>27</v>
      </c>
      <c r="E170" s="59">
        <v>75</v>
      </c>
      <c r="F170" s="59">
        <v>87</v>
      </c>
      <c r="G170" s="59">
        <v>-51.85</v>
      </c>
      <c r="H170" s="59">
        <v>-13.79</v>
      </c>
      <c r="I170" s="59">
        <v>0.06</v>
      </c>
      <c r="J170" s="59">
        <v>0.09</v>
      </c>
      <c r="K170" s="59">
        <v>0.12</v>
      </c>
      <c r="L170" s="59">
        <v>0.09</v>
      </c>
    </row>
    <row r="171" spans="1:12">
      <c r="A171" s="59">
        <v>164</v>
      </c>
      <c r="B171" s="59" t="s">
        <v>655</v>
      </c>
      <c r="C171" s="59">
        <v>12</v>
      </c>
      <c r="D171" s="59">
        <v>17</v>
      </c>
      <c r="E171" s="59">
        <v>73</v>
      </c>
      <c r="F171" s="59">
        <v>65</v>
      </c>
      <c r="G171" s="59">
        <v>-29.41</v>
      </c>
      <c r="H171" s="59">
        <v>12.31</v>
      </c>
      <c r="I171" s="59">
        <v>0.06</v>
      </c>
      <c r="J171" s="59">
        <v>0.09</v>
      </c>
      <c r="K171" s="59">
        <v>0.08</v>
      </c>
      <c r="L171" s="59">
        <v>7.0000000000000007E-2</v>
      </c>
    </row>
    <row r="172" spans="1:12">
      <c r="A172" s="59">
        <v>165</v>
      </c>
      <c r="B172" s="59" t="s">
        <v>168</v>
      </c>
      <c r="C172" s="59">
        <v>21</v>
      </c>
      <c r="D172" s="59">
        <v>52</v>
      </c>
      <c r="E172" s="59">
        <v>70</v>
      </c>
      <c r="F172" s="59">
        <v>197</v>
      </c>
      <c r="G172" s="59">
        <v>-59.62</v>
      </c>
      <c r="H172" s="59">
        <v>-64.47</v>
      </c>
      <c r="I172" s="59">
        <v>0.1</v>
      </c>
      <c r="J172" s="59">
        <v>0.08</v>
      </c>
      <c r="K172" s="59">
        <v>0.24</v>
      </c>
      <c r="L172" s="59">
        <v>0.21</v>
      </c>
    </row>
    <row r="173" spans="1:12">
      <c r="A173" s="59">
        <v>166</v>
      </c>
      <c r="B173" s="59" t="s">
        <v>726</v>
      </c>
      <c r="C173" s="59">
        <v>4</v>
      </c>
      <c r="D173" s="59">
        <v>1</v>
      </c>
      <c r="E173" s="59">
        <v>70</v>
      </c>
      <c r="F173" s="59">
        <v>1</v>
      </c>
      <c r="G173" s="59">
        <v>300</v>
      </c>
      <c r="H173" s="59">
        <v>6900</v>
      </c>
      <c r="I173" s="59">
        <v>0.02</v>
      </c>
      <c r="J173" s="59">
        <v>0.08</v>
      </c>
      <c r="K173" s="59">
        <v>0</v>
      </c>
      <c r="L173" s="59">
        <v>0</v>
      </c>
    </row>
    <row r="174" spans="1:12">
      <c r="A174" s="59">
        <v>167</v>
      </c>
      <c r="B174" s="59" t="s">
        <v>234</v>
      </c>
      <c r="C174" s="59">
        <v>38</v>
      </c>
      <c r="D174" s="59">
        <v>7</v>
      </c>
      <c r="E174" s="59">
        <v>69</v>
      </c>
      <c r="F174" s="59">
        <v>18</v>
      </c>
      <c r="G174" s="59">
        <v>442.86</v>
      </c>
      <c r="H174" s="59">
        <v>283.33</v>
      </c>
      <c r="I174" s="59">
        <v>0.18</v>
      </c>
      <c r="J174" s="59">
        <v>0.08</v>
      </c>
      <c r="K174" s="59">
        <v>0.03</v>
      </c>
      <c r="L174" s="59">
        <v>0.02</v>
      </c>
    </row>
    <row r="175" spans="1:12">
      <c r="A175" s="59">
        <v>168</v>
      </c>
      <c r="B175" s="59" t="s">
        <v>151</v>
      </c>
      <c r="C175" s="59">
        <v>3</v>
      </c>
      <c r="D175" s="59">
        <v>27</v>
      </c>
      <c r="E175" s="59">
        <v>67</v>
      </c>
      <c r="F175" s="59">
        <v>84</v>
      </c>
      <c r="G175" s="59">
        <v>-88.89</v>
      </c>
      <c r="H175" s="59">
        <v>-20.239999999999998</v>
      </c>
      <c r="I175" s="59">
        <v>0.01</v>
      </c>
      <c r="J175" s="59">
        <v>0.08</v>
      </c>
      <c r="K175" s="59">
        <v>0.12</v>
      </c>
      <c r="L175" s="59">
        <v>0.09</v>
      </c>
    </row>
    <row r="176" spans="1:12">
      <c r="A176" s="59">
        <v>169</v>
      </c>
      <c r="B176" s="59" t="s">
        <v>414</v>
      </c>
      <c r="C176" s="59">
        <v>48</v>
      </c>
      <c r="D176" s="59">
        <v>11</v>
      </c>
      <c r="E176" s="59">
        <v>66</v>
      </c>
      <c r="F176" s="59">
        <v>57</v>
      </c>
      <c r="G176" s="59">
        <v>336.36</v>
      </c>
      <c r="H176" s="59">
        <v>15.79</v>
      </c>
      <c r="I176" s="59">
        <v>0.23</v>
      </c>
      <c r="J176" s="59">
        <v>0.08</v>
      </c>
      <c r="K176" s="59">
        <v>0.05</v>
      </c>
      <c r="L176" s="59">
        <v>0.06</v>
      </c>
    </row>
    <row r="177" spans="1:12">
      <c r="A177" s="59">
        <v>170</v>
      </c>
      <c r="B177" s="59" t="s">
        <v>1116</v>
      </c>
      <c r="C177" s="59">
        <v>34</v>
      </c>
      <c r="D177" s="59">
        <v>0</v>
      </c>
      <c r="E177" s="59">
        <v>65</v>
      </c>
      <c r="F177" s="59">
        <v>0</v>
      </c>
      <c r="G177" s="59">
        <v>0</v>
      </c>
      <c r="H177" s="59">
        <v>0</v>
      </c>
      <c r="I177" s="59">
        <v>0.17</v>
      </c>
      <c r="J177" s="59">
        <v>0.08</v>
      </c>
      <c r="K177" s="59">
        <v>0</v>
      </c>
      <c r="L177" s="59">
        <v>0</v>
      </c>
    </row>
    <row r="178" spans="1:12">
      <c r="A178" s="59">
        <v>171</v>
      </c>
      <c r="B178" s="59" t="s">
        <v>410</v>
      </c>
      <c r="C178" s="59">
        <v>9</v>
      </c>
      <c r="D178" s="59">
        <v>2</v>
      </c>
      <c r="E178" s="59">
        <v>63</v>
      </c>
      <c r="F178" s="59">
        <v>51</v>
      </c>
      <c r="G178" s="59">
        <v>350</v>
      </c>
      <c r="H178" s="59">
        <v>23.53</v>
      </c>
      <c r="I178" s="59">
        <v>0.04</v>
      </c>
      <c r="J178" s="59">
        <v>0.08</v>
      </c>
      <c r="K178" s="59">
        <v>0.01</v>
      </c>
      <c r="L178" s="59">
        <v>0.06</v>
      </c>
    </row>
    <row r="179" spans="1:12">
      <c r="A179" s="59">
        <v>172</v>
      </c>
      <c r="B179" s="59" t="s">
        <v>448</v>
      </c>
      <c r="C179" s="59">
        <v>11</v>
      </c>
      <c r="D179" s="59">
        <v>6</v>
      </c>
      <c r="E179" s="59">
        <v>62</v>
      </c>
      <c r="F179" s="59">
        <v>17</v>
      </c>
      <c r="G179" s="59">
        <v>83.33</v>
      </c>
      <c r="H179" s="59">
        <v>264.70999999999998</v>
      </c>
      <c r="I179" s="59">
        <v>0.05</v>
      </c>
      <c r="J179" s="59">
        <v>7.0000000000000007E-2</v>
      </c>
      <c r="K179" s="59">
        <v>0.03</v>
      </c>
      <c r="L179" s="59">
        <v>0.02</v>
      </c>
    </row>
    <row r="180" spans="1:12">
      <c r="A180" s="59">
        <v>173</v>
      </c>
      <c r="B180" s="59" t="s">
        <v>443</v>
      </c>
      <c r="C180" s="59">
        <v>8</v>
      </c>
      <c r="D180" s="59">
        <v>139</v>
      </c>
      <c r="E180" s="59">
        <v>61</v>
      </c>
      <c r="F180" s="59">
        <v>288</v>
      </c>
      <c r="G180" s="59">
        <v>-94.24</v>
      </c>
      <c r="H180" s="59">
        <v>-78.819999999999993</v>
      </c>
      <c r="I180" s="59">
        <v>0.04</v>
      </c>
      <c r="J180" s="59">
        <v>7.0000000000000007E-2</v>
      </c>
      <c r="K180" s="59">
        <v>0.63</v>
      </c>
      <c r="L180" s="59">
        <v>0.31</v>
      </c>
    </row>
    <row r="181" spans="1:12">
      <c r="A181" s="59">
        <v>174</v>
      </c>
      <c r="B181" s="59" t="s">
        <v>173</v>
      </c>
      <c r="C181" s="59">
        <v>0</v>
      </c>
      <c r="D181" s="59">
        <v>26</v>
      </c>
      <c r="E181" s="59">
        <v>58</v>
      </c>
      <c r="F181" s="59">
        <v>180</v>
      </c>
      <c r="G181" s="59">
        <v>-100</v>
      </c>
      <c r="H181" s="59">
        <v>-67.78</v>
      </c>
      <c r="I181" s="59">
        <v>0</v>
      </c>
      <c r="J181" s="59">
        <v>7.0000000000000007E-2</v>
      </c>
      <c r="K181" s="59">
        <v>0.12</v>
      </c>
      <c r="L181" s="59">
        <v>0.2</v>
      </c>
    </row>
    <row r="182" spans="1:12">
      <c r="A182" s="59">
        <v>175</v>
      </c>
      <c r="B182" s="59" t="s">
        <v>584</v>
      </c>
      <c r="C182" s="59">
        <v>32</v>
      </c>
      <c r="D182" s="59">
        <v>22</v>
      </c>
      <c r="E182" s="59">
        <v>58</v>
      </c>
      <c r="F182" s="59">
        <v>137</v>
      </c>
      <c r="G182" s="59">
        <v>45.45</v>
      </c>
      <c r="H182" s="59">
        <v>-57.66</v>
      </c>
      <c r="I182" s="59">
        <v>0.16</v>
      </c>
      <c r="J182" s="59">
        <v>7.0000000000000007E-2</v>
      </c>
      <c r="K182" s="59">
        <v>0.1</v>
      </c>
      <c r="L182" s="59">
        <v>0.15</v>
      </c>
    </row>
    <row r="183" spans="1:12">
      <c r="A183" s="59">
        <v>176</v>
      </c>
      <c r="B183" s="59" t="s">
        <v>75</v>
      </c>
      <c r="C183" s="59">
        <v>11</v>
      </c>
      <c r="D183" s="59">
        <v>60</v>
      </c>
      <c r="E183" s="59">
        <v>56</v>
      </c>
      <c r="F183" s="59">
        <v>305</v>
      </c>
      <c r="G183" s="59">
        <v>-81.67</v>
      </c>
      <c r="H183" s="59">
        <v>-81.64</v>
      </c>
      <c r="I183" s="59">
        <v>0.05</v>
      </c>
      <c r="J183" s="59">
        <v>7.0000000000000007E-2</v>
      </c>
      <c r="K183" s="59">
        <v>0.27</v>
      </c>
      <c r="L183" s="59">
        <v>0.33</v>
      </c>
    </row>
    <row r="184" spans="1:12">
      <c r="A184" s="59">
        <v>177</v>
      </c>
      <c r="B184" s="59" t="s">
        <v>220</v>
      </c>
      <c r="C184" s="59">
        <v>17</v>
      </c>
      <c r="D184" s="59">
        <v>24</v>
      </c>
      <c r="E184" s="59">
        <v>56</v>
      </c>
      <c r="F184" s="59">
        <v>59</v>
      </c>
      <c r="G184" s="59">
        <v>-29.17</v>
      </c>
      <c r="H184" s="59">
        <v>-5.08</v>
      </c>
      <c r="I184" s="59">
        <v>0.08</v>
      </c>
      <c r="J184" s="59">
        <v>7.0000000000000007E-2</v>
      </c>
      <c r="K184" s="59">
        <v>0.11</v>
      </c>
      <c r="L184" s="59">
        <v>0.06</v>
      </c>
    </row>
    <row r="185" spans="1:12">
      <c r="A185" s="59">
        <v>178</v>
      </c>
      <c r="B185" s="59" t="s">
        <v>203</v>
      </c>
      <c r="C185" s="59">
        <v>10</v>
      </c>
      <c r="D185" s="59">
        <v>10</v>
      </c>
      <c r="E185" s="59">
        <v>56</v>
      </c>
      <c r="F185" s="59">
        <v>28</v>
      </c>
      <c r="G185" s="59">
        <v>0</v>
      </c>
      <c r="H185" s="59">
        <v>100</v>
      </c>
      <c r="I185" s="59">
        <v>0.05</v>
      </c>
      <c r="J185" s="59">
        <v>7.0000000000000007E-2</v>
      </c>
      <c r="K185" s="59">
        <v>0.05</v>
      </c>
      <c r="L185" s="59">
        <v>0.03</v>
      </c>
    </row>
    <row r="186" spans="1:12">
      <c r="A186" s="59">
        <v>179</v>
      </c>
      <c r="B186" s="59" t="s">
        <v>149</v>
      </c>
      <c r="C186" s="59">
        <v>21</v>
      </c>
      <c r="D186" s="59">
        <v>0</v>
      </c>
      <c r="E186" s="59">
        <v>56</v>
      </c>
      <c r="F186" s="59">
        <v>0</v>
      </c>
      <c r="G186" s="59">
        <v>0</v>
      </c>
      <c r="H186" s="59">
        <v>0</v>
      </c>
      <c r="I186" s="59">
        <v>0.1</v>
      </c>
      <c r="J186" s="59">
        <v>7.0000000000000007E-2</v>
      </c>
      <c r="K186" s="59">
        <v>0</v>
      </c>
      <c r="L186" s="59">
        <v>0</v>
      </c>
    </row>
    <row r="187" spans="1:12">
      <c r="A187" s="59">
        <v>180</v>
      </c>
      <c r="B187" s="59" t="s">
        <v>1070</v>
      </c>
      <c r="C187" s="59">
        <v>16</v>
      </c>
      <c r="D187" s="59">
        <v>0</v>
      </c>
      <c r="E187" s="59">
        <v>56</v>
      </c>
      <c r="F187" s="59">
        <v>0</v>
      </c>
      <c r="G187" s="59">
        <v>0</v>
      </c>
      <c r="H187" s="59">
        <v>0</v>
      </c>
      <c r="I187" s="59">
        <v>0.08</v>
      </c>
      <c r="J187" s="59">
        <v>7.0000000000000007E-2</v>
      </c>
      <c r="K187" s="59">
        <v>0</v>
      </c>
      <c r="L187" s="59">
        <v>0</v>
      </c>
    </row>
    <row r="188" spans="1:12">
      <c r="A188" s="59">
        <v>181</v>
      </c>
      <c r="B188" s="59" t="s">
        <v>210</v>
      </c>
      <c r="C188" s="59">
        <v>10</v>
      </c>
      <c r="D188" s="59">
        <v>13</v>
      </c>
      <c r="E188" s="59">
        <v>54</v>
      </c>
      <c r="F188" s="59">
        <v>55</v>
      </c>
      <c r="G188" s="59">
        <v>-23.08</v>
      </c>
      <c r="H188" s="59">
        <v>-1.82</v>
      </c>
      <c r="I188" s="59">
        <v>0.05</v>
      </c>
      <c r="J188" s="59">
        <v>0.06</v>
      </c>
      <c r="K188" s="59">
        <v>0.06</v>
      </c>
      <c r="L188" s="59">
        <v>0.06</v>
      </c>
    </row>
    <row r="189" spans="1:12">
      <c r="A189" s="59">
        <v>182</v>
      </c>
      <c r="B189" s="59" t="s">
        <v>221</v>
      </c>
      <c r="C189" s="59">
        <v>16</v>
      </c>
      <c r="D189" s="59">
        <v>5</v>
      </c>
      <c r="E189" s="59">
        <v>54</v>
      </c>
      <c r="F189" s="59">
        <v>26</v>
      </c>
      <c r="G189" s="59">
        <v>220</v>
      </c>
      <c r="H189" s="59">
        <v>107.69</v>
      </c>
      <c r="I189" s="59">
        <v>0.08</v>
      </c>
      <c r="J189" s="59">
        <v>0.06</v>
      </c>
      <c r="K189" s="59">
        <v>0.02</v>
      </c>
      <c r="L189" s="59">
        <v>0.03</v>
      </c>
    </row>
    <row r="190" spans="1:12">
      <c r="A190" s="59">
        <v>183</v>
      </c>
      <c r="B190" s="59" t="s">
        <v>199</v>
      </c>
      <c r="C190" s="59">
        <v>49</v>
      </c>
      <c r="D190" s="59">
        <v>3</v>
      </c>
      <c r="E190" s="59">
        <v>50</v>
      </c>
      <c r="F190" s="59">
        <v>16</v>
      </c>
      <c r="G190" s="59">
        <v>1533.33</v>
      </c>
      <c r="H190" s="59">
        <v>212.5</v>
      </c>
      <c r="I190" s="59">
        <v>0.24</v>
      </c>
      <c r="J190" s="59">
        <v>0.06</v>
      </c>
      <c r="K190" s="59">
        <v>0.01</v>
      </c>
      <c r="L190" s="59">
        <v>0.02</v>
      </c>
    </row>
    <row r="191" spans="1:12">
      <c r="A191" s="59">
        <v>184</v>
      </c>
      <c r="B191" s="59" t="s">
        <v>737</v>
      </c>
      <c r="C191" s="59">
        <v>10</v>
      </c>
      <c r="D191" s="59">
        <v>0</v>
      </c>
      <c r="E191" s="59">
        <v>49</v>
      </c>
      <c r="F191" s="59">
        <v>0</v>
      </c>
      <c r="G191" s="59">
        <v>0</v>
      </c>
      <c r="H191" s="59">
        <v>0</v>
      </c>
      <c r="I191" s="59">
        <v>0.05</v>
      </c>
      <c r="J191" s="59">
        <v>0.06</v>
      </c>
      <c r="K191" s="59">
        <v>0</v>
      </c>
      <c r="L191" s="59">
        <v>0</v>
      </c>
    </row>
    <row r="192" spans="1:12">
      <c r="A192" s="59">
        <v>185</v>
      </c>
      <c r="B192" s="59" t="s">
        <v>694</v>
      </c>
      <c r="C192" s="59">
        <v>12</v>
      </c>
      <c r="D192" s="59">
        <v>0</v>
      </c>
      <c r="E192" s="59">
        <v>48</v>
      </c>
      <c r="F192" s="59">
        <v>1</v>
      </c>
      <c r="G192" s="59">
        <v>0</v>
      </c>
      <c r="H192" s="59">
        <v>4700</v>
      </c>
      <c r="I192" s="59">
        <v>0.06</v>
      </c>
      <c r="J192" s="59">
        <v>0.06</v>
      </c>
      <c r="K192" s="59">
        <v>0</v>
      </c>
      <c r="L192" s="59">
        <v>0</v>
      </c>
    </row>
    <row r="193" spans="1:12">
      <c r="A193" s="59">
        <v>186</v>
      </c>
      <c r="B193" s="59" t="s">
        <v>663</v>
      </c>
      <c r="C193" s="59">
        <v>7</v>
      </c>
      <c r="D193" s="59">
        <v>133</v>
      </c>
      <c r="E193" s="59">
        <v>45</v>
      </c>
      <c r="F193" s="59">
        <v>237</v>
      </c>
      <c r="G193" s="59">
        <v>-94.74</v>
      </c>
      <c r="H193" s="59">
        <v>-81.010000000000005</v>
      </c>
      <c r="I193" s="59">
        <v>0.03</v>
      </c>
      <c r="J193" s="59">
        <v>0.05</v>
      </c>
      <c r="K193" s="59">
        <v>0.61</v>
      </c>
      <c r="L193" s="59">
        <v>0.26</v>
      </c>
    </row>
    <row r="194" spans="1:12">
      <c r="A194" s="59">
        <v>187</v>
      </c>
      <c r="B194" s="59" t="s">
        <v>198</v>
      </c>
      <c r="C194" s="59">
        <v>9</v>
      </c>
      <c r="D194" s="59">
        <v>24</v>
      </c>
      <c r="E194" s="59">
        <v>43</v>
      </c>
      <c r="F194" s="59">
        <v>52</v>
      </c>
      <c r="G194" s="59">
        <v>-62.5</v>
      </c>
      <c r="H194" s="59">
        <v>-17.309999999999999</v>
      </c>
      <c r="I194" s="59">
        <v>0.04</v>
      </c>
      <c r="J194" s="59">
        <v>0.05</v>
      </c>
      <c r="K194" s="59">
        <v>0.11</v>
      </c>
      <c r="L194" s="59">
        <v>0.06</v>
      </c>
    </row>
    <row r="195" spans="1:12">
      <c r="A195" s="59">
        <v>188</v>
      </c>
      <c r="B195" s="59" t="s">
        <v>120</v>
      </c>
      <c r="C195" s="59">
        <v>22</v>
      </c>
      <c r="D195" s="59">
        <v>1</v>
      </c>
      <c r="E195" s="59">
        <v>43</v>
      </c>
      <c r="F195" s="59">
        <v>42</v>
      </c>
      <c r="G195" s="59">
        <v>2100</v>
      </c>
      <c r="H195" s="59">
        <v>2.38</v>
      </c>
      <c r="I195" s="59">
        <v>0.11</v>
      </c>
      <c r="J195" s="59">
        <v>0.05</v>
      </c>
      <c r="K195" s="59">
        <v>0</v>
      </c>
      <c r="L195" s="59">
        <v>0.05</v>
      </c>
    </row>
    <row r="196" spans="1:12">
      <c r="A196" s="59">
        <v>189</v>
      </c>
      <c r="B196" s="59" t="s">
        <v>1059</v>
      </c>
      <c r="C196" s="59">
        <v>8</v>
      </c>
      <c r="D196" s="59">
        <v>0</v>
      </c>
      <c r="E196" s="59">
        <v>42</v>
      </c>
      <c r="F196" s="59">
        <v>0</v>
      </c>
      <c r="G196" s="59">
        <v>0</v>
      </c>
      <c r="H196" s="59">
        <v>0</v>
      </c>
      <c r="I196" s="59">
        <v>0.04</v>
      </c>
      <c r="J196" s="59">
        <v>0.05</v>
      </c>
      <c r="K196" s="59">
        <v>0</v>
      </c>
      <c r="L196" s="59">
        <v>0</v>
      </c>
    </row>
    <row r="197" spans="1:12">
      <c r="A197" s="59">
        <v>190</v>
      </c>
      <c r="B197" s="59" t="s">
        <v>209</v>
      </c>
      <c r="C197" s="59">
        <v>14</v>
      </c>
      <c r="D197" s="59">
        <v>10</v>
      </c>
      <c r="E197" s="59">
        <v>41</v>
      </c>
      <c r="F197" s="59">
        <v>20</v>
      </c>
      <c r="G197" s="59">
        <v>40</v>
      </c>
      <c r="H197" s="59">
        <v>105</v>
      </c>
      <c r="I197" s="59">
        <v>7.0000000000000007E-2</v>
      </c>
      <c r="J197" s="59">
        <v>0.05</v>
      </c>
      <c r="K197" s="59">
        <v>0.05</v>
      </c>
      <c r="L197" s="59">
        <v>0.02</v>
      </c>
    </row>
    <row r="198" spans="1:12">
      <c r="A198" s="59">
        <v>191</v>
      </c>
      <c r="B198" s="59" t="s">
        <v>1068</v>
      </c>
      <c r="C198" s="59">
        <v>8</v>
      </c>
      <c r="D198" s="59">
        <v>0</v>
      </c>
      <c r="E198" s="59">
        <v>41</v>
      </c>
      <c r="F198" s="59">
        <v>0</v>
      </c>
      <c r="G198" s="59">
        <v>0</v>
      </c>
      <c r="H198" s="59">
        <v>0</v>
      </c>
      <c r="I198" s="59">
        <v>0.04</v>
      </c>
      <c r="J198" s="59">
        <v>0.05</v>
      </c>
      <c r="K198" s="59">
        <v>0</v>
      </c>
      <c r="L198" s="59">
        <v>0</v>
      </c>
    </row>
    <row r="199" spans="1:12">
      <c r="A199" s="59">
        <v>192</v>
      </c>
      <c r="B199" s="59" t="s">
        <v>1170</v>
      </c>
      <c r="C199" s="59">
        <v>40</v>
      </c>
      <c r="D199" s="59">
        <v>0</v>
      </c>
      <c r="E199" s="59">
        <v>41</v>
      </c>
      <c r="F199" s="59">
        <v>0</v>
      </c>
      <c r="G199" s="59">
        <v>0</v>
      </c>
      <c r="H199" s="59">
        <v>0</v>
      </c>
      <c r="I199" s="59">
        <v>0.19</v>
      </c>
      <c r="J199" s="59">
        <v>0.05</v>
      </c>
      <c r="K199" s="59">
        <v>0</v>
      </c>
      <c r="L199" s="59">
        <v>0</v>
      </c>
    </row>
    <row r="200" spans="1:12">
      <c r="A200" s="59">
        <v>193</v>
      </c>
      <c r="B200" s="59" t="s">
        <v>197</v>
      </c>
      <c r="C200" s="59">
        <v>9</v>
      </c>
      <c r="D200" s="59">
        <v>5</v>
      </c>
      <c r="E200" s="59">
        <v>40</v>
      </c>
      <c r="F200" s="59">
        <v>30</v>
      </c>
      <c r="G200" s="59">
        <v>80</v>
      </c>
      <c r="H200" s="59">
        <v>33.33</v>
      </c>
      <c r="I200" s="59">
        <v>0.04</v>
      </c>
      <c r="J200" s="59">
        <v>0.05</v>
      </c>
      <c r="K200" s="59">
        <v>0.02</v>
      </c>
      <c r="L200" s="59">
        <v>0.03</v>
      </c>
    </row>
    <row r="201" spans="1:12">
      <c r="A201" s="59">
        <v>194</v>
      </c>
      <c r="B201" s="59" t="s">
        <v>187</v>
      </c>
      <c r="C201" s="59">
        <v>6</v>
      </c>
      <c r="D201" s="59">
        <v>26</v>
      </c>
      <c r="E201" s="59">
        <v>37</v>
      </c>
      <c r="F201" s="59">
        <v>118</v>
      </c>
      <c r="G201" s="59">
        <v>-76.92</v>
      </c>
      <c r="H201" s="59">
        <v>-68.64</v>
      </c>
      <c r="I201" s="59">
        <v>0.03</v>
      </c>
      <c r="J201" s="59">
        <v>0.04</v>
      </c>
      <c r="K201" s="59">
        <v>0.12</v>
      </c>
      <c r="L201" s="59">
        <v>0.13</v>
      </c>
    </row>
    <row r="202" spans="1:12">
      <c r="A202" s="59">
        <v>195</v>
      </c>
      <c r="B202" s="59" t="s">
        <v>158</v>
      </c>
      <c r="C202" s="59">
        <v>10</v>
      </c>
      <c r="D202" s="59">
        <v>8</v>
      </c>
      <c r="E202" s="59">
        <v>35</v>
      </c>
      <c r="F202" s="59">
        <v>33</v>
      </c>
      <c r="G202" s="59">
        <v>25</v>
      </c>
      <c r="H202" s="59">
        <v>6.06</v>
      </c>
      <c r="I202" s="59">
        <v>0.05</v>
      </c>
      <c r="J202" s="59">
        <v>0.04</v>
      </c>
      <c r="K202" s="59">
        <v>0.04</v>
      </c>
      <c r="L202" s="59">
        <v>0.04</v>
      </c>
    </row>
    <row r="203" spans="1:12">
      <c r="A203" s="59">
        <v>196</v>
      </c>
      <c r="B203" s="59" t="s">
        <v>1069</v>
      </c>
      <c r="C203" s="59">
        <v>12</v>
      </c>
      <c r="D203" s="59">
        <v>0</v>
      </c>
      <c r="E203" s="59">
        <v>35</v>
      </c>
      <c r="F203" s="59">
        <v>0</v>
      </c>
      <c r="G203" s="59">
        <v>0</v>
      </c>
      <c r="H203" s="59">
        <v>0</v>
      </c>
      <c r="I203" s="59">
        <v>0.06</v>
      </c>
      <c r="J203" s="59">
        <v>0.04</v>
      </c>
      <c r="K203" s="59">
        <v>0</v>
      </c>
      <c r="L203" s="59">
        <v>0</v>
      </c>
    </row>
    <row r="204" spans="1:12">
      <c r="A204" s="59">
        <v>197</v>
      </c>
      <c r="B204" s="59" t="s">
        <v>226</v>
      </c>
      <c r="C204" s="59">
        <v>14</v>
      </c>
      <c r="D204" s="59">
        <v>13</v>
      </c>
      <c r="E204" s="59">
        <v>34</v>
      </c>
      <c r="F204" s="59">
        <v>18</v>
      </c>
      <c r="G204" s="59">
        <v>7.69</v>
      </c>
      <c r="H204" s="59">
        <v>88.89</v>
      </c>
      <c r="I204" s="59">
        <v>7.0000000000000007E-2</v>
      </c>
      <c r="J204" s="59">
        <v>0.04</v>
      </c>
      <c r="K204" s="59">
        <v>0.06</v>
      </c>
      <c r="L204" s="59">
        <v>0.02</v>
      </c>
    </row>
    <row r="205" spans="1:12">
      <c r="A205" s="59">
        <v>198</v>
      </c>
      <c r="B205" s="59" t="s">
        <v>185</v>
      </c>
      <c r="C205" s="59">
        <v>1</v>
      </c>
      <c r="D205" s="59">
        <v>0</v>
      </c>
      <c r="E205" s="59">
        <v>34</v>
      </c>
      <c r="F205" s="59">
        <v>18</v>
      </c>
      <c r="G205" s="59">
        <v>0</v>
      </c>
      <c r="H205" s="59">
        <v>88.89</v>
      </c>
      <c r="I205" s="59">
        <v>0</v>
      </c>
      <c r="J205" s="59">
        <v>0.04</v>
      </c>
      <c r="K205" s="59">
        <v>0</v>
      </c>
      <c r="L205" s="59">
        <v>0.02</v>
      </c>
    </row>
    <row r="206" spans="1:12">
      <c r="A206" s="59">
        <v>199</v>
      </c>
      <c r="B206" s="59" t="s">
        <v>725</v>
      </c>
      <c r="C206" s="59">
        <v>3</v>
      </c>
      <c r="D206" s="59">
        <v>4</v>
      </c>
      <c r="E206" s="59">
        <v>34</v>
      </c>
      <c r="F206" s="59">
        <v>4</v>
      </c>
      <c r="G206" s="59">
        <v>-25</v>
      </c>
      <c r="H206" s="59">
        <v>750</v>
      </c>
      <c r="I206" s="59">
        <v>0.01</v>
      </c>
      <c r="J206" s="59">
        <v>0.04</v>
      </c>
      <c r="K206" s="59">
        <v>0.02</v>
      </c>
      <c r="L206" s="59">
        <v>0</v>
      </c>
    </row>
    <row r="207" spans="1:12">
      <c r="A207" s="59">
        <v>200</v>
      </c>
      <c r="B207" s="59" t="s">
        <v>392</v>
      </c>
      <c r="C207" s="59">
        <v>1</v>
      </c>
      <c r="D207" s="59">
        <v>23</v>
      </c>
      <c r="E207" s="59">
        <v>33</v>
      </c>
      <c r="F207" s="59">
        <v>65</v>
      </c>
      <c r="G207" s="59">
        <v>-95.65</v>
      </c>
      <c r="H207" s="59">
        <v>-49.23</v>
      </c>
      <c r="I207" s="59">
        <v>0</v>
      </c>
      <c r="J207" s="59">
        <v>0.04</v>
      </c>
      <c r="K207" s="59">
        <v>0.1</v>
      </c>
      <c r="L207" s="59">
        <v>7.0000000000000007E-2</v>
      </c>
    </row>
    <row r="208" spans="1:12">
      <c r="A208" s="59">
        <v>201</v>
      </c>
      <c r="B208" s="59" t="s">
        <v>115</v>
      </c>
      <c r="C208" s="59">
        <v>1</v>
      </c>
      <c r="D208" s="59">
        <v>8</v>
      </c>
      <c r="E208" s="59">
        <v>33</v>
      </c>
      <c r="F208" s="59">
        <v>41</v>
      </c>
      <c r="G208" s="59">
        <v>-87.5</v>
      </c>
      <c r="H208" s="59">
        <v>-19.510000000000002</v>
      </c>
      <c r="I208" s="59">
        <v>0</v>
      </c>
      <c r="J208" s="59">
        <v>0.04</v>
      </c>
      <c r="K208" s="59">
        <v>0.04</v>
      </c>
      <c r="L208" s="59">
        <v>0.04</v>
      </c>
    </row>
    <row r="209" spans="1:12">
      <c r="A209" s="59">
        <v>202</v>
      </c>
      <c r="B209" s="59" t="s">
        <v>156</v>
      </c>
      <c r="C209" s="59">
        <v>11</v>
      </c>
      <c r="D209" s="59">
        <v>81</v>
      </c>
      <c r="E209" s="59">
        <v>32</v>
      </c>
      <c r="F209" s="59">
        <v>250</v>
      </c>
      <c r="G209" s="59">
        <v>-86.42</v>
      </c>
      <c r="H209" s="59">
        <v>-87.2</v>
      </c>
      <c r="I209" s="59">
        <v>0.05</v>
      </c>
      <c r="J209" s="59">
        <v>0.04</v>
      </c>
      <c r="K209" s="59">
        <v>0.37</v>
      </c>
      <c r="L209" s="59">
        <v>0.27</v>
      </c>
    </row>
    <row r="210" spans="1:12">
      <c r="A210" s="59">
        <v>203</v>
      </c>
      <c r="B210" s="59" t="s">
        <v>178</v>
      </c>
      <c r="C210" s="59">
        <v>6</v>
      </c>
      <c r="D210" s="59">
        <v>12</v>
      </c>
      <c r="E210" s="59">
        <v>32</v>
      </c>
      <c r="F210" s="59">
        <v>22</v>
      </c>
      <c r="G210" s="59">
        <v>-50</v>
      </c>
      <c r="H210" s="59">
        <v>45.45</v>
      </c>
      <c r="I210" s="59">
        <v>0.03</v>
      </c>
      <c r="J210" s="59">
        <v>0.04</v>
      </c>
      <c r="K210" s="59">
        <v>0.05</v>
      </c>
      <c r="L210" s="59">
        <v>0.02</v>
      </c>
    </row>
    <row r="211" spans="1:12">
      <c r="A211" s="59">
        <v>204</v>
      </c>
      <c r="B211" s="59" t="s">
        <v>1094</v>
      </c>
      <c r="C211" s="59">
        <v>3</v>
      </c>
      <c r="D211" s="59">
        <v>0</v>
      </c>
      <c r="E211" s="59">
        <v>32</v>
      </c>
      <c r="F211" s="59">
        <v>0</v>
      </c>
      <c r="G211" s="59">
        <v>0</v>
      </c>
      <c r="H211" s="59">
        <v>0</v>
      </c>
      <c r="I211" s="59">
        <v>0.01</v>
      </c>
      <c r="J211" s="59">
        <v>0.04</v>
      </c>
      <c r="K211" s="59">
        <v>0</v>
      </c>
      <c r="L211" s="59">
        <v>0</v>
      </c>
    </row>
    <row r="212" spans="1:12">
      <c r="A212" s="59">
        <v>205</v>
      </c>
      <c r="B212" s="59" t="s">
        <v>125</v>
      </c>
      <c r="C212" s="59">
        <v>5</v>
      </c>
      <c r="D212" s="59">
        <v>0</v>
      </c>
      <c r="E212" s="59">
        <v>31</v>
      </c>
      <c r="F212" s="59">
        <v>33</v>
      </c>
      <c r="G212" s="59">
        <v>0</v>
      </c>
      <c r="H212" s="59">
        <v>-6.06</v>
      </c>
      <c r="I212" s="59">
        <v>0.02</v>
      </c>
      <c r="J212" s="59">
        <v>0.04</v>
      </c>
      <c r="K212" s="59">
        <v>0</v>
      </c>
      <c r="L212" s="59">
        <v>0.04</v>
      </c>
    </row>
    <row r="213" spans="1:12">
      <c r="A213" s="59">
        <v>206</v>
      </c>
      <c r="B213" s="59" t="s">
        <v>211</v>
      </c>
      <c r="C213" s="59">
        <v>3</v>
      </c>
      <c r="D213" s="59">
        <v>18</v>
      </c>
      <c r="E213" s="59">
        <v>31</v>
      </c>
      <c r="F213" s="59">
        <v>28</v>
      </c>
      <c r="G213" s="59">
        <v>-83.33</v>
      </c>
      <c r="H213" s="59">
        <v>10.71</v>
      </c>
      <c r="I213" s="59">
        <v>0.01</v>
      </c>
      <c r="J213" s="59">
        <v>0.04</v>
      </c>
      <c r="K213" s="59">
        <v>0.08</v>
      </c>
      <c r="L213" s="59">
        <v>0.03</v>
      </c>
    </row>
    <row r="214" spans="1:12">
      <c r="A214" s="59">
        <v>207</v>
      </c>
      <c r="B214" s="59" t="s">
        <v>191</v>
      </c>
      <c r="C214" s="59">
        <v>1</v>
      </c>
      <c r="D214" s="59">
        <v>2</v>
      </c>
      <c r="E214" s="59">
        <v>31</v>
      </c>
      <c r="F214" s="59">
        <v>24</v>
      </c>
      <c r="G214" s="59">
        <v>-50</v>
      </c>
      <c r="H214" s="59">
        <v>29.17</v>
      </c>
      <c r="I214" s="59">
        <v>0</v>
      </c>
      <c r="J214" s="59">
        <v>0.04</v>
      </c>
      <c r="K214" s="59">
        <v>0.01</v>
      </c>
      <c r="L214" s="59">
        <v>0.03</v>
      </c>
    </row>
    <row r="215" spans="1:12">
      <c r="A215" s="59">
        <v>208</v>
      </c>
      <c r="B215" s="59" t="s">
        <v>176</v>
      </c>
      <c r="C215" s="59">
        <v>3</v>
      </c>
      <c r="D215" s="59">
        <v>4</v>
      </c>
      <c r="E215" s="59">
        <v>31</v>
      </c>
      <c r="F215" s="59">
        <v>11</v>
      </c>
      <c r="G215" s="59">
        <v>-25</v>
      </c>
      <c r="H215" s="59">
        <v>181.82</v>
      </c>
      <c r="I215" s="59">
        <v>0.01</v>
      </c>
      <c r="J215" s="59">
        <v>0.04</v>
      </c>
      <c r="K215" s="59">
        <v>0.02</v>
      </c>
      <c r="L215" s="59">
        <v>0.01</v>
      </c>
    </row>
    <row r="216" spans="1:12">
      <c r="A216" s="59">
        <v>209</v>
      </c>
      <c r="B216" s="59" t="s">
        <v>1115</v>
      </c>
      <c r="C216" s="59">
        <v>1</v>
      </c>
      <c r="D216" s="59">
        <v>1</v>
      </c>
      <c r="E216" s="59">
        <v>31</v>
      </c>
      <c r="F216" s="59">
        <v>9</v>
      </c>
      <c r="G216" s="59">
        <v>0</v>
      </c>
      <c r="H216" s="59">
        <v>244.44</v>
      </c>
      <c r="I216" s="59">
        <v>0</v>
      </c>
      <c r="J216" s="59">
        <v>0.04</v>
      </c>
      <c r="K216" s="59">
        <v>0</v>
      </c>
      <c r="L216" s="59">
        <v>0.01</v>
      </c>
    </row>
    <row r="217" spans="1:12">
      <c r="A217" s="59">
        <v>210</v>
      </c>
      <c r="B217" s="59" t="s">
        <v>208</v>
      </c>
      <c r="C217" s="59">
        <v>9</v>
      </c>
      <c r="D217" s="59">
        <v>9</v>
      </c>
      <c r="E217" s="59">
        <v>29</v>
      </c>
      <c r="F217" s="59">
        <v>21</v>
      </c>
      <c r="G217" s="59">
        <v>0</v>
      </c>
      <c r="H217" s="59">
        <v>38.1</v>
      </c>
      <c r="I217" s="59">
        <v>0.04</v>
      </c>
      <c r="J217" s="59">
        <v>0.03</v>
      </c>
      <c r="K217" s="59">
        <v>0.04</v>
      </c>
      <c r="L217" s="59">
        <v>0.02</v>
      </c>
    </row>
    <row r="218" spans="1:12">
      <c r="A218" s="59">
        <v>211</v>
      </c>
      <c r="B218" s="59" t="s">
        <v>218</v>
      </c>
      <c r="C218" s="59">
        <v>13</v>
      </c>
      <c r="D218" s="59">
        <v>4</v>
      </c>
      <c r="E218" s="59">
        <v>29</v>
      </c>
      <c r="F218" s="59">
        <v>20</v>
      </c>
      <c r="G218" s="59">
        <v>225</v>
      </c>
      <c r="H218" s="59">
        <v>45</v>
      </c>
      <c r="I218" s="59">
        <v>0.06</v>
      </c>
      <c r="J218" s="59">
        <v>0.03</v>
      </c>
      <c r="K218" s="59">
        <v>0.02</v>
      </c>
      <c r="L218" s="59">
        <v>0.02</v>
      </c>
    </row>
    <row r="219" spans="1:12">
      <c r="A219" s="59">
        <v>212</v>
      </c>
      <c r="B219" s="59" t="s">
        <v>733</v>
      </c>
      <c r="C219" s="59">
        <v>3</v>
      </c>
      <c r="D219" s="59">
        <v>0</v>
      </c>
      <c r="E219" s="59">
        <v>28</v>
      </c>
      <c r="F219" s="59">
        <v>0</v>
      </c>
      <c r="G219" s="59">
        <v>0</v>
      </c>
      <c r="H219" s="59">
        <v>0</v>
      </c>
      <c r="I219" s="59">
        <v>0.01</v>
      </c>
      <c r="J219" s="59">
        <v>0.03</v>
      </c>
      <c r="K219" s="59">
        <v>0</v>
      </c>
      <c r="L219" s="59">
        <v>0</v>
      </c>
    </row>
    <row r="220" spans="1:12">
      <c r="A220" s="59">
        <v>213</v>
      </c>
      <c r="B220" s="59" t="s">
        <v>204</v>
      </c>
      <c r="C220" s="59">
        <v>17</v>
      </c>
      <c r="D220" s="59">
        <v>13</v>
      </c>
      <c r="E220" s="59">
        <v>27</v>
      </c>
      <c r="F220" s="59">
        <v>112</v>
      </c>
      <c r="G220" s="59">
        <v>30.77</v>
      </c>
      <c r="H220" s="59">
        <v>-75.89</v>
      </c>
      <c r="I220" s="59">
        <v>0.08</v>
      </c>
      <c r="J220" s="59">
        <v>0.03</v>
      </c>
      <c r="K220" s="59">
        <v>0.06</v>
      </c>
      <c r="L220" s="59">
        <v>0.12</v>
      </c>
    </row>
    <row r="221" spans="1:12">
      <c r="A221" s="59">
        <v>214</v>
      </c>
      <c r="B221" s="59" t="s">
        <v>119</v>
      </c>
      <c r="C221" s="59">
        <v>1</v>
      </c>
      <c r="D221" s="59">
        <v>0</v>
      </c>
      <c r="E221" s="59">
        <v>27</v>
      </c>
      <c r="F221" s="59">
        <v>9</v>
      </c>
      <c r="G221" s="59">
        <v>0</v>
      </c>
      <c r="H221" s="59">
        <v>200</v>
      </c>
      <c r="I221" s="59">
        <v>0</v>
      </c>
      <c r="J221" s="59">
        <v>0.03</v>
      </c>
      <c r="K221" s="59">
        <v>0</v>
      </c>
      <c r="L221" s="59">
        <v>0.01</v>
      </c>
    </row>
    <row r="222" spans="1:12">
      <c r="A222" s="59">
        <v>215</v>
      </c>
      <c r="B222" s="59" t="s">
        <v>1096</v>
      </c>
      <c r="C222" s="59">
        <v>2</v>
      </c>
      <c r="D222" s="59">
        <v>0</v>
      </c>
      <c r="E222" s="59">
        <v>27</v>
      </c>
      <c r="F222" s="59">
        <v>0</v>
      </c>
      <c r="G222" s="59">
        <v>0</v>
      </c>
      <c r="H222" s="59">
        <v>0</v>
      </c>
      <c r="I222" s="59">
        <v>0.01</v>
      </c>
      <c r="J222" s="59">
        <v>0.03</v>
      </c>
      <c r="K222" s="59">
        <v>0</v>
      </c>
      <c r="L222" s="59">
        <v>0</v>
      </c>
    </row>
    <row r="223" spans="1:12">
      <c r="A223" s="59">
        <v>216</v>
      </c>
      <c r="B223" s="59" t="s">
        <v>186</v>
      </c>
      <c r="C223" s="59">
        <v>13</v>
      </c>
      <c r="D223" s="59">
        <v>11</v>
      </c>
      <c r="E223" s="59">
        <v>26</v>
      </c>
      <c r="F223" s="59">
        <v>15</v>
      </c>
      <c r="G223" s="59">
        <v>18.18</v>
      </c>
      <c r="H223" s="59">
        <v>73.33</v>
      </c>
      <c r="I223" s="59">
        <v>0.06</v>
      </c>
      <c r="J223" s="59">
        <v>0.03</v>
      </c>
      <c r="K223" s="59">
        <v>0.05</v>
      </c>
      <c r="L223" s="59">
        <v>0.02</v>
      </c>
    </row>
    <row r="224" spans="1:12">
      <c r="A224" s="59">
        <v>217</v>
      </c>
      <c r="B224" s="59" t="s">
        <v>163</v>
      </c>
      <c r="C224" s="59">
        <v>21</v>
      </c>
      <c r="D224" s="59">
        <v>10</v>
      </c>
      <c r="E224" s="59">
        <v>25</v>
      </c>
      <c r="F224" s="59">
        <v>81</v>
      </c>
      <c r="G224" s="59">
        <v>110</v>
      </c>
      <c r="H224" s="59">
        <v>-69.14</v>
      </c>
      <c r="I224" s="59">
        <v>0.1</v>
      </c>
      <c r="J224" s="59">
        <v>0.03</v>
      </c>
      <c r="K224" s="59">
        <v>0.05</v>
      </c>
      <c r="L224" s="59">
        <v>0.09</v>
      </c>
    </row>
    <row r="225" spans="1:12">
      <c r="A225" s="59">
        <v>218</v>
      </c>
      <c r="B225" s="59" t="s">
        <v>1117</v>
      </c>
      <c r="C225" s="59">
        <v>2</v>
      </c>
      <c r="D225" s="59">
        <v>0</v>
      </c>
      <c r="E225" s="59">
        <v>25</v>
      </c>
      <c r="F225" s="59">
        <v>0</v>
      </c>
      <c r="G225" s="59">
        <v>0</v>
      </c>
      <c r="H225" s="59">
        <v>0</v>
      </c>
      <c r="I225" s="59">
        <v>0.01</v>
      </c>
      <c r="J225" s="59">
        <v>0.03</v>
      </c>
      <c r="K225" s="59">
        <v>0</v>
      </c>
      <c r="L225" s="59">
        <v>0</v>
      </c>
    </row>
    <row r="226" spans="1:12">
      <c r="A226" s="59">
        <v>219</v>
      </c>
      <c r="B226" s="59" t="s">
        <v>1097</v>
      </c>
      <c r="C226" s="59">
        <v>5</v>
      </c>
      <c r="D226" s="59">
        <v>0</v>
      </c>
      <c r="E226" s="59">
        <v>24</v>
      </c>
      <c r="F226" s="59">
        <v>0</v>
      </c>
      <c r="G226" s="59">
        <v>0</v>
      </c>
      <c r="H226" s="59">
        <v>0</v>
      </c>
      <c r="I226" s="59">
        <v>0.02</v>
      </c>
      <c r="J226" s="59">
        <v>0.03</v>
      </c>
      <c r="K226" s="59">
        <v>0</v>
      </c>
      <c r="L226" s="59">
        <v>0</v>
      </c>
    </row>
    <row r="227" spans="1:12">
      <c r="A227" s="59">
        <v>220</v>
      </c>
      <c r="B227" s="59" t="s">
        <v>215</v>
      </c>
      <c r="C227" s="59">
        <v>7</v>
      </c>
      <c r="D227" s="59">
        <v>5</v>
      </c>
      <c r="E227" s="59">
        <v>23</v>
      </c>
      <c r="F227" s="59">
        <v>24</v>
      </c>
      <c r="G227" s="59">
        <v>40</v>
      </c>
      <c r="H227" s="59">
        <v>-4.17</v>
      </c>
      <c r="I227" s="59">
        <v>0.03</v>
      </c>
      <c r="J227" s="59">
        <v>0.03</v>
      </c>
      <c r="K227" s="59">
        <v>0.02</v>
      </c>
      <c r="L227" s="59">
        <v>0.03</v>
      </c>
    </row>
    <row r="228" spans="1:12">
      <c r="A228" s="59">
        <v>221</v>
      </c>
      <c r="B228" s="59" t="s">
        <v>1118</v>
      </c>
      <c r="C228" s="59">
        <v>0</v>
      </c>
      <c r="D228" s="59">
        <v>0</v>
      </c>
      <c r="E228" s="59">
        <v>23</v>
      </c>
      <c r="F228" s="59">
        <v>0</v>
      </c>
      <c r="G228" s="59">
        <v>0</v>
      </c>
      <c r="H228" s="59">
        <v>0</v>
      </c>
      <c r="I228" s="59">
        <v>0</v>
      </c>
      <c r="J228" s="59">
        <v>0.03</v>
      </c>
      <c r="K228" s="59">
        <v>0</v>
      </c>
      <c r="L228" s="59">
        <v>0</v>
      </c>
    </row>
    <row r="229" spans="1:12">
      <c r="A229" s="59">
        <v>222</v>
      </c>
      <c r="B229" s="59" t="s">
        <v>126</v>
      </c>
      <c r="C229" s="59">
        <v>2</v>
      </c>
      <c r="D229" s="59">
        <v>10</v>
      </c>
      <c r="E229" s="59">
        <v>22</v>
      </c>
      <c r="F229" s="59">
        <v>46</v>
      </c>
      <c r="G229" s="59">
        <v>-80</v>
      </c>
      <c r="H229" s="59">
        <v>-52.17</v>
      </c>
      <c r="I229" s="59">
        <v>0.01</v>
      </c>
      <c r="J229" s="59">
        <v>0.03</v>
      </c>
      <c r="K229" s="59">
        <v>0.05</v>
      </c>
      <c r="L229" s="59">
        <v>0.05</v>
      </c>
    </row>
    <row r="230" spans="1:12">
      <c r="A230" s="59">
        <v>223</v>
      </c>
      <c r="B230" s="59" t="s">
        <v>213</v>
      </c>
      <c r="C230" s="59">
        <v>9</v>
      </c>
      <c r="D230" s="59">
        <v>11</v>
      </c>
      <c r="E230" s="59">
        <v>22</v>
      </c>
      <c r="F230" s="59">
        <v>28</v>
      </c>
      <c r="G230" s="59">
        <v>-18.18</v>
      </c>
      <c r="H230" s="59">
        <v>-21.43</v>
      </c>
      <c r="I230" s="59">
        <v>0.04</v>
      </c>
      <c r="J230" s="59">
        <v>0.03</v>
      </c>
      <c r="K230" s="59">
        <v>0.05</v>
      </c>
      <c r="L230" s="59">
        <v>0.03</v>
      </c>
    </row>
    <row r="231" spans="1:12">
      <c r="A231" s="59">
        <v>224</v>
      </c>
      <c r="B231" s="59" t="s">
        <v>207</v>
      </c>
      <c r="C231" s="59">
        <v>10</v>
      </c>
      <c r="D231" s="59">
        <v>3</v>
      </c>
      <c r="E231" s="59">
        <v>22</v>
      </c>
      <c r="F231" s="59">
        <v>20</v>
      </c>
      <c r="G231" s="59">
        <v>233.33</v>
      </c>
      <c r="H231" s="59">
        <v>10</v>
      </c>
      <c r="I231" s="59">
        <v>0.05</v>
      </c>
      <c r="J231" s="59">
        <v>0.03</v>
      </c>
      <c r="K231" s="59">
        <v>0.01</v>
      </c>
      <c r="L231" s="59">
        <v>0.02</v>
      </c>
    </row>
    <row r="232" spans="1:12">
      <c r="A232" s="59">
        <v>225</v>
      </c>
      <c r="B232" s="59" t="s">
        <v>231</v>
      </c>
      <c r="C232" s="59">
        <v>5</v>
      </c>
      <c r="D232" s="59">
        <v>8</v>
      </c>
      <c r="E232" s="59">
        <v>22</v>
      </c>
      <c r="F232" s="59">
        <v>19</v>
      </c>
      <c r="G232" s="59">
        <v>-37.5</v>
      </c>
      <c r="H232" s="59">
        <v>15.79</v>
      </c>
      <c r="I232" s="59">
        <v>0.02</v>
      </c>
      <c r="J232" s="59">
        <v>0.03</v>
      </c>
      <c r="K232" s="59">
        <v>0.04</v>
      </c>
      <c r="L232" s="59">
        <v>0.02</v>
      </c>
    </row>
    <row r="233" spans="1:12">
      <c r="A233" s="59">
        <v>226</v>
      </c>
      <c r="B233" s="59" t="s">
        <v>402</v>
      </c>
      <c r="C233" s="59">
        <v>1</v>
      </c>
      <c r="D233" s="59">
        <v>3</v>
      </c>
      <c r="E233" s="59">
        <v>22</v>
      </c>
      <c r="F233" s="59">
        <v>13</v>
      </c>
      <c r="G233" s="59">
        <v>-66.67</v>
      </c>
      <c r="H233" s="59">
        <v>69.23</v>
      </c>
      <c r="I233" s="59">
        <v>0</v>
      </c>
      <c r="J233" s="59">
        <v>0.03</v>
      </c>
      <c r="K233" s="59">
        <v>0.01</v>
      </c>
      <c r="L233" s="59">
        <v>0.01</v>
      </c>
    </row>
    <row r="234" spans="1:12">
      <c r="A234" s="59">
        <v>227</v>
      </c>
      <c r="B234" s="59" t="s">
        <v>1114</v>
      </c>
      <c r="C234" s="59">
        <v>6</v>
      </c>
      <c r="D234" s="59">
        <v>0</v>
      </c>
      <c r="E234" s="59">
        <v>22</v>
      </c>
      <c r="F234" s="59">
        <v>0</v>
      </c>
      <c r="G234" s="59">
        <v>0</v>
      </c>
      <c r="H234" s="59">
        <v>0</v>
      </c>
      <c r="I234" s="59">
        <v>0.03</v>
      </c>
      <c r="J234" s="59">
        <v>0.03</v>
      </c>
      <c r="K234" s="59">
        <v>0</v>
      </c>
      <c r="L234" s="59">
        <v>0</v>
      </c>
    </row>
    <row r="235" spans="1:12">
      <c r="A235" s="59">
        <v>228</v>
      </c>
      <c r="B235" s="59" t="s">
        <v>196</v>
      </c>
      <c r="C235" s="59">
        <v>1</v>
      </c>
      <c r="D235" s="59">
        <v>6</v>
      </c>
      <c r="E235" s="59">
        <v>21</v>
      </c>
      <c r="F235" s="59">
        <v>24</v>
      </c>
      <c r="G235" s="59">
        <v>-83.33</v>
      </c>
      <c r="H235" s="59">
        <v>-12.5</v>
      </c>
      <c r="I235" s="59">
        <v>0</v>
      </c>
      <c r="J235" s="59">
        <v>0.03</v>
      </c>
      <c r="K235" s="59">
        <v>0.03</v>
      </c>
      <c r="L235" s="59">
        <v>0.03</v>
      </c>
    </row>
    <row r="236" spans="1:12">
      <c r="A236" s="59">
        <v>229</v>
      </c>
      <c r="B236" s="59" t="s">
        <v>195</v>
      </c>
      <c r="C236" s="59">
        <v>7</v>
      </c>
      <c r="D236" s="59">
        <v>0</v>
      </c>
      <c r="E236" s="59">
        <v>21</v>
      </c>
      <c r="F236" s="59">
        <v>6</v>
      </c>
      <c r="G236" s="59">
        <v>0</v>
      </c>
      <c r="H236" s="59">
        <v>250</v>
      </c>
      <c r="I236" s="59">
        <v>0.03</v>
      </c>
      <c r="J236" s="59">
        <v>0.03</v>
      </c>
      <c r="K236" s="59">
        <v>0</v>
      </c>
      <c r="L236" s="59">
        <v>0.01</v>
      </c>
    </row>
    <row r="237" spans="1:12">
      <c r="A237" s="59">
        <v>230</v>
      </c>
      <c r="B237" s="59" t="s">
        <v>202</v>
      </c>
      <c r="C237" s="59">
        <v>2</v>
      </c>
      <c r="D237" s="59">
        <v>31</v>
      </c>
      <c r="E237" s="59">
        <v>20</v>
      </c>
      <c r="F237" s="59">
        <v>101</v>
      </c>
      <c r="G237" s="59">
        <v>-93.55</v>
      </c>
      <c r="H237" s="59">
        <v>-80.2</v>
      </c>
      <c r="I237" s="59">
        <v>0.01</v>
      </c>
      <c r="J237" s="59">
        <v>0.02</v>
      </c>
      <c r="K237" s="59">
        <v>0.14000000000000001</v>
      </c>
      <c r="L237" s="59">
        <v>0.11</v>
      </c>
    </row>
    <row r="238" spans="1:12">
      <c r="A238" s="59">
        <v>231</v>
      </c>
      <c r="B238" s="59" t="s">
        <v>116</v>
      </c>
      <c r="C238" s="59">
        <v>5</v>
      </c>
      <c r="D238" s="59">
        <v>23</v>
      </c>
      <c r="E238" s="59">
        <v>20</v>
      </c>
      <c r="F238" s="59">
        <v>98</v>
      </c>
      <c r="G238" s="59">
        <v>-78.260000000000005</v>
      </c>
      <c r="H238" s="59">
        <v>-79.59</v>
      </c>
      <c r="I238" s="59">
        <v>0.02</v>
      </c>
      <c r="J238" s="59">
        <v>0.02</v>
      </c>
      <c r="K238" s="59">
        <v>0.1</v>
      </c>
      <c r="L238" s="59">
        <v>0.11</v>
      </c>
    </row>
    <row r="239" spans="1:12">
      <c r="A239" s="59">
        <v>232</v>
      </c>
      <c r="B239" s="59" t="s">
        <v>194</v>
      </c>
      <c r="C239" s="59">
        <v>5</v>
      </c>
      <c r="D239" s="59">
        <v>6</v>
      </c>
      <c r="E239" s="59">
        <v>20</v>
      </c>
      <c r="F239" s="59">
        <v>48</v>
      </c>
      <c r="G239" s="59">
        <v>-16.670000000000002</v>
      </c>
      <c r="H239" s="59">
        <v>-58.33</v>
      </c>
      <c r="I239" s="59">
        <v>0.02</v>
      </c>
      <c r="J239" s="59">
        <v>0.02</v>
      </c>
      <c r="K239" s="59">
        <v>0.03</v>
      </c>
      <c r="L239" s="59">
        <v>0.05</v>
      </c>
    </row>
    <row r="240" spans="1:12">
      <c r="A240" s="59">
        <v>233</v>
      </c>
      <c r="B240" s="59" t="s">
        <v>100</v>
      </c>
      <c r="C240" s="59">
        <v>0</v>
      </c>
      <c r="D240" s="59">
        <v>43</v>
      </c>
      <c r="E240" s="59">
        <v>19</v>
      </c>
      <c r="F240" s="59">
        <v>219</v>
      </c>
      <c r="G240" s="59">
        <v>-100</v>
      </c>
      <c r="H240" s="59">
        <v>-91.32</v>
      </c>
      <c r="I240" s="59">
        <v>0</v>
      </c>
      <c r="J240" s="59">
        <v>0.02</v>
      </c>
      <c r="K240" s="59">
        <v>0.2</v>
      </c>
      <c r="L240" s="59">
        <v>0.24</v>
      </c>
    </row>
    <row r="241" spans="1:12">
      <c r="A241" s="59">
        <v>234</v>
      </c>
      <c r="B241" s="59" t="s">
        <v>634</v>
      </c>
      <c r="C241" s="59">
        <v>4</v>
      </c>
      <c r="D241" s="59">
        <v>11</v>
      </c>
      <c r="E241" s="59">
        <v>19</v>
      </c>
      <c r="F241" s="59">
        <v>67</v>
      </c>
      <c r="G241" s="59">
        <v>-63.64</v>
      </c>
      <c r="H241" s="59">
        <v>-71.64</v>
      </c>
      <c r="I241" s="59">
        <v>0.02</v>
      </c>
      <c r="J241" s="59">
        <v>0.02</v>
      </c>
      <c r="K241" s="59">
        <v>0.05</v>
      </c>
      <c r="L241" s="59">
        <v>7.0000000000000007E-2</v>
      </c>
    </row>
    <row r="242" spans="1:12">
      <c r="A242" s="59">
        <v>235</v>
      </c>
      <c r="B242" s="59" t="s">
        <v>692</v>
      </c>
      <c r="C242" s="59">
        <v>12</v>
      </c>
      <c r="D242" s="59">
        <v>7</v>
      </c>
      <c r="E242" s="59">
        <v>19</v>
      </c>
      <c r="F242" s="59">
        <v>11</v>
      </c>
      <c r="G242" s="59">
        <v>71.430000000000007</v>
      </c>
      <c r="H242" s="59">
        <v>72.73</v>
      </c>
      <c r="I242" s="59">
        <v>0.06</v>
      </c>
      <c r="J242" s="59">
        <v>0.02</v>
      </c>
      <c r="K242" s="59">
        <v>0.03</v>
      </c>
      <c r="L242" s="59">
        <v>0.01</v>
      </c>
    </row>
    <row r="243" spans="1:12">
      <c r="A243" s="59">
        <v>236</v>
      </c>
      <c r="B243" s="59" t="s">
        <v>732</v>
      </c>
      <c r="C243" s="59">
        <v>3</v>
      </c>
      <c r="D243" s="59">
        <v>0</v>
      </c>
      <c r="E243" s="59">
        <v>19</v>
      </c>
      <c r="F243" s="59">
        <v>0</v>
      </c>
      <c r="G243" s="59">
        <v>0</v>
      </c>
      <c r="H243" s="59">
        <v>0</v>
      </c>
      <c r="I243" s="59">
        <v>0.01</v>
      </c>
      <c r="J243" s="59">
        <v>0.02</v>
      </c>
      <c r="K243" s="59">
        <v>0</v>
      </c>
      <c r="L243" s="59">
        <v>0</v>
      </c>
    </row>
    <row r="244" spans="1:12">
      <c r="A244" s="59">
        <v>237</v>
      </c>
      <c r="B244" s="59" t="s">
        <v>217</v>
      </c>
      <c r="C244" s="59">
        <v>12</v>
      </c>
      <c r="D244" s="59">
        <v>9</v>
      </c>
      <c r="E244" s="59">
        <v>18</v>
      </c>
      <c r="F244" s="59">
        <v>41</v>
      </c>
      <c r="G244" s="59">
        <v>33.33</v>
      </c>
      <c r="H244" s="59">
        <v>-56.1</v>
      </c>
      <c r="I244" s="59">
        <v>0.06</v>
      </c>
      <c r="J244" s="59">
        <v>0.02</v>
      </c>
      <c r="K244" s="59">
        <v>0.04</v>
      </c>
      <c r="L244" s="59">
        <v>0.04</v>
      </c>
    </row>
    <row r="245" spans="1:12">
      <c r="A245" s="59">
        <v>238</v>
      </c>
      <c r="B245" s="59" t="s">
        <v>228</v>
      </c>
      <c r="C245" s="59">
        <v>1</v>
      </c>
      <c r="D245" s="59">
        <v>8</v>
      </c>
      <c r="E245" s="59">
        <v>18</v>
      </c>
      <c r="F245" s="59">
        <v>17</v>
      </c>
      <c r="G245" s="59">
        <v>-87.5</v>
      </c>
      <c r="H245" s="59">
        <v>5.88</v>
      </c>
      <c r="I245" s="59">
        <v>0</v>
      </c>
      <c r="J245" s="59">
        <v>0.02</v>
      </c>
      <c r="K245" s="59">
        <v>0.04</v>
      </c>
      <c r="L245" s="59">
        <v>0.02</v>
      </c>
    </row>
    <row r="246" spans="1:12">
      <c r="A246" s="59">
        <v>239</v>
      </c>
      <c r="B246" s="59" t="s">
        <v>227</v>
      </c>
      <c r="C246" s="59">
        <v>2</v>
      </c>
      <c r="D246" s="59">
        <v>12</v>
      </c>
      <c r="E246" s="59">
        <v>16</v>
      </c>
      <c r="F246" s="59">
        <v>72</v>
      </c>
      <c r="G246" s="59">
        <v>-83.33</v>
      </c>
      <c r="H246" s="59">
        <v>-77.78</v>
      </c>
      <c r="I246" s="59">
        <v>0.01</v>
      </c>
      <c r="J246" s="59">
        <v>0.02</v>
      </c>
      <c r="K246" s="59">
        <v>0.05</v>
      </c>
      <c r="L246" s="59">
        <v>0.08</v>
      </c>
    </row>
    <row r="247" spans="1:12">
      <c r="A247" s="59">
        <v>240</v>
      </c>
      <c r="B247" s="59" t="s">
        <v>139</v>
      </c>
      <c r="C247" s="59">
        <v>4</v>
      </c>
      <c r="D247" s="59">
        <v>12</v>
      </c>
      <c r="E247" s="59">
        <v>16</v>
      </c>
      <c r="F247" s="59">
        <v>71</v>
      </c>
      <c r="G247" s="59">
        <v>-66.67</v>
      </c>
      <c r="H247" s="59">
        <v>-77.459999999999994</v>
      </c>
      <c r="I247" s="59">
        <v>0.02</v>
      </c>
      <c r="J247" s="59">
        <v>0.02</v>
      </c>
      <c r="K247" s="59">
        <v>0.05</v>
      </c>
      <c r="L247" s="59">
        <v>0.08</v>
      </c>
    </row>
    <row r="248" spans="1:12">
      <c r="A248" s="59">
        <v>241</v>
      </c>
      <c r="B248" s="59" t="s">
        <v>193</v>
      </c>
      <c r="C248" s="59">
        <v>11</v>
      </c>
      <c r="D248" s="59">
        <v>5</v>
      </c>
      <c r="E248" s="59">
        <v>16</v>
      </c>
      <c r="F248" s="59">
        <v>25</v>
      </c>
      <c r="G248" s="59">
        <v>120</v>
      </c>
      <c r="H248" s="59">
        <v>-36</v>
      </c>
      <c r="I248" s="59">
        <v>0.05</v>
      </c>
      <c r="J248" s="59">
        <v>0.02</v>
      </c>
      <c r="K248" s="59">
        <v>0.02</v>
      </c>
      <c r="L248" s="59">
        <v>0.03</v>
      </c>
    </row>
    <row r="249" spans="1:12">
      <c r="A249" s="59">
        <v>242</v>
      </c>
      <c r="B249" s="59" t="s">
        <v>583</v>
      </c>
      <c r="C249" s="59">
        <v>3</v>
      </c>
      <c r="D249" s="59">
        <v>14</v>
      </c>
      <c r="E249" s="59">
        <v>15</v>
      </c>
      <c r="F249" s="59">
        <v>64</v>
      </c>
      <c r="G249" s="59">
        <v>-78.569999999999993</v>
      </c>
      <c r="H249" s="59">
        <v>-76.56</v>
      </c>
      <c r="I249" s="59">
        <v>0.01</v>
      </c>
      <c r="J249" s="59">
        <v>0.02</v>
      </c>
      <c r="K249" s="59">
        <v>0.06</v>
      </c>
      <c r="L249" s="59">
        <v>7.0000000000000007E-2</v>
      </c>
    </row>
    <row r="250" spans="1:12">
      <c r="A250" s="59">
        <v>243</v>
      </c>
      <c r="B250" s="59" t="s">
        <v>133</v>
      </c>
      <c r="C250" s="59">
        <v>0</v>
      </c>
      <c r="D250" s="59">
        <v>12</v>
      </c>
      <c r="E250" s="59">
        <v>14</v>
      </c>
      <c r="F250" s="59">
        <v>31</v>
      </c>
      <c r="G250" s="59">
        <v>-100</v>
      </c>
      <c r="H250" s="59">
        <v>-54.84</v>
      </c>
      <c r="I250" s="59">
        <v>0</v>
      </c>
      <c r="J250" s="59">
        <v>0.02</v>
      </c>
      <c r="K250" s="59">
        <v>0.05</v>
      </c>
      <c r="L250" s="59">
        <v>0.03</v>
      </c>
    </row>
    <row r="251" spans="1:12">
      <c r="A251" s="59">
        <v>244</v>
      </c>
      <c r="B251" s="59" t="s">
        <v>222</v>
      </c>
      <c r="C251" s="59">
        <v>1</v>
      </c>
      <c r="D251" s="59">
        <v>6</v>
      </c>
      <c r="E251" s="59">
        <v>14</v>
      </c>
      <c r="F251" s="59">
        <v>17</v>
      </c>
      <c r="G251" s="59">
        <v>-83.33</v>
      </c>
      <c r="H251" s="59">
        <v>-17.649999999999999</v>
      </c>
      <c r="I251" s="59">
        <v>0</v>
      </c>
      <c r="J251" s="59">
        <v>0.02</v>
      </c>
      <c r="K251" s="59">
        <v>0.03</v>
      </c>
      <c r="L251" s="59">
        <v>0.02</v>
      </c>
    </row>
    <row r="252" spans="1:12">
      <c r="A252" s="59">
        <v>245</v>
      </c>
      <c r="B252" s="59" t="s">
        <v>141</v>
      </c>
      <c r="C252" s="59">
        <v>3</v>
      </c>
      <c r="D252" s="59">
        <v>20</v>
      </c>
      <c r="E252" s="59">
        <v>13</v>
      </c>
      <c r="F252" s="59">
        <v>71</v>
      </c>
      <c r="G252" s="59">
        <v>-85</v>
      </c>
      <c r="H252" s="59">
        <v>-81.69</v>
      </c>
      <c r="I252" s="59">
        <v>0.01</v>
      </c>
      <c r="J252" s="59">
        <v>0.02</v>
      </c>
      <c r="K252" s="59">
        <v>0.09</v>
      </c>
      <c r="L252" s="59">
        <v>0.08</v>
      </c>
    </row>
    <row r="253" spans="1:12">
      <c r="A253" s="59">
        <v>246</v>
      </c>
      <c r="B253" s="59" t="s">
        <v>212</v>
      </c>
      <c r="C253" s="59">
        <v>9</v>
      </c>
      <c r="D253" s="59">
        <v>10</v>
      </c>
      <c r="E253" s="59">
        <v>13</v>
      </c>
      <c r="F253" s="59">
        <v>18</v>
      </c>
      <c r="G253" s="59">
        <v>-10</v>
      </c>
      <c r="H253" s="59">
        <v>-27.78</v>
      </c>
      <c r="I253" s="59">
        <v>0.04</v>
      </c>
      <c r="J253" s="59">
        <v>0.02</v>
      </c>
      <c r="K253" s="59">
        <v>0.05</v>
      </c>
      <c r="L253" s="59">
        <v>0.02</v>
      </c>
    </row>
    <row r="254" spans="1:12">
      <c r="A254" s="59">
        <v>247</v>
      </c>
      <c r="B254" s="59" t="s">
        <v>384</v>
      </c>
      <c r="C254" s="59">
        <v>6</v>
      </c>
      <c r="D254" s="59">
        <v>6</v>
      </c>
      <c r="E254" s="59">
        <v>13</v>
      </c>
      <c r="F254" s="59">
        <v>12</v>
      </c>
      <c r="G254" s="59">
        <v>0</v>
      </c>
      <c r="H254" s="59">
        <v>8.33</v>
      </c>
      <c r="I254" s="59">
        <v>0.03</v>
      </c>
      <c r="J254" s="59">
        <v>0.02</v>
      </c>
      <c r="K254" s="59">
        <v>0.03</v>
      </c>
      <c r="L254" s="59">
        <v>0.01</v>
      </c>
    </row>
    <row r="255" spans="1:12">
      <c r="A255" s="59">
        <v>248</v>
      </c>
      <c r="B255" s="59" t="s">
        <v>183</v>
      </c>
      <c r="C255" s="59">
        <v>0</v>
      </c>
      <c r="D255" s="59">
        <v>5</v>
      </c>
      <c r="E255" s="59">
        <v>13</v>
      </c>
      <c r="F255" s="59">
        <v>12</v>
      </c>
      <c r="G255" s="59">
        <v>-100</v>
      </c>
      <c r="H255" s="59">
        <v>8.33</v>
      </c>
      <c r="I255" s="59">
        <v>0</v>
      </c>
      <c r="J255" s="59">
        <v>0.02</v>
      </c>
      <c r="K255" s="59">
        <v>0.02</v>
      </c>
      <c r="L255" s="59">
        <v>0.01</v>
      </c>
    </row>
    <row r="256" spans="1:12">
      <c r="A256" s="59">
        <v>249</v>
      </c>
      <c r="B256" s="59" t="s">
        <v>1015</v>
      </c>
      <c r="C256" s="59">
        <v>8</v>
      </c>
      <c r="D256" s="59">
        <v>0</v>
      </c>
      <c r="E256" s="59">
        <v>13</v>
      </c>
      <c r="F256" s="59">
        <v>0</v>
      </c>
      <c r="G256" s="59">
        <v>0</v>
      </c>
      <c r="H256" s="59">
        <v>0</v>
      </c>
      <c r="I256" s="59">
        <v>0.04</v>
      </c>
      <c r="J256" s="59">
        <v>0.02</v>
      </c>
      <c r="K256" s="59">
        <v>0</v>
      </c>
      <c r="L256" s="59">
        <v>0</v>
      </c>
    </row>
    <row r="257" spans="1:12">
      <c r="A257" s="59">
        <v>250</v>
      </c>
      <c r="B257" s="59" t="s">
        <v>172</v>
      </c>
      <c r="C257" s="59">
        <v>2</v>
      </c>
      <c r="D257" s="59">
        <v>3</v>
      </c>
      <c r="E257" s="59">
        <v>12</v>
      </c>
      <c r="F257" s="59">
        <v>24</v>
      </c>
      <c r="G257" s="59">
        <v>-33.33</v>
      </c>
      <c r="H257" s="59">
        <v>-50</v>
      </c>
      <c r="I257" s="59">
        <v>0.01</v>
      </c>
      <c r="J257" s="59">
        <v>0.01</v>
      </c>
      <c r="K257" s="59">
        <v>0.01</v>
      </c>
      <c r="L257" s="59">
        <v>0.03</v>
      </c>
    </row>
    <row r="258" spans="1:12">
      <c r="A258" s="59">
        <v>251</v>
      </c>
      <c r="B258" s="59" t="s">
        <v>1194</v>
      </c>
      <c r="C258" s="59">
        <v>12</v>
      </c>
      <c r="D258" s="59">
        <v>0</v>
      </c>
      <c r="E258" s="59">
        <v>12</v>
      </c>
      <c r="F258" s="59">
        <v>0</v>
      </c>
      <c r="G258" s="59">
        <v>0</v>
      </c>
      <c r="H258" s="59">
        <v>0</v>
      </c>
      <c r="I258" s="59">
        <v>0.06</v>
      </c>
      <c r="J258" s="59">
        <v>0.01</v>
      </c>
      <c r="K258" s="59">
        <v>0</v>
      </c>
      <c r="L258" s="59">
        <v>0</v>
      </c>
    </row>
    <row r="259" spans="1:12">
      <c r="A259" s="59">
        <v>252</v>
      </c>
      <c r="B259" s="59" t="s">
        <v>1045</v>
      </c>
      <c r="C259" s="59">
        <v>5</v>
      </c>
      <c r="D259" s="59">
        <v>0</v>
      </c>
      <c r="E259" s="59">
        <v>12</v>
      </c>
      <c r="F259" s="59">
        <v>0</v>
      </c>
      <c r="G259" s="59">
        <v>0</v>
      </c>
      <c r="H259" s="59">
        <v>0</v>
      </c>
      <c r="I259" s="59">
        <v>0.02</v>
      </c>
      <c r="J259" s="59">
        <v>0.01</v>
      </c>
      <c r="K259" s="59">
        <v>0</v>
      </c>
      <c r="L259" s="59">
        <v>0</v>
      </c>
    </row>
    <row r="260" spans="1:12">
      <c r="A260" s="59">
        <v>253</v>
      </c>
      <c r="B260" s="59" t="s">
        <v>457</v>
      </c>
      <c r="C260" s="59">
        <v>3</v>
      </c>
      <c r="D260" s="59">
        <v>19</v>
      </c>
      <c r="E260" s="59">
        <v>11</v>
      </c>
      <c r="F260" s="59">
        <v>36</v>
      </c>
      <c r="G260" s="59">
        <v>-84.21</v>
      </c>
      <c r="H260" s="59">
        <v>-69.44</v>
      </c>
      <c r="I260" s="59">
        <v>0.01</v>
      </c>
      <c r="J260" s="59">
        <v>0.01</v>
      </c>
      <c r="K260" s="59">
        <v>0.09</v>
      </c>
      <c r="L260" s="59">
        <v>0.04</v>
      </c>
    </row>
    <row r="261" spans="1:12">
      <c r="A261" s="59">
        <v>254</v>
      </c>
      <c r="B261" s="59" t="s">
        <v>225</v>
      </c>
      <c r="C261" s="59">
        <v>2</v>
      </c>
      <c r="D261" s="59">
        <v>0</v>
      </c>
      <c r="E261" s="59">
        <v>10</v>
      </c>
      <c r="F261" s="59">
        <v>11</v>
      </c>
      <c r="G261" s="59">
        <v>0</v>
      </c>
      <c r="H261" s="59">
        <v>-9.09</v>
      </c>
      <c r="I261" s="59">
        <v>0.01</v>
      </c>
      <c r="J261" s="59">
        <v>0.01</v>
      </c>
      <c r="K261" s="59">
        <v>0</v>
      </c>
      <c r="L261" s="59">
        <v>0.01</v>
      </c>
    </row>
    <row r="262" spans="1:12">
      <c r="A262" s="59">
        <v>255</v>
      </c>
      <c r="B262" s="59" t="s">
        <v>386</v>
      </c>
      <c r="C262" s="59">
        <v>4</v>
      </c>
      <c r="D262" s="59">
        <v>4</v>
      </c>
      <c r="E262" s="59">
        <v>10</v>
      </c>
      <c r="F262" s="59">
        <v>9</v>
      </c>
      <c r="G262" s="59">
        <v>0</v>
      </c>
      <c r="H262" s="59">
        <v>11.11</v>
      </c>
      <c r="I262" s="59">
        <v>0.02</v>
      </c>
      <c r="J262" s="59">
        <v>0.01</v>
      </c>
      <c r="K262" s="59">
        <v>0.02</v>
      </c>
      <c r="L262" s="59">
        <v>0.01</v>
      </c>
    </row>
    <row r="263" spans="1:12">
      <c r="A263" s="59">
        <v>256</v>
      </c>
      <c r="B263" s="59" t="s">
        <v>223</v>
      </c>
      <c r="C263" s="59">
        <v>5</v>
      </c>
      <c r="D263" s="59">
        <v>6</v>
      </c>
      <c r="E263" s="59">
        <v>10</v>
      </c>
      <c r="F263" s="59">
        <v>8</v>
      </c>
      <c r="G263" s="59">
        <v>-16.670000000000002</v>
      </c>
      <c r="H263" s="59">
        <v>25</v>
      </c>
      <c r="I263" s="59">
        <v>0.02</v>
      </c>
      <c r="J263" s="59">
        <v>0.01</v>
      </c>
      <c r="K263" s="59">
        <v>0.03</v>
      </c>
      <c r="L263" s="59">
        <v>0.01</v>
      </c>
    </row>
    <row r="264" spans="1:12">
      <c r="A264" s="59">
        <v>257</v>
      </c>
      <c r="B264" s="59" t="s">
        <v>387</v>
      </c>
      <c r="C264" s="59">
        <v>1</v>
      </c>
      <c r="D264" s="59">
        <v>0</v>
      </c>
      <c r="E264" s="59">
        <v>9</v>
      </c>
      <c r="F264" s="59">
        <v>15</v>
      </c>
      <c r="G264" s="59">
        <v>0</v>
      </c>
      <c r="H264" s="59">
        <v>-40</v>
      </c>
      <c r="I264" s="59">
        <v>0</v>
      </c>
      <c r="J264" s="59">
        <v>0.01</v>
      </c>
      <c r="K264" s="59">
        <v>0</v>
      </c>
      <c r="L264" s="59">
        <v>0.02</v>
      </c>
    </row>
    <row r="265" spans="1:12">
      <c r="A265" s="59">
        <v>258</v>
      </c>
      <c r="B265" s="59" t="s">
        <v>512</v>
      </c>
      <c r="C265" s="59">
        <v>4</v>
      </c>
      <c r="D265" s="59">
        <v>5</v>
      </c>
      <c r="E265" s="59">
        <v>9</v>
      </c>
      <c r="F265" s="59">
        <v>9</v>
      </c>
      <c r="G265" s="59">
        <v>-20</v>
      </c>
      <c r="H265" s="59">
        <v>0</v>
      </c>
      <c r="I265" s="59">
        <v>0.02</v>
      </c>
      <c r="J265" s="59">
        <v>0.01</v>
      </c>
      <c r="K265" s="59">
        <v>0.02</v>
      </c>
      <c r="L265" s="59">
        <v>0.01</v>
      </c>
    </row>
    <row r="266" spans="1:12">
      <c r="A266" s="59">
        <v>259</v>
      </c>
      <c r="B266" s="59" t="s">
        <v>715</v>
      </c>
      <c r="C266" s="59">
        <v>5</v>
      </c>
      <c r="D266" s="59">
        <v>3</v>
      </c>
      <c r="E266" s="59">
        <v>9</v>
      </c>
      <c r="F266" s="59">
        <v>5</v>
      </c>
      <c r="G266" s="59">
        <v>66.67</v>
      </c>
      <c r="H266" s="59">
        <v>80</v>
      </c>
      <c r="I266" s="59">
        <v>0.02</v>
      </c>
      <c r="J266" s="59">
        <v>0.01</v>
      </c>
      <c r="K266" s="59">
        <v>0.01</v>
      </c>
      <c r="L266" s="59">
        <v>0.01</v>
      </c>
    </row>
    <row r="267" spans="1:12">
      <c r="A267" s="59">
        <v>260</v>
      </c>
      <c r="B267" s="59" t="s">
        <v>1168</v>
      </c>
      <c r="C267" s="59">
        <v>3</v>
      </c>
      <c r="D267" s="59">
        <v>0</v>
      </c>
      <c r="E267" s="59">
        <v>9</v>
      </c>
      <c r="F267" s="59">
        <v>0</v>
      </c>
      <c r="G267" s="67">
        <v>0</v>
      </c>
      <c r="H267" s="67">
        <v>0</v>
      </c>
      <c r="I267" s="59">
        <v>0.01</v>
      </c>
      <c r="J267" s="59">
        <v>0.01</v>
      </c>
      <c r="K267" s="59">
        <v>0</v>
      </c>
      <c r="L267" s="59">
        <v>0</v>
      </c>
    </row>
    <row r="268" spans="1:12">
      <c r="A268" s="59">
        <v>261</v>
      </c>
      <c r="B268" s="59" t="s">
        <v>575</v>
      </c>
      <c r="C268" s="59">
        <v>5</v>
      </c>
      <c r="D268" s="59">
        <v>0</v>
      </c>
      <c r="E268" s="59">
        <v>8</v>
      </c>
      <c r="F268" s="59">
        <v>4</v>
      </c>
      <c r="G268" s="59">
        <v>0</v>
      </c>
      <c r="H268" s="59">
        <v>100</v>
      </c>
      <c r="I268" s="59">
        <v>0.02</v>
      </c>
      <c r="J268" s="59">
        <v>0.01</v>
      </c>
      <c r="K268" s="59">
        <v>0</v>
      </c>
      <c r="L268" s="59">
        <v>0</v>
      </c>
    </row>
    <row r="269" spans="1:12">
      <c r="A269" s="59">
        <v>262</v>
      </c>
      <c r="B269" s="59" t="s">
        <v>1195</v>
      </c>
      <c r="C269" s="59">
        <v>8</v>
      </c>
      <c r="D269" s="59">
        <v>0</v>
      </c>
      <c r="E269" s="59">
        <v>8</v>
      </c>
      <c r="F269" s="59">
        <v>0</v>
      </c>
      <c r="G269" s="59">
        <v>0</v>
      </c>
      <c r="H269" s="59">
        <v>0</v>
      </c>
      <c r="I269" s="59">
        <v>0.04</v>
      </c>
      <c r="J269" s="59">
        <v>0.01</v>
      </c>
      <c r="K269" s="59">
        <v>0</v>
      </c>
      <c r="L269" s="59">
        <v>0</v>
      </c>
    </row>
    <row r="270" spans="1:12">
      <c r="A270" s="59">
        <v>263</v>
      </c>
      <c r="B270" s="59" t="s">
        <v>510</v>
      </c>
      <c r="C270" s="59">
        <v>2</v>
      </c>
      <c r="D270" s="59">
        <v>0</v>
      </c>
      <c r="E270" s="59">
        <v>7</v>
      </c>
      <c r="F270" s="59">
        <v>8</v>
      </c>
      <c r="G270" s="59">
        <v>0</v>
      </c>
      <c r="H270" s="59">
        <v>-12.5</v>
      </c>
      <c r="I270" s="59">
        <v>0.01</v>
      </c>
      <c r="J270" s="59">
        <v>0.01</v>
      </c>
      <c r="K270" s="59">
        <v>0</v>
      </c>
      <c r="L270" s="59">
        <v>0.01</v>
      </c>
    </row>
    <row r="271" spans="1:12">
      <c r="A271" s="59">
        <v>264</v>
      </c>
      <c r="B271" s="59" t="s">
        <v>696</v>
      </c>
      <c r="C271" s="59">
        <v>2</v>
      </c>
      <c r="D271" s="59">
        <v>1</v>
      </c>
      <c r="E271" s="59">
        <v>7</v>
      </c>
      <c r="F271" s="59">
        <v>1</v>
      </c>
      <c r="G271" s="59">
        <v>100</v>
      </c>
      <c r="H271" s="59">
        <v>600</v>
      </c>
      <c r="I271" s="59">
        <v>0.01</v>
      </c>
      <c r="J271" s="59">
        <v>0.01</v>
      </c>
      <c r="K271" s="59">
        <v>0</v>
      </c>
      <c r="L271" s="59">
        <v>0</v>
      </c>
    </row>
    <row r="272" spans="1:12">
      <c r="A272" s="59">
        <v>265</v>
      </c>
      <c r="B272" s="59" t="s">
        <v>1122</v>
      </c>
      <c r="C272" s="59">
        <v>0</v>
      </c>
      <c r="D272" s="59">
        <v>0</v>
      </c>
      <c r="E272" s="59">
        <v>7</v>
      </c>
      <c r="F272" s="59">
        <v>0</v>
      </c>
      <c r="G272" s="59">
        <v>0</v>
      </c>
      <c r="H272" s="59">
        <v>0</v>
      </c>
      <c r="I272" s="59">
        <v>0</v>
      </c>
      <c r="J272" s="59">
        <v>0.01</v>
      </c>
      <c r="K272" s="59">
        <v>0</v>
      </c>
      <c r="L272" s="59">
        <v>0</v>
      </c>
    </row>
    <row r="273" spans="1:12">
      <c r="A273" s="59">
        <v>266</v>
      </c>
      <c r="B273" s="59" t="s">
        <v>216</v>
      </c>
      <c r="C273" s="59">
        <v>0</v>
      </c>
      <c r="D273" s="59">
        <v>19</v>
      </c>
      <c r="E273" s="59">
        <v>6</v>
      </c>
      <c r="F273" s="59">
        <v>44</v>
      </c>
      <c r="G273" s="59">
        <v>-100</v>
      </c>
      <c r="H273" s="59">
        <v>-86.36</v>
      </c>
      <c r="I273" s="59">
        <v>0</v>
      </c>
      <c r="J273" s="59">
        <v>0.01</v>
      </c>
      <c r="K273" s="59">
        <v>0.09</v>
      </c>
      <c r="L273" s="59">
        <v>0.05</v>
      </c>
    </row>
    <row r="274" spans="1:12">
      <c r="A274" s="59">
        <v>267</v>
      </c>
      <c r="B274" s="59" t="s">
        <v>1120</v>
      </c>
      <c r="C274" s="59">
        <v>1</v>
      </c>
      <c r="D274" s="59">
        <v>0</v>
      </c>
      <c r="E274" s="59">
        <v>6</v>
      </c>
      <c r="F274" s="59">
        <v>3</v>
      </c>
      <c r="G274" s="67">
        <v>0</v>
      </c>
      <c r="H274" s="59">
        <v>100</v>
      </c>
      <c r="I274" s="59">
        <v>0</v>
      </c>
      <c r="J274" s="59">
        <v>0.01</v>
      </c>
      <c r="K274" s="59">
        <v>0</v>
      </c>
      <c r="L274" s="59">
        <v>0</v>
      </c>
    </row>
    <row r="275" spans="1:12">
      <c r="A275" s="59">
        <v>268</v>
      </c>
      <c r="B275" s="59" t="s">
        <v>1048</v>
      </c>
      <c r="C275" s="24">
        <v>0</v>
      </c>
      <c r="D275" s="24">
        <v>0</v>
      </c>
      <c r="E275" s="24">
        <v>6</v>
      </c>
      <c r="F275" s="24">
        <v>0</v>
      </c>
      <c r="G275" s="67">
        <v>0</v>
      </c>
      <c r="H275" s="67">
        <v>0</v>
      </c>
      <c r="I275" s="59">
        <v>0</v>
      </c>
      <c r="J275" s="59">
        <v>0.01</v>
      </c>
      <c r="K275" s="59">
        <v>0</v>
      </c>
      <c r="L275" s="59">
        <v>0</v>
      </c>
    </row>
    <row r="276" spans="1:12">
      <c r="A276" s="59">
        <v>269</v>
      </c>
      <c r="B276" s="59" t="s">
        <v>409</v>
      </c>
      <c r="C276" s="24">
        <v>0</v>
      </c>
      <c r="D276" s="59">
        <v>11</v>
      </c>
      <c r="E276" s="24">
        <v>5</v>
      </c>
      <c r="F276" s="59">
        <v>59</v>
      </c>
      <c r="G276" s="59">
        <v>-100</v>
      </c>
      <c r="H276" s="59">
        <v>-91.53</v>
      </c>
      <c r="I276" s="59">
        <v>0</v>
      </c>
      <c r="J276" s="59">
        <v>0.01</v>
      </c>
      <c r="K276" s="59">
        <v>0.05</v>
      </c>
      <c r="L276" s="59">
        <v>0.06</v>
      </c>
    </row>
    <row r="277" spans="1:12">
      <c r="A277" s="59">
        <v>270</v>
      </c>
      <c r="B277" s="59" t="s">
        <v>192</v>
      </c>
      <c r="C277" s="59">
        <v>2</v>
      </c>
      <c r="D277" s="59">
        <v>6</v>
      </c>
      <c r="E277" s="59">
        <v>5</v>
      </c>
      <c r="F277" s="59">
        <v>38</v>
      </c>
      <c r="G277" s="59">
        <v>-66.67</v>
      </c>
      <c r="H277" s="59">
        <v>-86.84</v>
      </c>
      <c r="I277" s="59">
        <v>0.01</v>
      </c>
      <c r="J277" s="59">
        <v>0.01</v>
      </c>
      <c r="K277" s="59">
        <v>0.03</v>
      </c>
      <c r="L277" s="59">
        <v>0.04</v>
      </c>
    </row>
    <row r="278" spans="1:12">
      <c r="A278" s="59">
        <v>271</v>
      </c>
      <c r="B278" s="59" t="s">
        <v>214</v>
      </c>
      <c r="C278" s="59">
        <v>0</v>
      </c>
      <c r="D278" s="59">
        <v>2</v>
      </c>
      <c r="E278" s="59">
        <v>5</v>
      </c>
      <c r="F278" s="59">
        <v>30</v>
      </c>
      <c r="G278" s="59">
        <v>-100</v>
      </c>
      <c r="H278" s="59">
        <v>-83.33</v>
      </c>
      <c r="I278" s="59">
        <v>0</v>
      </c>
      <c r="J278" s="59">
        <v>0.01</v>
      </c>
      <c r="K278" s="59">
        <v>0.01</v>
      </c>
      <c r="L278" s="59">
        <v>0.03</v>
      </c>
    </row>
    <row r="279" spans="1:12">
      <c r="A279" s="59">
        <v>272</v>
      </c>
      <c r="B279" s="59" t="s">
        <v>189</v>
      </c>
      <c r="C279" s="59">
        <v>2</v>
      </c>
      <c r="D279" s="59">
        <v>3</v>
      </c>
      <c r="E279" s="59">
        <v>5</v>
      </c>
      <c r="F279" s="59">
        <v>28</v>
      </c>
      <c r="G279" s="59">
        <v>-33.33</v>
      </c>
      <c r="H279" s="59">
        <v>-82.14</v>
      </c>
      <c r="I279" s="59">
        <v>0.01</v>
      </c>
      <c r="J279" s="59">
        <v>0.01</v>
      </c>
      <c r="K279" s="59">
        <v>0.01</v>
      </c>
      <c r="L279" s="59">
        <v>0.03</v>
      </c>
    </row>
    <row r="280" spans="1:12">
      <c r="A280" s="59">
        <v>273</v>
      </c>
      <c r="B280" s="59" t="s">
        <v>1119</v>
      </c>
      <c r="C280" s="59">
        <v>0</v>
      </c>
      <c r="D280" s="59">
        <v>3</v>
      </c>
      <c r="E280" s="59">
        <v>5</v>
      </c>
      <c r="F280" s="59">
        <v>8</v>
      </c>
      <c r="G280" s="59">
        <v>-100</v>
      </c>
      <c r="H280" s="59">
        <v>-37.5</v>
      </c>
      <c r="I280" s="59">
        <v>0</v>
      </c>
      <c r="J280" s="59">
        <v>0.01</v>
      </c>
      <c r="K280" s="59">
        <v>0.01</v>
      </c>
      <c r="L280" s="59">
        <v>0.01</v>
      </c>
    </row>
    <row r="281" spans="1:12">
      <c r="A281" s="59">
        <v>274</v>
      </c>
      <c r="B281" s="59" t="s">
        <v>509</v>
      </c>
      <c r="C281" s="59">
        <v>0</v>
      </c>
      <c r="D281" s="59">
        <v>4</v>
      </c>
      <c r="E281" s="59">
        <v>5</v>
      </c>
      <c r="F281" s="59">
        <v>7</v>
      </c>
      <c r="G281" s="59">
        <v>-100</v>
      </c>
      <c r="H281" s="59">
        <v>-28.57</v>
      </c>
      <c r="I281" s="59">
        <v>0</v>
      </c>
      <c r="J281" s="59">
        <v>0.01</v>
      </c>
      <c r="K281" s="59">
        <v>0.02</v>
      </c>
      <c r="L281" s="59">
        <v>0.01</v>
      </c>
    </row>
    <row r="282" spans="1:12">
      <c r="A282" s="59">
        <v>275</v>
      </c>
      <c r="B282" s="59" t="s">
        <v>1121</v>
      </c>
      <c r="C282" s="59">
        <v>0</v>
      </c>
      <c r="D282" s="59">
        <v>0</v>
      </c>
      <c r="E282" s="59">
        <v>5</v>
      </c>
      <c r="F282" s="59">
        <v>0</v>
      </c>
      <c r="G282" s="59">
        <v>0</v>
      </c>
      <c r="H282" s="59">
        <v>0</v>
      </c>
      <c r="I282" s="59">
        <v>0</v>
      </c>
      <c r="J282" s="59">
        <v>0.01</v>
      </c>
      <c r="K282" s="59">
        <v>0</v>
      </c>
      <c r="L282" s="59">
        <v>0</v>
      </c>
    </row>
    <row r="283" spans="1:12">
      <c r="A283" s="59">
        <v>276</v>
      </c>
      <c r="B283" s="59" t="s">
        <v>716</v>
      </c>
      <c r="C283" s="59">
        <v>3</v>
      </c>
      <c r="D283" s="59">
        <v>0</v>
      </c>
      <c r="E283" s="59">
        <v>5</v>
      </c>
      <c r="F283" s="59">
        <v>0</v>
      </c>
      <c r="G283" s="59">
        <v>0</v>
      </c>
      <c r="H283" s="59">
        <v>0</v>
      </c>
      <c r="I283" s="59">
        <v>0.01</v>
      </c>
      <c r="J283" s="59">
        <v>0.01</v>
      </c>
      <c r="K283" s="59">
        <v>0</v>
      </c>
      <c r="L283" s="59">
        <v>0</v>
      </c>
    </row>
    <row r="284" spans="1:12">
      <c r="A284" s="59">
        <v>277</v>
      </c>
      <c r="B284" s="59" t="s">
        <v>224</v>
      </c>
      <c r="C284" s="59">
        <v>1</v>
      </c>
      <c r="D284" s="59">
        <v>3</v>
      </c>
      <c r="E284" s="59">
        <v>4</v>
      </c>
      <c r="F284" s="59">
        <v>6</v>
      </c>
      <c r="G284" s="59">
        <v>-66.67</v>
      </c>
      <c r="H284" s="59">
        <v>-33.33</v>
      </c>
      <c r="I284" s="59">
        <v>0</v>
      </c>
      <c r="J284" s="59">
        <v>0</v>
      </c>
      <c r="K284" s="59">
        <v>0.01</v>
      </c>
      <c r="L284" s="59">
        <v>0.01</v>
      </c>
    </row>
    <row r="285" spans="1:12">
      <c r="A285" s="59">
        <v>278</v>
      </c>
      <c r="B285" s="59" t="s">
        <v>698</v>
      </c>
      <c r="C285" s="59">
        <v>0</v>
      </c>
      <c r="D285" s="59">
        <v>0</v>
      </c>
      <c r="E285" s="59">
        <v>4</v>
      </c>
      <c r="F285" s="59">
        <v>1</v>
      </c>
      <c r="G285" s="67">
        <v>0</v>
      </c>
      <c r="H285" s="67">
        <v>300</v>
      </c>
      <c r="I285" s="59">
        <v>0</v>
      </c>
      <c r="J285" s="59">
        <v>0</v>
      </c>
      <c r="K285" s="59">
        <v>0</v>
      </c>
      <c r="L285" s="59">
        <v>0</v>
      </c>
    </row>
    <row r="286" spans="1:12">
      <c r="A286" s="59">
        <v>279</v>
      </c>
      <c r="B286" s="59" t="s">
        <v>697</v>
      </c>
      <c r="C286" s="59">
        <v>2</v>
      </c>
      <c r="D286" s="59">
        <v>1</v>
      </c>
      <c r="E286" s="59">
        <v>4</v>
      </c>
      <c r="F286" s="59">
        <v>1</v>
      </c>
      <c r="G286" s="59">
        <v>100</v>
      </c>
      <c r="H286" s="59">
        <v>300</v>
      </c>
      <c r="I286" s="59">
        <v>0.01</v>
      </c>
      <c r="J286" s="59">
        <v>0</v>
      </c>
      <c r="K286" s="59">
        <v>0</v>
      </c>
      <c r="L286" s="59">
        <v>0</v>
      </c>
    </row>
    <row r="287" spans="1:12">
      <c r="A287" s="59">
        <v>280</v>
      </c>
      <c r="B287" s="59" t="s">
        <v>504</v>
      </c>
      <c r="C287" s="59">
        <v>2</v>
      </c>
      <c r="D287" s="59">
        <v>0</v>
      </c>
      <c r="E287" s="59">
        <v>3</v>
      </c>
      <c r="F287" s="59">
        <v>6</v>
      </c>
      <c r="G287" s="59">
        <v>0</v>
      </c>
      <c r="H287" s="59">
        <v>-50</v>
      </c>
      <c r="I287" s="59">
        <v>0.01</v>
      </c>
      <c r="J287" s="59">
        <v>0</v>
      </c>
      <c r="K287" s="59">
        <v>0</v>
      </c>
      <c r="L287" s="59">
        <v>0.01</v>
      </c>
    </row>
    <row r="288" spans="1:12">
      <c r="A288" s="59">
        <v>281</v>
      </c>
      <c r="B288" s="59" t="s">
        <v>597</v>
      </c>
      <c r="C288" s="59">
        <v>2</v>
      </c>
      <c r="D288" s="59">
        <v>2</v>
      </c>
      <c r="E288" s="59">
        <v>3</v>
      </c>
      <c r="F288" s="59">
        <v>6</v>
      </c>
      <c r="G288" s="59">
        <v>0</v>
      </c>
      <c r="H288" s="59">
        <v>-50</v>
      </c>
      <c r="I288" s="59">
        <v>0.01</v>
      </c>
      <c r="J288" s="59">
        <v>0</v>
      </c>
      <c r="K288" s="59">
        <v>0.01</v>
      </c>
      <c r="L288" s="59">
        <v>0.01</v>
      </c>
    </row>
    <row r="289" spans="1:12">
      <c r="A289" s="59">
        <v>282</v>
      </c>
      <c r="B289" s="59" t="s">
        <v>114</v>
      </c>
      <c r="C289" s="59">
        <v>0</v>
      </c>
      <c r="D289" s="59">
        <v>294</v>
      </c>
      <c r="E289" s="59">
        <v>2</v>
      </c>
      <c r="F289" s="59">
        <v>1171</v>
      </c>
      <c r="G289" s="59">
        <v>-100</v>
      </c>
      <c r="H289" s="59">
        <v>-99.83</v>
      </c>
      <c r="I289" s="59">
        <v>0</v>
      </c>
      <c r="J289" s="59">
        <v>0</v>
      </c>
      <c r="K289" s="59">
        <v>1.34</v>
      </c>
      <c r="L289" s="59">
        <v>1.28</v>
      </c>
    </row>
    <row r="290" spans="1:12">
      <c r="A290" s="59">
        <v>283</v>
      </c>
      <c r="B290" s="59" t="s">
        <v>150</v>
      </c>
      <c r="C290" s="59">
        <v>0</v>
      </c>
      <c r="D290" s="59">
        <v>12</v>
      </c>
      <c r="E290" s="59">
        <v>2</v>
      </c>
      <c r="F290" s="59">
        <v>55</v>
      </c>
      <c r="G290" s="59">
        <v>-100</v>
      </c>
      <c r="H290" s="59">
        <v>-96.36</v>
      </c>
      <c r="I290" s="59">
        <v>0</v>
      </c>
      <c r="J290" s="59">
        <v>0</v>
      </c>
      <c r="K290" s="59">
        <v>0.05</v>
      </c>
      <c r="L290" s="59">
        <v>0.06</v>
      </c>
    </row>
    <row r="291" spans="1:12">
      <c r="A291" s="59">
        <v>284</v>
      </c>
      <c r="B291" s="59" t="s">
        <v>142</v>
      </c>
      <c r="C291" s="59">
        <v>1</v>
      </c>
      <c r="D291" s="59">
        <v>0</v>
      </c>
      <c r="E291" s="59">
        <v>2</v>
      </c>
      <c r="F291" s="59">
        <v>14</v>
      </c>
      <c r="G291" s="59">
        <v>0</v>
      </c>
      <c r="H291" s="59">
        <v>-85.71</v>
      </c>
      <c r="I291" s="59">
        <v>0</v>
      </c>
      <c r="J291" s="59">
        <v>0</v>
      </c>
      <c r="K291" s="59">
        <v>0</v>
      </c>
      <c r="L291" s="59">
        <v>0.02</v>
      </c>
    </row>
    <row r="292" spans="1:12">
      <c r="A292" s="59">
        <v>285</v>
      </c>
      <c r="B292" s="59" t="s">
        <v>232</v>
      </c>
      <c r="C292" s="59">
        <v>1</v>
      </c>
      <c r="D292" s="59">
        <v>0</v>
      </c>
      <c r="E292" s="59">
        <v>2</v>
      </c>
      <c r="F292" s="59">
        <v>7</v>
      </c>
      <c r="G292" s="59">
        <v>0</v>
      </c>
      <c r="H292" s="59">
        <v>-71.430000000000007</v>
      </c>
      <c r="I292" s="59">
        <v>0</v>
      </c>
      <c r="J292" s="59">
        <v>0</v>
      </c>
      <c r="K292" s="59">
        <v>0</v>
      </c>
      <c r="L292" s="59">
        <v>0.01</v>
      </c>
    </row>
    <row r="293" spans="1:12">
      <c r="A293" s="59">
        <v>286</v>
      </c>
      <c r="B293" s="59" t="s">
        <v>576</v>
      </c>
      <c r="C293" s="59">
        <v>1</v>
      </c>
      <c r="D293" s="59">
        <v>2</v>
      </c>
      <c r="E293" s="59">
        <v>2</v>
      </c>
      <c r="F293" s="59">
        <v>6</v>
      </c>
      <c r="G293" s="59">
        <v>-50</v>
      </c>
      <c r="H293" s="59">
        <v>-66.67</v>
      </c>
      <c r="I293" s="59">
        <v>0</v>
      </c>
      <c r="J293" s="59">
        <v>0</v>
      </c>
      <c r="K293" s="59">
        <v>0.01</v>
      </c>
      <c r="L293" s="59">
        <v>0.01</v>
      </c>
    </row>
    <row r="294" spans="1:12">
      <c r="A294" s="59">
        <v>287</v>
      </c>
      <c r="B294" s="59" t="s">
        <v>1127</v>
      </c>
      <c r="C294" s="59">
        <v>2</v>
      </c>
      <c r="D294" s="59">
        <v>0</v>
      </c>
      <c r="E294" s="59">
        <v>2</v>
      </c>
      <c r="F294" s="59">
        <v>4</v>
      </c>
      <c r="G294" s="59">
        <v>0</v>
      </c>
      <c r="H294" s="59">
        <v>-50</v>
      </c>
      <c r="I294" s="59">
        <v>0.01</v>
      </c>
      <c r="J294" s="59">
        <v>0</v>
      </c>
      <c r="K294" s="59">
        <v>0</v>
      </c>
      <c r="L294" s="59">
        <v>0</v>
      </c>
    </row>
    <row r="295" spans="1:12">
      <c r="A295" s="59">
        <v>288</v>
      </c>
      <c r="B295" s="59" t="s">
        <v>230</v>
      </c>
      <c r="C295" s="59">
        <v>0</v>
      </c>
      <c r="D295" s="59">
        <v>1</v>
      </c>
      <c r="E295" s="59">
        <v>2</v>
      </c>
      <c r="F295" s="59">
        <v>3</v>
      </c>
      <c r="G295" s="59">
        <v>-100</v>
      </c>
      <c r="H295" s="59">
        <v>-33.33</v>
      </c>
      <c r="I295" s="59">
        <v>0</v>
      </c>
      <c r="J295" s="59">
        <v>0</v>
      </c>
      <c r="K295" s="59">
        <v>0</v>
      </c>
      <c r="L295" s="59">
        <v>0</v>
      </c>
    </row>
    <row r="296" spans="1:12">
      <c r="A296" s="59">
        <v>289</v>
      </c>
      <c r="B296" s="59" t="s">
        <v>513</v>
      </c>
      <c r="C296" s="59">
        <v>0</v>
      </c>
      <c r="D296" s="59">
        <v>0</v>
      </c>
      <c r="E296" s="59">
        <v>2</v>
      </c>
      <c r="F296" s="59">
        <v>2</v>
      </c>
      <c r="G296" s="59">
        <v>0</v>
      </c>
      <c r="H296" s="59">
        <v>0</v>
      </c>
      <c r="I296" s="59">
        <v>0</v>
      </c>
      <c r="J296" s="59">
        <v>0</v>
      </c>
      <c r="K296" s="59">
        <v>0</v>
      </c>
      <c r="L296" s="59">
        <v>0</v>
      </c>
    </row>
    <row r="297" spans="1:12">
      <c r="A297" s="59">
        <v>290</v>
      </c>
      <c r="B297" s="59" t="s">
        <v>1196</v>
      </c>
      <c r="C297" s="59">
        <v>2</v>
      </c>
      <c r="D297" s="59">
        <v>0</v>
      </c>
      <c r="E297" s="59">
        <v>2</v>
      </c>
      <c r="F297" s="59">
        <v>0</v>
      </c>
      <c r="G297" s="59">
        <v>0</v>
      </c>
      <c r="H297" s="59">
        <v>0</v>
      </c>
      <c r="I297" s="59">
        <v>0.01</v>
      </c>
      <c r="J297" s="59">
        <v>0</v>
      </c>
      <c r="K297" s="59">
        <v>0</v>
      </c>
      <c r="L297" s="59">
        <v>0</v>
      </c>
    </row>
    <row r="298" spans="1:12">
      <c r="A298" s="59">
        <v>291</v>
      </c>
      <c r="B298" s="59" t="s">
        <v>1126</v>
      </c>
      <c r="C298" s="59">
        <v>1</v>
      </c>
      <c r="D298" s="59">
        <v>11</v>
      </c>
      <c r="E298" s="59">
        <v>1</v>
      </c>
      <c r="F298" s="59">
        <v>32</v>
      </c>
      <c r="G298" s="59">
        <v>-90.91</v>
      </c>
      <c r="H298" s="59">
        <v>-96.88</v>
      </c>
      <c r="I298" s="59">
        <v>0</v>
      </c>
      <c r="J298" s="59">
        <v>0</v>
      </c>
      <c r="K298" s="59">
        <v>0.05</v>
      </c>
      <c r="L298" s="59">
        <v>0.03</v>
      </c>
    </row>
    <row r="299" spans="1:12">
      <c r="A299" s="59">
        <v>292</v>
      </c>
      <c r="B299" s="59" t="s">
        <v>411</v>
      </c>
      <c r="C299" s="59">
        <v>0</v>
      </c>
      <c r="D299" s="59">
        <v>0</v>
      </c>
      <c r="E299" s="59">
        <v>1</v>
      </c>
      <c r="F299" s="59">
        <v>4</v>
      </c>
      <c r="G299" s="59">
        <v>0</v>
      </c>
      <c r="H299" s="59">
        <v>-75</v>
      </c>
      <c r="I299" s="59">
        <v>0</v>
      </c>
      <c r="J299" s="59">
        <v>0</v>
      </c>
      <c r="K299" s="59">
        <v>0</v>
      </c>
      <c r="L299" s="59">
        <v>0</v>
      </c>
    </row>
    <row r="300" spans="1:12">
      <c r="A300" s="152">
        <v>293</v>
      </c>
      <c r="B300" s="152" t="s">
        <v>182</v>
      </c>
      <c r="C300" s="152">
        <v>0</v>
      </c>
      <c r="D300" s="152">
        <v>0</v>
      </c>
      <c r="E300" s="152">
        <v>1</v>
      </c>
      <c r="F300" s="152">
        <v>2</v>
      </c>
      <c r="G300" s="152">
        <v>0</v>
      </c>
      <c r="H300" s="152">
        <v>-50</v>
      </c>
      <c r="I300" s="152">
        <v>0</v>
      </c>
      <c r="J300" s="152">
        <v>0</v>
      </c>
      <c r="K300" s="152">
        <v>0</v>
      </c>
      <c r="L300" s="152">
        <v>0</v>
      </c>
    </row>
    <row r="301" spans="1:12">
      <c r="A301" s="152">
        <v>294</v>
      </c>
      <c r="B301" s="152" t="s">
        <v>695</v>
      </c>
      <c r="C301" s="152">
        <v>0</v>
      </c>
      <c r="D301" s="152">
        <v>1</v>
      </c>
      <c r="E301" s="152">
        <v>1</v>
      </c>
      <c r="F301" s="152">
        <v>1</v>
      </c>
      <c r="G301" s="152">
        <v>-100</v>
      </c>
      <c r="H301" s="152">
        <v>0</v>
      </c>
      <c r="I301" s="152">
        <v>0</v>
      </c>
      <c r="J301" s="152">
        <v>0</v>
      </c>
      <c r="K301" s="152">
        <v>0</v>
      </c>
      <c r="L301" s="152">
        <v>0</v>
      </c>
    </row>
    <row r="302" spans="1:12">
      <c r="A302" s="152">
        <v>295</v>
      </c>
      <c r="B302" s="152" t="s">
        <v>430</v>
      </c>
      <c r="C302" s="152">
        <v>0</v>
      </c>
      <c r="D302" s="152">
        <v>0</v>
      </c>
      <c r="E302" s="152">
        <v>1</v>
      </c>
      <c r="F302" s="152">
        <v>1</v>
      </c>
      <c r="G302" s="154">
        <v>0</v>
      </c>
      <c r="H302" s="154">
        <v>0</v>
      </c>
      <c r="I302" s="152">
        <v>0</v>
      </c>
      <c r="J302" s="152">
        <v>0</v>
      </c>
      <c r="K302" s="152">
        <v>0</v>
      </c>
      <c r="L302" s="152">
        <v>0</v>
      </c>
    </row>
    <row r="303" spans="1:12">
      <c r="A303" s="152">
        <v>296</v>
      </c>
      <c r="B303" s="152" t="s">
        <v>1197</v>
      </c>
      <c r="C303" s="152">
        <v>1</v>
      </c>
      <c r="D303" s="152">
        <v>1</v>
      </c>
      <c r="E303" s="152">
        <v>1</v>
      </c>
      <c r="F303" s="152">
        <v>1</v>
      </c>
      <c r="G303" s="152">
        <v>0</v>
      </c>
      <c r="H303" s="152">
        <v>0</v>
      </c>
      <c r="I303" s="152">
        <v>0</v>
      </c>
      <c r="J303" s="152">
        <v>0</v>
      </c>
      <c r="K303" s="152">
        <v>0</v>
      </c>
      <c r="L303" s="152">
        <v>0</v>
      </c>
    </row>
    <row r="304" spans="1:12">
      <c r="A304" s="152">
        <v>297</v>
      </c>
      <c r="B304" s="152" t="s">
        <v>1169</v>
      </c>
      <c r="C304" s="152">
        <v>0</v>
      </c>
      <c r="D304" s="152">
        <v>1</v>
      </c>
      <c r="E304" s="152">
        <v>1</v>
      </c>
      <c r="F304" s="152">
        <v>1</v>
      </c>
      <c r="G304" s="152">
        <v>-100</v>
      </c>
      <c r="H304" s="152">
        <v>0</v>
      </c>
      <c r="I304" s="152">
        <v>0</v>
      </c>
      <c r="J304" s="152">
        <v>0</v>
      </c>
      <c r="K304" s="152">
        <v>0</v>
      </c>
      <c r="L304" s="152">
        <v>0</v>
      </c>
    </row>
    <row r="305" spans="1:12">
      <c r="A305" s="152">
        <v>298</v>
      </c>
      <c r="B305" s="152" t="s">
        <v>1123</v>
      </c>
      <c r="C305" s="152">
        <v>0</v>
      </c>
      <c r="D305" s="152">
        <v>0</v>
      </c>
      <c r="E305" s="152">
        <v>1</v>
      </c>
      <c r="F305" s="152">
        <v>0</v>
      </c>
      <c r="G305" s="152">
        <v>0</v>
      </c>
      <c r="H305" s="152">
        <v>0</v>
      </c>
      <c r="I305" s="152">
        <v>0</v>
      </c>
      <c r="J305" s="152">
        <v>0</v>
      </c>
      <c r="K305" s="152">
        <v>0</v>
      </c>
      <c r="L305" s="152">
        <v>0</v>
      </c>
    </row>
    <row r="306" spans="1:12">
      <c r="A306" s="152">
        <v>299</v>
      </c>
      <c r="B306" s="152" t="s">
        <v>1124</v>
      </c>
      <c r="C306" s="152">
        <v>0</v>
      </c>
      <c r="D306" s="152">
        <v>0</v>
      </c>
      <c r="E306" s="152">
        <v>1</v>
      </c>
      <c r="F306" s="152">
        <v>0</v>
      </c>
      <c r="G306" s="152">
        <v>0</v>
      </c>
      <c r="H306" s="152">
        <v>0</v>
      </c>
      <c r="I306" s="152">
        <v>0</v>
      </c>
      <c r="J306" s="152">
        <v>0</v>
      </c>
      <c r="K306" s="152">
        <v>0</v>
      </c>
      <c r="L306" s="152">
        <v>0</v>
      </c>
    </row>
    <row r="307" spans="1:12">
      <c r="A307" s="152">
        <v>300</v>
      </c>
      <c r="B307" s="152" t="s">
        <v>145</v>
      </c>
      <c r="C307" s="152">
        <v>0</v>
      </c>
      <c r="D307" s="152">
        <v>70</v>
      </c>
      <c r="E307" s="152">
        <v>0</v>
      </c>
      <c r="F307" s="152">
        <v>223</v>
      </c>
      <c r="G307" s="152">
        <v>-100</v>
      </c>
      <c r="H307" s="152">
        <v>-100</v>
      </c>
      <c r="I307" s="152">
        <v>0</v>
      </c>
      <c r="J307" s="152">
        <v>0</v>
      </c>
      <c r="K307" s="152">
        <v>0.32</v>
      </c>
      <c r="L307" s="152">
        <v>0.24</v>
      </c>
    </row>
    <row r="308" spans="1:12">
      <c r="A308" s="152">
        <v>301</v>
      </c>
      <c r="B308" s="152" t="s">
        <v>205</v>
      </c>
      <c r="C308" s="152">
        <v>0</v>
      </c>
      <c r="D308" s="152">
        <v>14</v>
      </c>
      <c r="E308" s="152">
        <v>0</v>
      </c>
      <c r="F308" s="152">
        <v>75</v>
      </c>
      <c r="G308" s="152">
        <v>-100</v>
      </c>
      <c r="H308" s="152">
        <v>-100</v>
      </c>
      <c r="I308" s="152">
        <v>0</v>
      </c>
      <c r="J308" s="152">
        <v>0</v>
      </c>
      <c r="K308" s="152">
        <v>0.06</v>
      </c>
      <c r="L308" s="152">
        <v>0.08</v>
      </c>
    </row>
    <row r="309" spans="1:12">
      <c r="A309" s="152">
        <v>302</v>
      </c>
      <c r="B309" s="152" t="s">
        <v>144</v>
      </c>
      <c r="C309" s="152">
        <v>0</v>
      </c>
      <c r="D309" s="152">
        <v>9</v>
      </c>
      <c r="E309" s="152">
        <v>0</v>
      </c>
      <c r="F309" s="152">
        <v>52</v>
      </c>
      <c r="G309" s="152">
        <v>-100</v>
      </c>
      <c r="H309" s="152">
        <v>-100</v>
      </c>
      <c r="I309" s="152">
        <v>0</v>
      </c>
      <c r="J309" s="152">
        <v>0</v>
      </c>
      <c r="K309" s="152">
        <v>0.04</v>
      </c>
      <c r="L309" s="152">
        <v>0.06</v>
      </c>
    </row>
    <row r="310" spans="1:12">
      <c r="A310" s="152">
        <v>303</v>
      </c>
      <c r="B310" s="152" t="s">
        <v>164</v>
      </c>
      <c r="C310" s="152">
        <v>0</v>
      </c>
      <c r="D310" s="152">
        <v>11</v>
      </c>
      <c r="E310" s="152">
        <v>0</v>
      </c>
      <c r="F310" s="152">
        <v>45</v>
      </c>
      <c r="G310" s="152">
        <v>-100</v>
      </c>
      <c r="H310" s="152">
        <v>-100</v>
      </c>
      <c r="I310" s="152">
        <v>0</v>
      </c>
      <c r="J310" s="152">
        <v>0</v>
      </c>
      <c r="K310" s="152">
        <v>0.05</v>
      </c>
      <c r="L310" s="152">
        <v>0.05</v>
      </c>
    </row>
    <row r="311" spans="1:12">
      <c r="A311" s="152">
        <v>304</v>
      </c>
      <c r="B311" s="152" t="s">
        <v>385</v>
      </c>
      <c r="C311" s="152">
        <v>0</v>
      </c>
      <c r="D311" s="152">
        <v>21</v>
      </c>
      <c r="E311" s="152">
        <v>0</v>
      </c>
      <c r="F311" s="152">
        <v>27</v>
      </c>
      <c r="G311" s="152">
        <v>-100</v>
      </c>
      <c r="H311" s="152">
        <v>-100</v>
      </c>
      <c r="I311" s="152">
        <v>0</v>
      </c>
      <c r="J311" s="152">
        <v>0</v>
      </c>
      <c r="K311" s="152">
        <v>0.1</v>
      </c>
      <c r="L311" s="152">
        <v>0.03</v>
      </c>
    </row>
    <row r="312" spans="1:12">
      <c r="A312" s="152">
        <v>305</v>
      </c>
      <c r="B312" s="152" t="s">
        <v>1171</v>
      </c>
      <c r="C312" s="152">
        <v>0</v>
      </c>
      <c r="D312" s="152">
        <v>25</v>
      </c>
      <c r="E312" s="152">
        <v>0</v>
      </c>
      <c r="F312" s="152">
        <v>26</v>
      </c>
      <c r="G312" s="152">
        <v>-100</v>
      </c>
      <c r="H312" s="152">
        <v>-100</v>
      </c>
      <c r="I312" s="152">
        <v>0</v>
      </c>
      <c r="J312" s="152">
        <v>0</v>
      </c>
      <c r="K312" s="152">
        <v>0.11</v>
      </c>
      <c r="L312" s="152">
        <v>0.03</v>
      </c>
    </row>
    <row r="313" spans="1:12">
      <c r="A313" s="152">
        <v>306</v>
      </c>
      <c r="B313" s="152" t="s">
        <v>582</v>
      </c>
      <c r="C313" s="152">
        <v>0</v>
      </c>
      <c r="D313" s="152">
        <v>6</v>
      </c>
      <c r="E313" s="152">
        <v>0</v>
      </c>
      <c r="F313" s="152">
        <v>22</v>
      </c>
      <c r="G313" s="152">
        <v>-100</v>
      </c>
      <c r="H313" s="152">
        <v>-100</v>
      </c>
      <c r="I313" s="152">
        <v>0</v>
      </c>
      <c r="J313" s="152">
        <v>0</v>
      </c>
      <c r="K313" s="152">
        <v>0.03</v>
      </c>
      <c r="L313" s="152">
        <v>0.02</v>
      </c>
    </row>
    <row r="314" spans="1:12">
      <c r="A314" s="152">
        <v>307</v>
      </c>
      <c r="B314" s="152" t="s">
        <v>233</v>
      </c>
      <c r="C314" s="152">
        <v>0</v>
      </c>
      <c r="D314" s="152">
        <v>3</v>
      </c>
      <c r="E314" s="152">
        <v>0</v>
      </c>
      <c r="F314" s="152">
        <v>22</v>
      </c>
      <c r="G314" s="152">
        <v>-100</v>
      </c>
      <c r="H314" s="152">
        <v>-100</v>
      </c>
      <c r="I314" s="152">
        <v>0</v>
      </c>
      <c r="J314" s="152">
        <v>0</v>
      </c>
      <c r="K314" s="152">
        <v>0.01</v>
      </c>
      <c r="L314" s="152">
        <v>0.02</v>
      </c>
    </row>
    <row r="315" spans="1:12" s="11" customFormat="1" ht="16">
      <c r="A315" s="152">
        <v>308</v>
      </c>
      <c r="B315" s="152" t="s">
        <v>200</v>
      </c>
      <c r="C315" s="152">
        <v>0</v>
      </c>
      <c r="D315" s="152">
        <v>0</v>
      </c>
      <c r="E315" s="152">
        <v>0</v>
      </c>
      <c r="F315" s="152">
        <v>19</v>
      </c>
      <c r="G315" s="152">
        <v>0</v>
      </c>
      <c r="H315" s="152">
        <v>-100</v>
      </c>
      <c r="I315" s="152">
        <v>0</v>
      </c>
      <c r="J315" s="152">
        <v>0</v>
      </c>
      <c r="K315" s="152">
        <v>0</v>
      </c>
      <c r="L315" s="152">
        <v>0.02</v>
      </c>
    </row>
    <row r="316" spans="1:12">
      <c r="A316" s="152">
        <v>309</v>
      </c>
      <c r="B316" s="152" t="s">
        <v>169</v>
      </c>
      <c r="C316" s="152">
        <v>0</v>
      </c>
      <c r="D316" s="152">
        <v>1</v>
      </c>
      <c r="E316" s="152">
        <v>0</v>
      </c>
      <c r="F316" s="152">
        <v>14</v>
      </c>
      <c r="G316" s="152">
        <v>-100</v>
      </c>
      <c r="H316" s="152">
        <v>-100</v>
      </c>
      <c r="I316" s="152">
        <v>0</v>
      </c>
      <c r="J316" s="152">
        <v>0</v>
      </c>
      <c r="K316" s="152">
        <v>0</v>
      </c>
      <c r="L316" s="152">
        <v>0.02</v>
      </c>
    </row>
    <row r="317" spans="1:12">
      <c r="A317" s="152">
        <v>310</v>
      </c>
      <c r="B317" s="152" t="s">
        <v>135</v>
      </c>
      <c r="C317" s="152">
        <v>0</v>
      </c>
      <c r="D317" s="152">
        <v>0</v>
      </c>
      <c r="E317" s="152">
        <v>0</v>
      </c>
      <c r="F317" s="152">
        <v>14</v>
      </c>
      <c r="G317" s="152">
        <v>0</v>
      </c>
      <c r="H317" s="152">
        <v>-100</v>
      </c>
      <c r="I317" s="152">
        <v>0</v>
      </c>
      <c r="J317" s="152">
        <v>0</v>
      </c>
      <c r="K317" s="152">
        <v>0</v>
      </c>
      <c r="L317" s="152">
        <v>0.02</v>
      </c>
    </row>
    <row r="318" spans="1:12">
      <c r="A318" s="152">
        <v>311</v>
      </c>
      <c r="B318" s="152" t="s">
        <v>1125</v>
      </c>
      <c r="C318" s="152">
        <v>0</v>
      </c>
      <c r="D318" s="152">
        <v>3</v>
      </c>
      <c r="E318" s="152">
        <v>0</v>
      </c>
      <c r="F318" s="152">
        <v>7</v>
      </c>
      <c r="G318" s="152">
        <v>-100</v>
      </c>
      <c r="H318" s="152">
        <v>-100</v>
      </c>
      <c r="I318" s="152">
        <v>0</v>
      </c>
      <c r="J318" s="152">
        <v>0</v>
      </c>
      <c r="K318" s="152">
        <v>0.01</v>
      </c>
      <c r="L318" s="152">
        <v>0.01</v>
      </c>
    </row>
    <row r="319" spans="1:12">
      <c r="A319" s="152">
        <v>312</v>
      </c>
      <c r="B319" s="152" t="s">
        <v>511</v>
      </c>
      <c r="C319" s="152">
        <v>0</v>
      </c>
      <c r="D319" s="152">
        <v>2</v>
      </c>
      <c r="E319" s="152">
        <v>0</v>
      </c>
      <c r="F319" s="152">
        <v>5</v>
      </c>
      <c r="G319" s="152">
        <v>-100</v>
      </c>
      <c r="H319" s="152">
        <v>-100</v>
      </c>
      <c r="I319" s="152">
        <v>0</v>
      </c>
      <c r="J319" s="152">
        <v>0</v>
      </c>
      <c r="K319" s="152">
        <v>0.01</v>
      </c>
      <c r="L319" s="152">
        <v>0.01</v>
      </c>
    </row>
    <row r="320" spans="1:12">
      <c r="A320" s="152">
        <v>313</v>
      </c>
      <c r="B320" s="152" t="s">
        <v>1198</v>
      </c>
      <c r="C320" s="152">
        <v>0</v>
      </c>
      <c r="D320" s="152">
        <v>5</v>
      </c>
      <c r="E320" s="152">
        <v>0</v>
      </c>
      <c r="F320" s="152">
        <v>5</v>
      </c>
      <c r="G320" s="152">
        <v>-100</v>
      </c>
      <c r="H320" s="152">
        <v>-100</v>
      </c>
      <c r="I320" s="152">
        <v>0</v>
      </c>
      <c r="J320" s="152">
        <v>0</v>
      </c>
      <c r="K320" s="152">
        <v>0.02</v>
      </c>
      <c r="L320" s="152">
        <v>0.01</v>
      </c>
    </row>
    <row r="321" spans="1:12">
      <c r="A321" s="152">
        <v>314</v>
      </c>
      <c r="B321" s="152" t="s">
        <v>622</v>
      </c>
      <c r="C321" s="152">
        <v>0</v>
      </c>
      <c r="D321" s="152">
        <v>0</v>
      </c>
      <c r="E321" s="152">
        <v>0</v>
      </c>
      <c r="F321" s="152">
        <v>3</v>
      </c>
      <c r="G321" s="152">
        <v>0</v>
      </c>
      <c r="H321" s="152">
        <v>-100</v>
      </c>
      <c r="I321" s="152">
        <v>0</v>
      </c>
      <c r="J321" s="152">
        <v>0</v>
      </c>
      <c r="K321" s="152">
        <v>0</v>
      </c>
      <c r="L321" s="152">
        <v>0</v>
      </c>
    </row>
    <row r="322" spans="1:12">
      <c r="A322" s="152">
        <v>315</v>
      </c>
      <c r="B322" s="152" t="s">
        <v>229</v>
      </c>
      <c r="C322" s="152">
        <v>0</v>
      </c>
      <c r="D322" s="152">
        <v>0</v>
      </c>
      <c r="E322" s="152">
        <v>0</v>
      </c>
      <c r="F322" s="152">
        <v>3</v>
      </c>
      <c r="G322" s="152">
        <v>0</v>
      </c>
      <c r="H322" s="152">
        <v>-100</v>
      </c>
      <c r="I322" s="152">
        <v>0</v>
      </c>
      <c r="J322" s="152">
        <v>0</v>
      </c>
      <c r="K322" s="152">
        <v>0</v>
      </c>
      <c r="L322" s="152">
        <v>0</v>
      </c>
    </row>
    <row r="323" spans="1:12">
      <c r="A323" s="152">
        <v>316</v>
      </c>
      <c r="B323" s="152" t="s">
        <v>131</v>
      </c>
      <c r="C323" s="152">
        <v>0</v>
      </c>
      <c r="D323" s="152">
        <v>0</v>
      </c>
      <c r="E323" s="152">
        <v>0</v>
      </c>
      <c r="F323" s="152">
        <v>2</v>
      </c>
      <c r="G323" s="152">
        <v>0</v>
      </c>
      <c r="H323" s="152">
        <v>-100</v>
      </c>
      <c r="I323" s="152">
        <v>0</v>
      </c>
      <c r="J323" s="152">
        <v>0</v>
      </c>
      <c r="K323" s="152">
        <v>0</v>
      </c>
      <c r="L323" s="152">
        <v>0</v>
      </c>
    </row>
    <row r="324" spans="1:12">
      <c r="A324" s="152">
        <v>317</v>
      </c>
      <c r="B324" s="152" t="s">
        <v>105</v>
      </c>
      <c r="C324" s="152">
        <v>0</v>
      </c>
      <c r="D324" s="152">
        <v>0</v>
      </c>
      <c r="E324" s="152">
        <v>0</v>
      </c>
      <c r="F324" s="152">
        <v>2</v>
      </c>
      <c r="G324" s="152">
        <v>0</v>
      </c>
      <c r="H324" s="152">
        <v>-100</v>
      </c>
      <c r="I324" s="152">
        <v>0</v>
      </c>
      <c r="J324" s="152">
        <v>0</v>
      </c>
      <c r="K324" s="152">
        <v>0</v>
      </c>
      <c r="L324" s="152">
        <v>0</v>
      </c>
    </row>
    <row r="325" spans="1:12">
      <c r="A325" s="152">
        <v>318</v>
      </c>
      <c r="B325" s="152" t="s">
        <v>1199</v>
      </c>
      <c r="C325" s="152">
        <v>0</v>
      </c>
      <c r="D325" s="152">
        <v>2</v>
      </c>
      <c r="E325" s="152">
        <v>0</v>
      </c>
      <c r="F325" s="152">
        <v>2</v>
      </c>
      <c r="G325" s="152">
        <v>-100</v>
      </c>
      <c r="H325" s="152">
        <v>-100</v>
      </c>
      <c r="I325" s="152">
        <v>0</v>
      </c>
      <c r="J325" s="152">
        <v>0</v>
      </c>
      <c r="K325" s="152">
        <v>0.01</v>
      </c>
      <c r="L325" s="152">
        <v>0</v>
      </c>
    </row>
    <row r="326" spans="1:12">
      <c r="A326" s="152">
        <v>319</v>
      </c>
      <c r="B326" s="152" t="s">
        <v>1173</v>
      </c>
      <c r="C326" s="152">
        <v>0</v>
      </c>
      <c r="D326" s="152">
        <v>0</v>
      </c>
      <c r="E326" s="152">
        <v>0</v>
      </c>
      <c r="F326" s="152">
        <v>1</v>
      </c>
      <c r="G326" s="152">
        <v>0</v>
      </c>
      <c r="H326" s="152">
        <v>-100</v>
      </c>
      <c r="I326" s="152">
        <v>0</v>
      </c>
      <c r="J326" s="152">
        <v>0</v>
      </c>
      <c r="K326" s="152">
        <v>0</v>
      </c>
      <c r="L326" s="152">
        <v>0</v>
      </c>
    </row>
    <row r="327" spans="1:12">
      <c r="A327" s="152">
        <v>320</v>
      </c>
      <c r="B327" s="152" t="s">
        <v>1172</v>
      </c>
      <c r="C327" s="152">
        <v>0</v>
      </c>
      <c r="D327" s="152">
        <v>0</v>
      </c>
      <c r="E327" s="152">
        <v>0</v>
      </c>
      <c r="F327" s="152">
        <v>1</v>
      </c>
      <c r="G327" s="152">
        <v>0</v>
      </c>
      <c r="H327" s="152">
        <v>-100</v>
      </c>
      <c r="I327" s="152">
        <v>0</v>
      </c>
      <c r="J327" s="152">
        <v>0</v>
      </c>
      <c r="K327" s="152">
        <v>0</v>
      </c>
      <c r="L327" s="152">
        <v>0</v>
      </c>
    </row>
    <row r="328" spans="1:12">
      <c r="A328" s="152">
        <v>321</v>
      </c>
      <c r="B328" s="152" t="s">
        <v>1128</v>
      </c>
      <c r="C328" s="152">
        <v>0</v>
      </c>
      <c r="D328" s="152">
        <v>0</v>
      </c>
      <c r="E328" s="152">
        <v>0</v>
      </c>
      <c r="F328" s="152">
        <v>1</v>
      </c>
      <c r="G328" s="152">
        <v>0</v>
      </c>
      <c r="H328" s="152">
        <v>-100</v>
      </c>
      <c r="I328" s="152">
        <v>0</v>
      </c>
      <c r="J328" s="152">
        <v>0</v>
      </c>
      <c r="K328" s="152">
        <v>0</v>
      </c>
      <c r="L328" s="152">
        <v>0</v>
      </c>
    </row>
    <row r="329" spans="1:12">
      <c r="A329" s="152">
        <v>322</v>
      </c>
      <c r="B329" s="152" t="s">
        <v>1200</v>
      </c>
      <c r="C329" s="152">
        <v>0</v>
      </c>
      <c r="D329" s="152">
        <v>1</v>
      </c>
      <c r="E329" s="152">
        <v>0</v>
      </c>
      <c r="F329" s="152">
        <v>1</v>
      </c>
      <c r="G329" s="152">
        <v>-100</v>
      </c>
      <c r="H329" s="152">
        <v>-100</v>
      </c>
      <c r="I329" s="152">
        <v>0</v>
      </c>
      <c r="J329" s="152">
        <v>0</v>
      </c>
      <c r="K329" s="152">
        <v>0</v>
      </c>
      <c r="L329" s="152">
        <v>0</v>
      </c>
    </row>
    <row r="330" spans="1:12">
      <c r="A330" s="152">
        <v>323</v>
      </c>
      <c r="B330" s="152" t="s">
        <v>1201</v>
      </c>
      <c r="C330" s="152">
        <v>0</v>
      </c>
      <c r="D330" s="152">
        <v>1</v>
      </c>
      <c r="E330" s="152">
        <v>0</v>
      </c>
      <c r="F330" s="152">
        <v>1</v>
      </c>
      <c r="G330" s="152">
        <v>-100</v>
      </c>
      <c r="H330" s="152">
        <v>-100</v>
      </c>
      <c r="I330" s="152">
        <v>0</v>
      </c>
      <c r="J330" s="152">
        <v>0</v>
      </c>
      <c r="K330" s="152">
        <v>0</v>
      </c>
      <c r="L330" s="152">
        <v>0</v>
      </c>
    </row>
    <row r="331" spans="1:12">
      <c r="A331" s="152">
        <v>324</v>
      </c>
      <c r="B331" s="152" t="s">
        <v>219</v>
      </c>
      <c r="C331" s="152">
        <v>23</v>
      </c>
      <c r="D331" s="152">
        <v>22</v>
      </c>
      <c r="E331" s="152">
        <v>56</v>
      </c>
      <c r="F331" s="152">
        <v>59</v>
      </c>
      <c r="G331" s="152">
        <v>4.55</v>
      </c>
      <c r="H331" s="152">
        <v>-5.08</v>
      </c>
      <c r="I331" s="152">
        <v>0.11</v>
      </c>
      <c r="J331" s="152">
        <v>7.0000000000000007E-2</v>
      </c>
      <c r="K331" s="152">
        <v>0.1</v>
      </c>
      <c r="L331" s="152">
        <v>0.06</v>
      </c>
    </row>
    <row r="332" spans="1:12">
      <c r="A332" s="152"/>
      <c r="B332" s="153" t="s">
        <v>477</v>
      </c>
      <c r="C332" s="152">
        <f>SUBTOTAL(109,getAggModelsPB[antalPerioden])</f>
        <v>20586</v>
      </c>
      <c r="D332" s="152">
        <f>SUBTOTAL(109,getAggModelsPB[antalFGPeriod])</f>
        <v>21942</v>
      </c>
      <c r="E332" s="152">
        <f>SUBTOTAL(109,getAggModelsPB[antalÅret])</f>
        <v>83890</v>
      </c>
      <c r="F332" s="152">
        <f>SUBTOTAL(109,getAggModelsPB[antalFGAr])</f>
        <v>91681</v>
      </c>
      <c r="G332" s="154">
        <f>IF(getAggModelsPB[[#Totals],[antalFGPeriod]] &gt; 0,(getAggModelsPB[[#Totals],[antalPerioden]] - getAggModelsPB[[#Totals],[antalFGPeriod]] ) / getAggModelsPB[[#Totals],[antalFGPeriod]] * 100,0)</f>
        <v>-6.179928903472792</v>
      </c>
      <c r="H332" s="154">
        <f>IF(getAggModelsPB[[#Totals],[antalFGAr]] &gt; 0,(getAggModelsPB[[#Totals],[antalÅret]] - getAggModelsPB[[#Totals],[antalFGAr]]) / getAggModelsPB[[#Totals],[antalFGAr]] * 100,0)</f>
        <v>-8.4979439578538631</v>
      </c>
      <c r="I332" s="155" t="str">
        <f>TEXT(100,"0,00")</f>
        <v>100,00</v>
      </c>
      <c r="J332" s="155" t="str">
        <f>TEXT(100,"0,00")</f>
        <v>100,00</v>
      </c>
      <c r="K332" s="155" t="str">
        <f>TEXT(100,"0,00")</f>
        <v>100,00</v>
      </c>
      <c r="L332" s="155" t="str">
        <f>TEXT(100,"0,00")</f>
        <v>100,00</v>
      </c>
    </row>
    <row r="333" spans="1:12">
      <c r="A333" s="152"/>
      <c r="B333" s="152"/>
      <c r="C333" s="152"/>
      <c r="D333" s="152"/>
      <c r="E333" s="152"/>
      <c r="F333" s="152"/>
      <c r="G333" s="152"/>
      <c r="H333" s="152"/>
      <c r="I333" s="152"/>
      <c r="J333" s="152"/>
      <c r="K333" s="152"/>
      <c r="L333" s="152"/>
    </row>
    <row r="334" spans="1:12">
      <c r="A334" s="152"/>
      <c r="B334" s="152"/>
      <c r="C334" s="152"/>
      <c r="D334" s="152"/>
      <c r="E334" s="152"/>
      <c r="F334" s="152"/>
      <c r="G334" s="152"/>
      <c r="H334" s="152"/>
      <c r="I334" s="152"/>
      <c r="J334" s="152"/>
      <c r="K334" s="152"/>
      <c r="L334" s="152"/>
    </row>
    <row r="335" spans="1:12">
      <c r="A335" s="152"/>
      <c r="B335" s="152" t="s">
        <v>707</v>
      </c>
      <c r="C335" s="152"/>
      <c r="D335" s="152"/>
      <c r="E335" s="152"/>
      <c r="F335" s="152"/>
      <c r="G335" s="152"/>
      <c r="H335" s="152"/>
      <c r="I335" s="152"/>
      <c r="J335" s="152"/>
      <c r="K335" s="152"/>
      <c r="L335" s="152"/>
    </row>
    <row r="336" spans="1:12">
      <c r="A336" s="152"/>
      <c r="B336" s="152"/>
      <c r="C336" s="152"/>
      <c r="D336" s="152"/>
      <c r="E336" s="152"/>
      <c r="F336" s="152"/>
      <c r="G336" s="152"/>
      <c r="H336" s="152"/>
      <c r="I336" s="152"/>
      <c r="J336" s="152"/>
      <c r="K336" s="152"/>
      <c r="L336" s="152"/>
    </row>
    <row r="337" spans="1:12">
      <c r="A337" s="152"/>
      <c r="B337" s="152"/>
      <c r="C337" s="152"/>
      <c r="D337" s="152"/>
      <c r="E337" s="152"/>
      <c r="F337" s="152"/>
      <c r="G337" s="152"/>
      <c r="H337" s="152"/>
      <c r="I337" s="152"/>
      <c r="J337" s="152"/>
      <c r="K337" s="152"/>
      <c r="L337" s="152"/>
    </row>
    <row r="338" spans="1:12">
      <c r="A338" s="152"/>
      <c r="B338" s="152"/>
      <c r="C338" s="152"/>
      <c r="D338" s="152"/>
      <c r="E338" s="152"/>
      <c r="F338" s="152"/>
      <c r="G338" s="152"/>
      <c r="H338" s="152"/>
      <c r="I338" s="152"/>
      <c r="J338" s="152"/>
      <c r="K338" s="152"/>
      <c r="L338" s="152"/>
    </row>
    <row r="339" spans="1:12">
      <c r="A339" s="152"/>
      <c r="B339" s="152"/>
      <c r="C339" s="152"/>
      <c r="D339" s="152"/>
      <c r="E339" s="152"/>
      <c r="F339" s="152"/>
      <c r="G339" s="152"/>
      <c r="H339" s="152"/>
      <c r="I339" s="152"/>
      <c r="J339" s="152"/>
      <c r="K339" s="152"/>
      <c r="L339" s="152"/>
    </row>
    <row r="340" spans="1:12">
      <c r="A340" s="152"/>
      <c r="B340" s="152"/>
      <c r="C340" s="152"/>
      <c r="D340" s="152"/>
      <c r="E340" s="152"/>
      <c r="F340" s="152"/>
      <c r="G340" s="152"/>
      <c r="H340" s="152"/>
      <c r="I340" s="152"/>
      <c r="J340" s="152"/>
      <c r="K340" s="152"/>
      <c r="L340" s="152"/>
    </row>
    <row r="341" spans="1:12">
      <c r="A341" s="152"/>
      <c r="B341" s="152"/>
      <c r="C341" s="152"/>
      <c r="D341" s="152"/>
      <c r="E341" s="152"/>
      <c r="F341" s="152"/>
      <c r="G341" s="152"/>
      <c r="H341" s="152"/>
      <c r="I341" s="152"/>
      <c r="J341" s="152"/>
      <c r="K341" s="152"/>
      <c r="L341" s="152"/>
    </row>
    <row r="342" spans="1:12">
      <c r="A342" s="152"/>
      <c r="B342" s="152"/>
      <c r="C342" s="152"/>
      <c r="D342" s="152"/>
      <c r="E342" s="152"/>
      <c r="F342" s="152"/>
      <c r="G342" s="152"/>
      <c r="H342" s="152"/>
      <c r="I342" s="152"/>
      <c r="J342" s="152"/>
      <c r="K342" s="152"/>
      <c r="L342" s="152"/>
    </row>
    <row r="343" spans="1:12">
      <c r="A343" s="152"/>
      <c r="B343" s="152"/>
      <c r="C343" s="152"/>
      <c r="D343" s="152"/>
      <c r="E343" s="152"/>
      <c r="F343" s="152"/>
      <c r="G343" s="152"/>
      <c r="H343" s="152"/>
      <c r="I343" s="152"/>
      <c r="J343" s="152"/>
      <c r="K343" s="152"/>
      <c r="L343" s="152"/>
    </row>
    <row r="344" spans="1:12">
      <c r="A344" s="152"/>
      <c r="B344" s="152"/>
      <c r="C344" s="152"/>
      <c r="D344" s="152"/>
      <c r="E344" s="152"/>
      <c r="F344" s="152"/>
      <c r="G344" s="152"/>
      <c r="H344" s="152"/>
      <c r="I344" s="152"/>
      <c r="J344" s="152"/>
      <c r="K344" s="152"/>
      <c r="L344" s="152"/>
    </row>
    <row r="345" spans="1:12">
      <c r="A345" s="152"/>
      <c r="B345" s="152"/>
      <c r="C345" s="152"/>
      <c r="D345" s="152"/>
      <c r="E345" s="152"/>
      <c r="F345" s="152"/>
      <c r="G345" s="152"/>
      <c r="H345" s="152"/>
      <c r="I345" s="152"/>
      <c r="J345" s="152"/>
      <c r="K345" s="152"/>
      <c r="L345" s="152"/>
    </row>
    <row r="346" spans="1:12">
      <c r="A346" s="152"/>
      <c r="B346" s="152"/>
      <c r="C346" s="152"/>
      <c r="D346" s="152"/>
      <c r="E346" s="152"/>
      <c r="F346" s="152"/>
      <c r="G346" s="152"/>
      <c r="H346" s="152"/>
      <c r="I346" s="152"/>
      <c r="J346" s="152"/>
      <c r="K346" s="152"/>
      <c r="L346" s="152"/>
    </row>
    <row r="347" spans="1:12">
      <c r="A347" s="152"/>
      <c r="B347" s="152"/>
      <c r="C347" s="152"/>
      <c r="D347" s="152"/>
      <c r="E347" s="152"/>
      <c r="F347" s="152"/>
      <c r="G347" s="152"/>
      <c r="H347" s="152"/>
      <c r="I347" s="152"/>
      <c r="J347" s="152"/>
      <c r="K347" s="152"/>
      <c r="L347" s="152"/>
    </row>
    <row r="348" spans="1:12">
      <c r="A348" s="152"/>
      <c r="B348" s="152"/>
      <c r="C348" s="152"/>
      <c r="D348" s="152"/>
      <c r="E348" s="152"/>
      <c r="F348" s="152"/>
      <c r="G348" s="152"/>
      <c r="H348" s="152"/>
      <c r="I348" s="152"/>
      <c r="J348" s="152"/>
      <c r="K348" s="152"/>
      <c r="L348" s="152"/>
    </row>
    <row r="349" spans="1:12">
      <c r="A349" s="152"/>
      <c r="B349" s="152"/>
      <c r="C349" s="152"/>
      <c r="D349" s="152"/>
      <c r="E349" s="152"/>
      <c r="F349" s="152"/>
      <c r="G349" s="152"/>
      <c r="H349" s="152"/>
      <c r="I349" s="152"/>
      <c r="J349" s="152"/>
      <c r="K349" s="152"/>
      <c r="L349" s="152"/>
    </row>
    <row r="350" spans="1:12">
      <c r="A350" s="152"/>
      <c r="B350" s="152"/>
      <c r="C350" s="152"/>
      <c r="D350" s="152"/>
      <c r="E350" s="152"/>
      <c r="F350" s="152"/>
      <c r="G350" s="152"/>
      <c r="H350" s="152"/>
      <c r="I350" s="152"/>
      <c r="J350" s="152"/>
      <c r="K350" s="152"/>
      <c r="L350" s="152"/>
    </row>
    <row r="351" spans="1:12">
      <c r="A351" s="152"/>
      <c r="B351" s="152"/>
      <c r="C351" s="152"/>
      <c r="D351" s="152"/>
      <c r="E351" s="152"/>
      <c r="F351" s="152"/>
      <c r="G351" s="152"/>
      <c r="H351" s="152"/>
      <c r="I351" s="152"/>
      <c r="J351" s="152"/>
      <c r="K351" s="152"/>
      <c r="L351" s="152"/>
    </row>
    <row r="352" spans="1:12">
      <c r="A352" s="152"/>
      <c r="B352" s="152"/>
      <c r="C352" s="152"/>
      <c r="D352" s="152"/>
      <c r="E352" s="152"/>
      <c r="F352" s="152"/>
      <c r="G352" s="152"/>
      <c r="H352" s="152"/>
      <c r="I352" s="152"/>
      <c r="J352" s="152"/>
      <c r="K352" s="152"/>
      <c r="L352" s="152"/>
    </row>
    <row r="353" spans="1:12">
      <c r="A353" s="152"/>
      <c r="B353" s="152"/>
      <c r="C353" s="152"/>
      <c r="D353" s="152"/>
      <c r="E353" s="152"/>
      <c r="F353" s="152"/>
      <c r="G353" s="152"/>
      <c r="H353" s="152"/>
      <c r="I353" s="152"/>
      <c r="J353" s="152"/>
      <c r="K353" s="152"/>
      <c r="L353" s="152"/>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01"/>
  <sheetViews>
    <sheetView zoomScaleNormal="100" workbookViewId="0">
      <pane ySplit="9" topLeftCell="A10" activePane="bottomLeft" state="frozen"/>
      <selection pane="bottomLeft" activeCell="Q68" sqref="Q68"/>
    </sheetView>
  </sheetViews>
  <sheetFormatPr baseColWidth="10" defaultColWidth="8.83203125" defaultRowHeight="14" outlineLevelRow="1"/>
  <cols>
    <col min="1" max="1" width="6.5" style="40" customWidth="1"/>
    <col min="2" max="2" width="18.5" style="27" customWidth="1"/>
    <col min="3" max="3" width="4.1640625" style="186" customWidth="1"/>
    <col min="4" max="4" width="3.5" style="187" customWidth="1"/>
    <col min="5" max="6" width="7.6640625" style="27" customWidth="1"/>
    <col min="7" max="7" width="8.5" style="27" customWidth="1"/>
    <col min="8" max="8" width="9.5" style="27" bestFit="1" customWidth="1"/>
    <col min="9" max="9" width="8.6640625" style="27" customWidth="1"/>
    <col min="10" max="11" width="7.6640625" style="27" customWidth="1"/>
    <col min="12" max="12" width="8.5" style="27" customWidth="1"/>
    <col min="13" max="16384" width="8.83203125" style="27"/>
  </cols>
  <sheetData>
    <row r="1" spans="1:19" ht="20" thickBot="1">
      <c r="E1" s="249" t="s">
        <v>1219</v>
      </c>
      <c r="F1" s="249"/>
      <c r="G1" s="249"/>
      <c r="H1" s="249"/>
      <c r="I1" s="249"/>
      <c r="J1" s="249"/>
      <c r="K1" s="249"/>
      <c r="L1" s="249"/>
      <c r="M1" s="249"/>
      <c r="N1" s="249"/>
    </row>
    <row r="2" spans="1:19" ht="3.75" customHeight="1">
      <c r="E2" s="188"/>
      <c r="F2" s="188"/>
      <c r="G2" s="188"/>
    </row>
    <row r="3" spans="1:19">
      <c r="G3" s="189" t="s">
        <v>740</v>
      </c>
      <c r="H3" s="190">
        <f>CntPeriod/RegDagar</f>
        <v>1029.3</v>
      </c>
      <c r="J3" s="191" t="s">
        <v>741</v>
      </c>
      <c r="K3" s="192">
        <v>20</v>
      </c>
      <c r="L3" s="192"/>
    </row>
    <row r="4" spans="1:19">
      <c r="G4" s="189" t="s">
        <v>742</v>
      </c>
      <c r="H4" s="191">
        <f>CntPeriod</f>
        <v>20586</v>
      </c>
      <c r="J4" s="191"/>
      <c r="K4" s="191"/>
      <c r="L4" s="191"/>
      <c r="M4" s="191"/>
    </row>
    <row r="5" spans="1:19" ht="13.25" customHeight="1">
      <c r="B5" s="191"/>
      <c r="C5" s="193"/>
      <c r="E5" s="194"/>
      <c r="F5" s="191"/>
      <c r="G5" s="191"/>
      <c r="H5" s="191"/>
      <c r="I5" s="191"/>
      <c r="J5" s="191"/>
      <c r="K5" s="191"/>
      <c r="L5" s="191"/>
    </row>
    <row r="6" spans="1:19">
      <c r="E6" s="250" t="s">
        <v>743</v>
      </c>
      <c r="F6" s="251"/>
      <c r="G6" s="251"/>
      <c r="H6" s="251"/>
      <c r="I6" s="252"/>
      <c r="J6" s="250" t="s">
        <v>744</v>
      </c>
      <c r="K6" s="251"/>
      <c r="L6" s="251"/>
      <c r="M6" s="251"/>
      <c r="N6" s="252"/>
      <c r="R6" s="195"/>
      <c r="S6" s="195"/>
    </row>
    <row r="7" spans="1:19">
      <c r="A7" s="242" t="s">
        <v>745</v>
      </c>
      <c r="B7" s="242"/>
      <c r="C7" s="242"/>
      <c r="D7" s="253"/>
      <c r="E7" s="254" t="s">
        <v>1220</v>
      </c>
      <c r="F7" s="255"/>
      <c r="G7" s="255"/>
      <c r="H7" s="255"/>
      <c r="I7" s="256"/>
      <c r="J7" s="257" t="s">
        <v>746</v>
      </c>
      <c r="K7" s="258"/>
      <c r="L7" s="258"/>
      <c r="M7" s="258"/>
      <c r="N7" s="259"/>
    </row>
    <row r="8" spans="1:19" ht="13.25" customHeight="1">
      <c r="A8" s="196" t="s">
        <v>747</v>
      </c>
      <c r="E8" s="260" t="s">
        <v>748</v>
      </c>
      <c r="F8" s="261"/>
      <c r="G8" s="240" t="s">
        <v>749</v>
      </c>
      <c r="H8" s="260" t="s">
        <v>564</v>
      </c>
      <c r="I8" s="262"/>
      <c r="J8" s="260" t="s">
        <v>748</v>
      </c>
      <c r="K8" s="261"/>
      <c r="L8" s="240" t="s">
        <v>749</v>
      </c>
      <c r="M8" s="260" t="s">
        <v>564</v>
      </c>
      <c r="N8" s="262"/>
    </row>
    <row r="9" spans="1:19">
      <c r="A9" s="196" t="s">
        <v>750</v>
      </c>
      <c r="B9" s="195" t="s">
        <v>476</v>
      </c>
      <c r="C9" s="197"/>
      <c r="E9" s="198">
        <v>2023</v>
      </c>
      <c r="F9" s="199">
        <v>2022</v>
      </c>
      <c r="G9" s="200" t="s">
        <v>751</v>
      </c>
      <c r="H9" s="199">
        <v>2023</v>
      </c>
      <c r="I9" s="201">
        <v>2022</v>
      </c>
      <c r="J9" s="198">
        <v>2023</v>
      </c>
      <c r="K9" s="199">
        <v>2022</v>
      </c>
      <c r="L9" s="200" t="s">
        <v>751</v>
      </c>
      <c r="M9" s="199">
        <v>2023</v>
      </c>
      <c r="N9" s="201">
        <v>2022</v>
      </c>
    </row>
    <row r="10" spans="1:19" collapsed="1">
      <c r="A10" s="196" t="s">
        <v>752</v>
      </c>
      <c r="B10" s="195" t="s">
        <v>305</v>
      </c>
      <c r="C10" s="202">
        <f t="shared" ref="C10:C73" si="0">IF(K10=0,"",SUM(((J10-K10)/K10)*100))</f>
        <v>-21.487026581234538</v>
      </c>
      <c r="E10" s="198">
        <v>3012</v>
      </c>
      <c r="F10" s="199">
        <v>3319</v>
      </c>
      <c r="G10" s="203">
        <f t="shared" ref="G10:G73" si="1">IF(F10=0,"",SUM(((E10-F10)/F10)*100))</f>
        <v>-9.2497740283217826</v>
      </c>
      <c r="H10" s="204">
        <f t="shared" ref="H10:H73" si="2">IF(E10=0,"",SUM((E10/CntPeriod)*100))</f>
        <v>14.631302827164092</v>
      </c>
      <c r="I10" s="204">
        <f t="shared" ref="I10:I73" si="3">IF(F10=0,"",SUM((F10/CntPeriodPrevYear)*100))</f>
        <v>15.126241910491295</v>
      </c>
      <c r="J10" s="198">
        <v>12376</v>
      </c>
      <c r="K10" s="199">
        <v>15763</v>
      </c>
      <c r="L10" s="203">
        <f t="shared" ref="L10:L73" si="4">IF(K10=0,"",SUM(((J10-K10)/K10)*100))</f>
        <v>-21.487026581234538</v>
      </c>
      <c r="M10" s="204">
        <f t="shared" ref="M10:M73" si="5">IF(J10=0,"",SUM((J10/CntYearAck)*100))</f>
        <v>14.752652282751221</v>
      </c>
      <c r="N10" s="205">
        <f t="shared" ref="N10:N73" si="6">IF(K10=0,"",SUM((K10/CntPrevYearAck)*100))</f>
        <v>17.193311591278455</v>
      </c>
    </row>
    <row r="11" spans="1:19" hidden="1" outlineLevel="1">
      <c r="A11" s="196"/>
      <c r="B11" s="206" t="s">
        <v>753</v>
      </c>
      <c r="C11" s="202">
        <f t="shared" si="0"/>
        <v>-18.697106868726628</v>
      </c>
      <c r="E11" s="198">
        <v>848</v>
      </c>
      <c r="F11" s="199">
        <v>1148</v>
      </c>
      <c r="G11" s="207">
        <f t="shared" si="1"/>
        <v>-26.132404181184672</v>
      </c>
      <c r="H11" s="204">
        <f t="shared" si="2"/>
        <v>4.1193043816185755</v>
      </c>
      <c r="I11" s="204">
        <f t="shared" si="3"/>
        <v>5.2319752073648713</v>
      </c>
      <c r="J11" s="198">
        <v>4131</v>
      </c>
      <c r="K11" s="199">
        <v>5081</v>
      </c>
      <c r="L11" s="207">
        <f t="shared" si="4"/>
        <v>-18.697106868726628</v>
      </c>
      <c r="M11" s="204">
        <f t="shared" si="5"/>
        <v>4.9243056383359161</v>
      </c>
      <c r="N11" s="205">
        <f t="shared" si="6"/>
        <v>5.5420425169882526</v>
      </c>
    </row>
    <row r="12" spans="1:19" hidden="1" outlineLevel="1">
      <c r="A12" s="196"/>
      <c r="B12" s="206" t="s">
        <v>754</v>
      </c>
      <c r="C12" s="202">
        <f t="shared" si="0"/>
        <v>-14.594866633115251</v>
      </c>
      <c r="E12" s="198">
        <v>999</v>
      </c>
      <c r="F12" s="199">
        <v>774</v>
      </c>
      <c r="G12" s="207">
        <f t="shared" si="1"/>
        <v>29.069767441860467</v>
      </c>
      <c r="H12" s="204">
        <f t="shared" si="2"/>
        <v>4.8528125910813174</v>
      </c>
      <c r="I12" s="204">
        <f t="shared" si="3"/>
        <v>3.5274815422477444</v>
      </c>
      <c r="J12" s="198">
        <v>3394</v>
      </c>
      <c r="K12" s="199">
        <v>3974</v>
      </c>
      <c r="L12" s="207">
        <f t="shared" si="4"/>
        <v>-14.594866633115251</v>
      </c>
      <c r="M12" s="204">
        <f t="shared" si="5"/>
        <v>4.0457742281559188</v>
      </c>
      <c r="N12" s="205">
        <f t="shared" si="6"/>
        <v>4.334594954243518</v>
      </c>
    </row>
    <row r="13" spans="1:19" hidden="1" outlineLevel="1">
      <c r="A13" s="196"/>
      <c r="B13" s="206" t="s">
        <v>755</v>
      </c>
      <c r="C13" s="202">
        <f t="shared" si="0"/>
        <v>-45.93712930011862</v>
      </c>
      <c r="E13" s="198">
        <v>346</v>
      </c>
      <c r="F13" s="199">
        <v>747</v>
      </c>
      <c r="G13" s="207">
        <f t="shared" si="1"/>
        <v>-53.681392235609103</v>
      </c>
      <c r="H13" s="204">
        <f t="shared" si="2"/>
        <v>1.6807539104245606</v>
      </c>
      <c r="I13" s="204">
        <f t="shared" si="3"/>
        <v>3.4044298605414274</v>
      </c>
      <c r="J13" s="198">
        <v>1823</v>
      </c>
      <c r="K13" s="199">
        <v>3372</v>
      </c>
      <c r="L13" s="207">
        <f t="shared" si="4"/>
        <v>-45.93712930011862</v>
      </c>
      <c r="M13" s="204">
        <f t="shared" si="5"/>
        <v>2.1730838002145667</v>
      </c>
      <c r="N13" s="205">
        <f t="shared" si="6"/>
        <v>3.6779703537265083</v>
      </c>
    </row>
    <row r="14" spans="1:19" hidden="1" outlineLevel="1">
      <c r="A14" s="196"/>
      <c r="B14" s="206" t="s">
        <v>758</v>
      </c>
      <c r="C14" s="202">
        <f t="shared" si="0"/>
        <v>276.10921501706486</v>
      </c>
      <c r="E14" s="198">
        <v>261</v>
      </c>
      <c r="F14" s="199">
        <v>63</v>
      </c>
      <c r="G14" s="207">
        <f t="shared" si="1"/>
        <v>314.28571428571428</v>
      </c>
      <c r="H14" s="204">
        <f t="shared" si="2"/>
        <v>1.2678519382104343</v>
      </c>
      <c r="I14" s="204">
        <f t="shared" si="3"/>
        <v>0.28712059064807222</v>
      </c>
      <c r="J14" s="198">
        <v>1102</v>
      </c>
      <c r="K14" s="199">
        <v>293</v>
      </c>
      <c r="L14" s="207">
        <f t="shared" si="4"/>
        <v>276.10921501706486</v>
      </c>
      <c r="M14" s="204">
        <f t="shared" si="5"/>
        <v>1.3136249850995352</v>
      </c>
      <c r="N14" s="205">
        <f t="shared" si="6"/>
        <v>0.31958639194598659</v>
      </c>
    </row>
    <row r="15" spans="1:19" hidden="1" outlineLevel="1">
      <c r="A15" s="196"/>
      <c r="B15" s="206" t="s">
        <v>756</v>
      </c>
      <c r="C15" s="202">
        <f t="shared" si="0"/>
        <v>-52.5635103926097</v>
      </c>
      <c r="E15" s="198">
        <v>295</v>
      </c>
      <c r="F15" s="199">
        <v>411</v>
      </c>
      <c r="G15" s="207">
        <f t="shared" si="1"/>
        <v>-28.223844282238442</v>
      </c>
      <c r="H15" s="204">
        <f t="shared" si="2"/>
        <v>1.4330127270960846</v>
      </c>
      <c r="I15" s="204">
        <f t="shared" si="3"/>
        <v>1.8731200437517093</v>
      </c>
      <c r="J15" s="198">
        <v>1027</v>
      </c>
      <c r="K15" s="199">
        <v>2165</v>
      </c>
      <c r="L15" s="207">
        <f t="shared" si="4"/>
        <v>-52.5635103926097</v>
      </c>
      <c r="M15" s="204">
        <f t="shared" si="5"/>
        <v>1.224222195732507</v>
      </c>
      <c r="N15" s="205">
        <f t="shared" si="6"/>
        <v>2.3614489370752936</v>
      </c>
    </row>
    <row r="16" spans="1:19" hidden="1" outlineLevel="1">
      <c r="A16" s="196"/>
      <c r="B16" s="206" t="s">
        <v>757</v>
      </c>
      <c r="C16" s="202">
        <f t="shared" si="0"/>
        <v>-2.42914979757085</v>
      </c>
      <c r="E16" s="198">
        <v>222</v>
      </c>
      <c r="F16" s="199">
        <v>152</v>
      </c>
      <c r="G16" s="207">
        <f t="shared" si="1"/>
        <v>46.05263157894737</v>
      </c>
      <c r="H16" s="204">
        <f t="shared" si="2"/>
        <v>1.0784027980180706</v>
      </c>
      <c r="I16" s="204">
        <f t="shared" si="3"/>
        <v>0.69273539330963452</v>
      </c>
      <c r="J16" s="198">
        <v>723</v>
      </c>
      <c r="K16" s="199">
        <v>741</v>
      </c>
      <c r="L16" s="207">
        <f t="shared" si="4"/>
        <v>-2.42914979757085</v>
      </c>
      <c r="M16" s="204">
        <f t="shared" si="5"/>
        <v>0.86184288949815235</v>
      </c>
      <c r="N16" s="205">
        <f t="shared" si="6"/>
        <v>0.80823725744701735</v>
      </c>
    </row>
    <row r="17" spans="1:14" hidden="1" outlineLevel="1">
      <c r="A17" s="196"/>
      <c r="B17" s="206" t="s">
        <v>759</v>
      </c>
      <c r="C17" s="202">
        <f t="shared" si="0"/>
        <v>29.411764705882355</v>
      </c>
      <c r="E17" s="198">
        <v>41</v>
      </c>
      <c r="F17" s="199">
        <v>24</v>
      </c>
      <c r="G17" s="207">
        <f t="shared" si="1"/>
        <v>70.833333333333343</v>
      </c>
      <c r="H17" s="204">
        <f t="shared" si="2"/>
        <v>0.19916448071504905</v>
      </c>
      <c r="I17" s="204">
        <f t="shared" si="3"/>
        <v>0.10937927262783702</v>
      </c>
      <c r="J17" s="198">
        <v>176</v>
      </c>
      <c r="K17" s="199">
        <v>136</v>
      </c>
      <c r="L17" s="207">
        <f t="shared" si="4"/>
        <v>29.411764705882355</v>
      </c>
      <c r="M17" s="204">
        <f t="shared" si="5"/>
        <v>0.20979854571462628</v>
      </c>
      <c r="N17" s="205">
        <f t="shared" si="6"/>
        <v>0.1483404413128129</v>
      </c>
    </row>
    <row r="18" spans="1:14" hidden="1" outlineLevel="1">
      <c r="A18" s="196"/>
      <c r="B18" s="206" t="s">
        <v>1181</v>
      </c>
      <c r="C18" s="202">
        <f t="shared" si="0"/>
        <v>-100</v>
      </c>
      <c r="E18" s="198">
        <v>0</v>
      </c>
      <c r="F18" s="199">
        <v>0</v>
      </c>
      <c r="G18" s="207" t="str">
        <f t="shared" si="1"/>
        <v/>
      </c>
      <c r="H18" s="204" t="str">
        <f t="shared" si="2"/>
        <v/>
      </c>
      <c r="I18" s="204" t="str">
        <f t="shared" si="3"/>
        <v/>
      </c>
      <c r="J18" s="198">
        <v>0</v>
      </c>
      <c r="K18" s="199">
        <v>1</v>
      </c>
      <c r="L18" s="207">
        <f t="shared" si="4"/>
        <v>-100</v>
      </c>
      <c r="M18" s="204" t="str">
        <f t="shared" si="5"/>
        <v/>
      </c>
      <c r="N18" s="205">
        <f t="shared" si="6"/>
        <v>1.0907385390648008E-3</v>
      </c>
    </row>
    <row r="19" spans="1:14" collapsed="1">
      <c r="A19" s="196" t="s">
        <v>1146</v>
      </c>
      <c r="B19" s="195" t="s">
        <v>770</v>
      </c>
      <c r="C19" s="202">
        <f t="shared" si="0"/>
        <v>-8.2493027247371806</v>
      </c>
      <c r="E19" s="198">
        <v>2515</v>
      </c>
      <c r="F19" s="199">
        <v>2179</v>
      </c>
      <c r="G19" s="207">
        <f t="shared" si="1"/>
        <v>15.419917393299679</v>
      </c>
      <c r="H19" s="204">
        <f t="shared" si="2"/>
        <v>12.217040707276789</v>
      </c>
      <c r="I19" s="204">
        <f t="shared" si="3"/>
        <v>9.9307264606690371</v>
      </c>
      <c r="J19" s="198">
        <v>8553</v>
      </c>
      <c r="K19" s="199">
        <v>9322</v>
      </c>
      <c r="L19" s="207">
        <f t="shared" si="4"/>
        <v>-8.2493027247371806</v>
      </c>
      <c r="M19" s="204">
        <f t="shared" si="5"/>
        <v>10.195494099415901</v>
      </c>
      <c r="N19" s="205">
        <f t="shared" si="6"/>
        <v>10.167864661162072</v>
      </c>
    </row>
    <row r="20" spans="1:14" hidden="1" outlineLevel="1">
      <c r="A20" s="196"/>
      <c r="B20" s="206" t="s">
        <v>771</v>
      </c>
      <c r="C20" s="202">
        <f t="shared" si="0"/>
        <v>4.5454545454545459</v>
      </c>
      <c r="E20" s="198">
        <v>661</v>
      </c>
      <c r="F20" s="199">
        <v>420</v>
      </c>
      <c r="G20" s="207">
        <f t="shared" si="1"/>
        <v>57.38095238095238</v>
      </c>
      <c r="H20" s="204">
        <f t="shared" si="2"/>
        <v>3.2109200427474982</v>
      </c>
      <c r="I20" s="204">
        <f t="shared" si="3"/>
        <v>1.9141372709871478</v>
      </c>
      <c r="J20" s="198">
        <v>2553</v>
      </c>
      <c r="K20" s="199">
        <v>2442</v>
      </c>
      <c r="L20" s="207">
        <f t="shared" si="4"/>
        <v>4.5454545454545459</v>
      </c>
      <c r="M20" s="204">
        <f t="shared" si="5"/>
        <v>3.0432709500536417</v>
      </c>
      <c r="N20" s="205">
        <f t="shared" si="6"/>
        <v>2.6635835123962432</v>
      </c>
    </row>
    <row r="21" spans="1:14" hidden="1" outlineLevel="1">
      <c r="A21" s="196"/>
      <c r="B21" s="206" t="s">
        <v>778</v>
      </c>
      <c r="C21" s="202">
        <f t="shared" si="0"/>
        <v>83.539094650205755</v>
      </c>
      <c r="E21" s="198">
        <v>325</v>
      </c>
      <c r="F21" s="199">
        <v>90</v>
      </c>
      <c r="G21" s="207">
        <f t="shared" si="1"/>
        <v>261.11111111111114</v>
      </c>
      <c r="H21" s="204">
        <f t="shared" si="2"/>
        <v>1.5787428349363646</v>
      </c>
      <c r="I21" s="204">
        <f t="shared" si="3"/>
        <v>0.41017227235438886</v>
      </c>
      <c r="J21" s="198">
        <v>892</v>
      </c>
      <c r="K21" s="199">
        <v>486</v>
      </c>
      <c r="L21" s="207">
        <f t="shared" si="4"/>
        <v>83.539094650205755</v>
      </c>
      <c r="M21" s="204">
        <f t="shared" si="5"/>
        <v>1.063297174871856</v>
      </c>
      <c r="N21" s="205">
        <f t="shared" si="6"/>
        <v>0.53009892998549313</v>
      </c>
    </row>
    <row r="22" spans="1:14" hidden="1" outlineLevel="1">
      <c r="A22" s="196"/>
      <c r="B22" s="206" t="s">
        <v>773</v>
      </c>
      <c r="C22" s="202">
        <f t="shared" si="0"/>
        <v>-27.906976744186046</v>
      </c>
      <c r="E22" s="198">
        <v>283</v>
      </c>
      <c r="F22" s="199">
        <v>243</v>
      </c>
      <c r="G22" s="207">
        <f t="shared" si="1"/>
        <v>16.460905349794238</v>
      </c>
      <c r="H22" s="204">
        <f t="shared" si="2"/>
        <v>1.3747206839599728</v>
      </c>
      <c r="I22" s="204">
        <f t="shared" si="3"/>
        <v>1.1074651353568499</v>
      </c>
      <c r="J22" s="198">
        <v>837</v>
      </c>
      <c r="K22" s="199">
        <v>1161</v>
      </c>
      <c r="L22" s="207">
        <f t="shared" si="4"/>
        <v>-27.906976744186046</v>
      </c>
      <c r="M22" s="204">
        <f t="shared" si="5"/>
        <v>0.99773512933603525</v>
      </c>
      <c r="N22" s="205">
        <f t="shared" si="6"/>
        <v>1.2663474438542337</v>
      </c>
    </row>
    <row r="23" spans="1:14" hidden="1" outlineLevel="1">
      <c r="A23" s="196"/>
      <c r="B23" s="206" t="s">
        <v>775</v>
      </c>
      <c r="C23" s="202">
        <f t="shared" si="0"/>
        <v>3.391959798994975</v>
      </c>
      <c r="E23" s="198">
        <v>251</v>
      </c>
      <c r="F23" s="199">
        <v>179</v>
      </c>
      <c r="G23" s="207">
        <f t="shared" si="1"/>
        <v>40.22346368715084</v>
      </c>
      <c r="H23" s="204">
        <f t="shared" si="2"/>
        <v>1.2192752355970078</v>
      </c>
      <c r="I23" s="204">
        <f t="shared" si="3"/>
        <v>0.81578707501595116</v>
      </c>
      <c r="J23" s="198">
        <v>823</v>
      </c>
      <c r="K23" s="199">
        <v>796</v>
      </c>
      <c r="L23" s="207">
        <f t="shared" si="4"/>
        <v>3.391959798994975</v>
      </c>
      <c r="M23" s="204">
        <f t="shared" si="5"/>
        <v>0.98104660865419002</v>
      </c>
      <c r="N23" s="205">
        <f t="shared" si="6"/>
        <v>0.86822787709558147</v>
      </c>
    </row>
    <row r="24" spans="1:14" hidden="1" outlineLevel="1">
      <c r="A24" s="196"/>
      <c r="B24" s="206" t="s">
        <v>772</v>
      </c>
      <c r="C24" s="202">
        <f t="shared" si="0"/>
        <v>-59.944367176634216</v>
      </c>
      <c r="E24" s="198">
        <v>143</v>
      </c>
      <c r="F24" s="199">
        <v>538</v>
      </c>
      <c r="G24" s="207">
        <f t="shared" si="1"/>
        <v>-73.420074349442373</v>
      </c>
      <c r="H24" s="204">
        <f t="shared" si="2"/>
        <v>0.69464684737200044</v>
      </c>
      <c r="I24" s="204">
        <f t="shared" si="3"/>
        <v>2.4519186947406801</v>
      </c>
      <c r="J24" s="198">
        <v>576</v>
      </c>
      <c r="K24" s="199">
        <v>1438</v>
      </c>
      <c r="L24" s="207">
        <f t="shared" si="4"/>
        <v>-59.944367176634216</v>
      </c>
      <c r="M24" s="204">
        <f t="shared" si="5"/>
        <v>0.68661342233877698</v>
      </c>
      <c r="N24" s="205">
        <f t="shared" si="6"/>
        <v>1.5684820191751836</v>
      </c>
    </row>
    <row r="25" spans="1:14" hidden="1" outlineLevel="1">
      <c r="A25" s="196"/>
      <c r="B25" s="206" t="s">
        <v>774</v>
      </c>
      <c r="C25" s="202">
        <f t="shared" si="0"/>
        <v>-54.69879518072289</v>
      </c>
      <c r="E25" s="198">
        <v>201</v>
      </c>
      <c r="F25" s="199">
        <v>233</v>
      </c>
      <c r="G25" s="207">
        <f t="shared" si="1"/>
        <v>-13.733905579399142</v>
      </c>
      <c r="H25" s="204">
        <f t="shared" si="2"/>
        <v>0.97639172252987472</v>
      </c>
      <c r="I25" s="204">
        <f t="shared" si="3"/>
        <v>1.0618904384285845</v>
      </c>
      <c r="J25" s="198">
        <v>564</v>
      </c>
      <c r="K25" s="199">
        <v>1245</v>
      </c>
      <c r="L25" s="207">
        <f t="shared" si="4"/>
        <v>-54.69879518072289</v>
      </c>
      <c r="M25" s="204">
        <f t="shared" si="5"/>
        <v>0.67230897604005246</v>
      </c>
      <c r="N25" s="205">
        <f t="shared" si="6"/>
        <v>1.3579694811356771</v>
      </c>
    </row>
    <row r="26" spans="1:14" hidden="1" outlineLevel="1">
      <c r="A26" s="196"/>
      <c r="B26" s="206" t="s">
        <v>777</v>
      </c>
      <c r="C26" s="202">
        <f t="shared" si="0"/>
        <v>17.056074766355138</v>
      </c>
      <c r="E26" s="198">
        <v>91</v>
      </c>
      <c r="F26" s="199">
        <v>116</v>
      </c>
      <c r="G26" s="207">
        <f t="shared" si="1"/>
        <v>-21.551724137931032</v>
      </c>
      <c r="H26" s="204">
        <f t="shared" si="2"/>
        <v>0.44204799378218207</v>
      </c>
      <c r="I26" s="204">
        <f t="shared" si="3"/>
        <v>0.52866648436787889</v>
      </c>
      <c r="J26" s="198">
        <v>501</v>
      </c>
      <c r="K26" s="199">
        <v>428</v>
      </c>
      <c r="L26" s="207">
        <f t="shared" si="4"/>
        <v>17.056074766355138</v>
      </c>
      <c r="M26" s="204">
        <f t="shared" si="5"/>
        <v>0.5972106329717487</v>
      </c>
      <c r="N26" s="205">
        <f t="shared" si="6"/>
        <v>0.46683609471973475</v>
      </c>
    </row>
    <row r="27" spans="1:14" hidden="1" outlineLevel="1">
      <c r="A27" s="196"/>
      <c r="B27" s="206" t="s">
        <v>781</v>
      </c>
      <c r="C27" s="202">
        <f t="shared" si="0"/>
        <v>1980</v>
      </c>
      <c r="E27" s="198">
        <v>149</v>
      </c>
      <c r="F27" s="199">
        <v>20</v>
      </c>
      <c r="G27" s="207">
        <f t="shared" si="1"/>
        <v>645</v>
      </c>
      <c r="H27" s="204">
        <f t="shared" si="2"/>
        <v>0.72379286894005634</v>
      </c>
      <c r="I27" s="204">
        <f t="shared" si="3"/>
        <v>9.1149393856530855E-2</v>
      </c>
      <c r="J27" s="198">
        <v>416</v>
      </c>
      <c r="K27" s="199">
        <v>20</v>
      </c>
      <c r="L27" s="207">
        <f t="shared" si="4"/>
        <v>1980</v>
      </c>
      <c r="M27" s="204">
        <f t="shared" si="5"/>
        <v>0.49588747168911673</v>
      </c>
      <c r="N27" s="205">
        <f t="shared" si="6"/>
        <v>2.1814770781296015E-2</v>
      </c>
    </row>
    <row r="28" spans="1:14" hidden="1" outlineLevel="1">
      <c r="A28" s="196"/>
      <c r="B28" s="206" t="s">
        <v>776</v>
      </c>
      <c r="C28" s="202">
        <f t="shared" si="0"/>
        <v>-16.02708803611738</v>
      </c>
      <c r="E28" s="198">
        <v>79</v>
      </c>
      <c r="F28" s="199">
        <v>76</v>
      </c>
      <c r="G28" s="207">
        <f t="shared" si="1"/>
        <v>3.9473684210526314</v>
      </c>
      <c r="H28" s="204">
        <f t="shared" si="2"/>
        <v>0.38375595064607015</v>
      </c>
      <c r="I28" s="204">
        <f t="shared" si="3"/>
        <v>0.34636769665481726</v>
      </c>
      <c r="J28" s="198">
        <v>372</v>
      </c>
      <c r="K28" s="199">
        <v>443</v>
      </c>
      <c r="L28" s="207">
        <f t="shared" si="4"/>
        <v>-16.02708803611738</v>
      </c>
      <c r="M28" s="204">
        <f t="shared" si="5"/>
        <v>0.4434378352604601</v>
      </c>
      <c r="N28" s="205">
        <f t="shared" si="6"/>
        <v>0.48319717280570679</v>
      </c>
    </row>
    <row r="29" spans="1:14" hidden="1" outlineLevel="1">
      <c r="A29" s="196"/>
      <c r="B29" s="206" t="s">
        <v>1053</v>
      </c>
      <c r="C29" s="202" t="str">
        <f t="shared" si="0"/>
        <v/>
      </c>
      <c r="E29" s="198">
        <v>83</v>
      </c>
      <c r="F29" s="199">
        <v>0</v>
      </c>
      <c r="G29" s="207" t="str">
        <f t="shared" si="1"/>
        <v/>
      </c>
      <c r="H29" s="204">
        <f t="shared" si="2"/>
        <v>0.40318663169144081</v>
      </c>
      <c r="I29" s="204" t="str">
        <f t="shared" si="3"/>
        <v/>
      </c>
      <c r="J29" s="198">
        <v>232</v>
      </c>
      <c r="K29" s="199">
        <v>0</v>
      </c>
      <c r="L29" s="207" t="str">
        <f t="shared" si="4"/>
        <v/>
      </c>
      <c r="M29" s="204">
        <f t="shared" si="5"/>
        <v>0.2765526284420074</v>
      </c>
      <c r="N29" s="205" t="str">
        <f t="shared" si="6"/>
        <v/>
      </c>
    </row>
    <row r="30" spans="1:14" hidden="1" outlineLevel="1">
      <c r="A30" s="196"/>
      <c r="B30" s="206" t="s">
        <v>780</v>
      </c>
      <c r="C30" s="202">
        <f t="shared" si="0"/>
        <v>-13.147410358565736</v>
      </c>
      <c r="E30" s="198">
        <v>69</v>
      </c>
      <c r="F30" s="199">
        <v>84</v>
      </c>
      <c r="G30" s="207">
        <f t="shared" si="1"/>
        <v>-17.857142857142858</v>
      </c>
      <c r="H30" s="204">
        <f t="shared" si="2"/>
        <v>0.33517924803264354</v>
      </c>
      <c r="I30" s="204">
        <f t="shared" si="3"/>
        <v>0.38282745419742958</v>
      </c>
      <c r="J30" s="198">
        <v>218</v>
      </c>
      <c r="K30" s="199">
        <v>251</v>
      </c>
      <c r="L30" s="207">
        <f t="shared" si="4"/>
        <v>-13.147410358565736</v>
      </c>
      <c r="M30" s="204">
        <f t="shared" si="5"/>
        <v>0.25986410776016211</v>
      </c>
      <c r="N30" s="205">
        <f t="shared" si="6"/>
        <v>0.27377537330526502</v>
      </c>
    </row>
    <row r="31" spans="1:14" hidden="1" outlineLevel="1">
      <c r="A31" s="196"/>
      <c r="B31" s="206" t="s">
        <v>785</v>
      </c>
      <c r="C31" s="202">
        <f t="shared" si="0"/>
        <v>276.47058823529409</v>
      </c>
      <c r="E31" s="198">
        <v>51</v>
      </c>
      <c r="F31" s="199">
        <v>3</v>
      </c>
      <c r="G31" s="207">
        <f t="shared" si="1"/>
        <v>1600</v>
      </c>
      <c r="H31" s="204">
        <f t="shared" si="2"/>
        <v>0.24774118332847569</v>
      </c>
      <c r="I31" s="204">
        <f t="shared" si="3"/>
        <v>1.3672409078479627E-2</v>
      </c>
      <c r="J31" s="198">
        <v>128</v>
      </c>
      <c r="K31" s="199">
        <v>34</v>
      </c>
      <c r="L31" s="207">
        <f t="shared" si="4"/>
        <v>276.47058823529409</v>
      </c>
      <c r="M31" s="204">
        <f t="shared" si="5"/>
        <v>0.15258076051972821</v>
      </c>
      <c r="N31" s="205">
        <f t="shared" si="6"/>
        <v>3.7085110328203226E-2</v>
      </c>
    </row>
    <row r="32" spans="1:14" hidden="1" outlineLevel="1">
      <c r="A32" s="196"/>
      <c r="B32" s="206" t="s">
        <v>783</v>
      </c>
      <c r="C32" s="202">
        <f t="shared" si="0"/>
        <v>49.397590361445779</v>
      </c>
      <c r="E32" s="198">
        <v>28</v>
      </c>
      <c r="F32" s="199">
        <v>29</v>
      </c>
      <c r="G32" s="207">
        <f t="shared" si="1"/>
        <v>-3.4482758620689653</v>
      </c>
      <c r="H32" s="204">
        <f t="shared" si="2"/>
        <v>0.13601476731759449</v>
      </c>
      <c r="I32" s="204">
        <f t="shared" si="3"/>
        <v>0.13216662109196972</v>
      </c>
      <c r="J32" s="198">
        <v>124</v>
      </c>
      <c r="K32" s="199">
        <v>83</v>
      </c>
      <c r="L32" s="207">
        <f t="shared" si="4"/>
        <v>49.397590361445779</v>
      </c>
      <c r="M32" s="204">
        <f t="shared" si="5"/>
        <v>0.1478126117534867</v>
      </c>
      <c r="N32" s="205">
        <f t="shared" si="6"/>
        <v>9.0531298742378474E-2</v>
      </c>
    </row>
    <row r="33" spans="1:14" hidden="1" outlineLevel="1">
      <c r="A33" s="196"/>
      <c r="B33" s="206" t="s">
        <v>779</v>
      </c>
      <c r="C33" s="202">
        <f t="shared" si="0"/>
        <v>-61.728395061728392</v>
      </c>
      <c r="E33" s="198">
        <v>25</v>
      </c>
      <c r="F33" s="199">
        <v>86</v>
      </c>
      <c r="G33" s="207">
        <f t="shared" si="1"/>
        <v>-70.930232558139537</v>
      </c>
      <c r="H33" s="204">
        <f t="shared" si="2"/>
        <v>0.12144175653356649</v>
      </c>
      <c r="I33" s="204">
        <f t="shared" si="3"/>
        <v>0.39194239358308269</v>
      </c>
      <c r="J33" s="198">
        <v>93</v>
      </c>
      <c r="K33" s="199">
        <v>243</v>
      </c>
      <c r="L33" s="207">
        <f t="shared" si="4"/>
        <v>-61.728395061728392</v>
      </c>
      <c r="M33" s="204">
        <f t="shared" si="5"/>
        <v>0.11085945881511503</v>
      </c>
      <c r="N33" s="205">
        <f t="shared" si="6"/>
        <v>0.26504946499274656</v>
      </c>
    </row>
    <row r="34" spans="1:14" hidden="1" outlineLevel="1">
      <c r="A34" s="196"/>
      <c r="B34" s="206" t="s">
        <v>782</v>
      </c>
      <c r="C34" s="202">
        <f t="shared" si="0"/>
        <v>-32.773109243697476</v>
      </c>
      <c r="E34" s="198">
        <v>19</v>
      </c>
      <c r="F34" s="199">
        <v>33</v>
      </c>
      <c r="G34" s="207">
        <f t="shared" si="1"/>
        <v>-42.424242424242422</v>
      </c>
      <c r="H34" s="204">
        <f t="shared" si="2"/>
        <v>9.2295734965510537E-2</v>
      </c>
      <c r="I34" s="204">
        <f t="shared" si="3"/>
        <v>0.15039649986327591</v>
      </c>
      <c r="J34" s="198">
        <v>80</v>
      </c>
      <c r="K34" s="199">
        <v>119</v>
      </c>
      <c r="L34" s="207">
        <f t="shared" si="4"/>
        <v>-32.773109243697476</v>
      </c>
      <c r="M34" s="204">
        <f t="shared" si="5"/>
        <v>9.5362975324830124E-2</v>
      </c>
      <c r="N34" s="205">
        <f t="shared" si="6"/>
        <v>0.12979788614871129</v>
      </c>
    </row>
    <row r="35" spans="1:14" hidden="1" outlineLevel="1">
      <c r="A35" s="196"/>
      <c r="B35" s="206" t="s">
        <v>788</v>
      </c>
      <c r="C35" s="202">
        <f t="shared" si="0"/>
        <v>283.33333333333337</v>
      </c>
      <c r="E35" s="198">
        <v>38</v>
      </c>
      <c r="F35" s="199">
        <v>7</v>
      </c>
      <c r="G35" s="207">
        <f t="shared" si="1"/>
        <v>442.85714285714289</v>
      </c>
      <c r="H35" s="204">
        <f t="shared" si="2"/>
        <v>0.18459146993102107</v>
      </c>
      <c r="I35" s="204">
        <f t="shared" si="3"/>
        <v>3.1902287849785799E-2</v>
      </c>
      <c r="J35" s="198">
        <v>69</v>
      </c>
      <c r="K35" s="199">
        <v>18</v>
      </c>
      <c r="L35" s="207">
        <f t="shared" si="4"/>
        <v>283.33333333333337</v>
      </c>
      <c r="M35" s="204">
        <f t="shared" si="5"/>
        <v>8.2250566217665994E-2</v>
      </c>
      <c r="N35" s="205">
        <f t="shared" si="6"/>
        <v>1.9633293703166414E-2</v>
      </c>
    </row>
    <row r="36" spans="1:14" hidden="1" outlineLevel="1">
      <c r="A36" s="196"/>
      <c r="B36" s="206" t="s">
        <v>787</v>
      </c>
      <c r="C36" s="202">
        <f t="shared" si="0"/>
        <v>33.333333333333329</v>
      </c>
      <c r="E36" s="198">
        <v>9</v>
      </c>
      <c r="F36" s="199">
        <v>5</v>
      </c>
      <c r="G36" s="207">
        <f t="shared" si="1"/>
        <v>80</v>
      </c>
      <c r="H36" s="204">
        <f t="shared" si="2"/>
        <v>4.3719032352083943E-2</v>
      </c>
      <c r="I36" s="204">
        <f t="shared" si="3"/>
        <v>2.2787348464132714E-2</v>
      </c>
      <c r="J36" s="198">
        <v>40</v>
      </c>
      <c r="K36" s="199">
        <v>30</v>
      </c>
      <c r="L36" s="207">
        <f t="shared" si="4"/>
        <v>33.333333333333329</v>
      </c>
      <c r="M36" s="204">
        <f t="shared" si="5"/>
        <v>4.7681487662415062E-2</v>
      </c>
      <c r="N36" s="205">
        <f t="shared" si="6"/>
        <v>3.2722156171944024E-2</v>
      </c>
    </row>
    <row r="37" spans="1:14" hidden="1" outlineLevel="1">
      <c r="A37" s="196"/>
      <c r="B37" s="206" t="s">
        <v>786</v>
      </c>
      <c r="C37" s="202">
        <f t="shared" si="0"/>
        <v>6.0606060606060606</v>
      </c>
      <c r="E37" s="198">
        <v>10</v>
      </c>
      <c r="F37" s="199">
        <v>8</v>
      </c>
      <c r="G37" s="207">
        <f t="shared" si="1"/>
        <v>25</v>
      </c>
      <c r="H37" s="204">
        <f t="shared" si="2"/>
        <v>4.8576702613426601E-2</v>
      </c>
      <c r="I37" s="204">
        <f t="shared" si="3"/>
        <v>3.6459757542612339E-2</v>
      </c>
      <c r="J37" s="198">
        <v>35</v>
      </c>
      <c r="K37" s="199">
        <v>33</v>
      </c>
      <c r="L37" s="207">
        <f t="shared" si="4"/>
        <v>6.0606060606060606</v>
      </c>
      <c r="M37" s="204">
        <f t="shared" si="5"/>
        <v>4.1721301704613183E-2</v>
      </c>
      <c r="N37" s="205">
        <f t="shared" si="6"/>
        <v>3.5994371789138425E-2</v>
      </c>
    </row>
    <row r="38" spans="1:14" hidden="1" outlineLevel="1">
      <c r="A38" s="196"/>
      <c r="B38" s="206" t="s">
        <v>784</v>
      </c>
      <c r="C38" s="202">
        <f t="shared" si="0"/>
        <v>-100</v>
      </c>
      <c r="E38" s="198">
        <v>0</v>
      </c>
      <c r="F38" s="199">
        <v>9</v>
      </c>
      <c r="G38" s="207">
        <f t="shared" si="1"/>
        <v>-100</v>
      </c>
      <c r="H38" s="204" t="str">
        <f t="shared" si="2"/>
        <v/>
      </c>
      <c r="I38" s="204">
        <f t="shared" si="3"/>
        <v>4.1017227235438887E-2</v>
      </c>
      <c r="J38" s="198">
        <v>0</v>
      </c>
      <c r="K38" s="199">
        <v>52</v>
      </c>
      <c r="L38" s="207">
        <f t="shared" si="4"/>
        <v>-100</v>
      </c>
      <c r="M38" s="204" t="str">
        <f t="shared" si="5"/>
        <v/>
      </c>
      <c r="N38" s="205">
        <f t="shared" si="6"/>
        <v>5.6718404031369636E-2</v>
      </c>
    </row>
    <row r="39" spans="1:14" collapsed="1">
      <c r="A39" s="196" t="s">
        <v>1221</v>
      </c>
      <c r="B39" s="195" t="s">
        <v>303</v>
      </c>
      <c r="C39" s="202">
        <f t="shared" si="0"/>
        <v>-6.490507952796305</v>
      </c>
      <c r="E39" s="198">
        <v>1701</v>
      </c>
      <c r="F39" s="199">
        <v>2060</v>
      </c>
      <c r="G39" s="207">
        <f t="shared" si="1"/>
        <v>-17.427184466019419</v>
      </c>
      <c r="H39" s="204">
        <f t="shared" si="2"/>
        <v>8.2628971145438648</v>
      </c>
      <c r="I39" s="204">
        <f t="shared" si="3"/>
        <v>9.3883875672226775</v>
      </c>
      <c r="J39" s="198">
        <v>7290</v>
      </c>
      <c r="K39" s="199">
        <v>7796</v>
      </c>
      <c r="L39" s="207">
        <f t="shared" si="4"/>
        <v>-6.490507952796305</v>
      </c>
      <c r="M39" s="204">
        <f t="shared" si="5"/>
        <v>8.6899511264751457</v>
      </c>
      <c r="N39" s="205">
        <f t="shared" si="6"/>
        <v>8.5033976505491875</v>
      </c>
    </row>
    <row r="40" spans="1:14" hidden="1" outlineLevel="1">
      <c r="A40" s="196"/>
      <c r="B40" s="206" t="s">
        <v>793</v>
      </c>
      <c r="C40" s="202">
        <f t="shared" si="0"/>
        <v>54.496788008565311</v>
      </c>
      <c r="E40" s="198">
        <v>132</v>
      </c>
      <c r="F40" s="199">
        <v>155</v>
      </c>
      <c r="G40" s="207">
        <f t="shared" si="1"/>
        <v>-14.838709677419354</v>
      </c>
      <c r="H40" s="204">
        <f t="shared" si="2"/>
        <v>0.64121247449723118</v>
      </c>
      <c r="I40" s="204">
        <f t="shared" si="3"/>
        <v>0.70640780238811418</v>
      </c>
      <c r="J40" s="198">
        <v>1443</v>
      </c>
      <c r="K40" s="199">
        <v>934</v>
      </c>
      <c r="L40" s="207">
        <f t="shared" si="4"/>
        <v>54.496788008565311</v>
      </c>
      <c r="M40" s="204">
        <f t="shared" si="5"/>
        <v>1.7201096674216234</v>
      </c>
      <c r="N40" s="205">
        <f t="shared" si="6"/>
        <v>1.0187497954865239</v>
      </c>
    </row>
    <row r="41" spans="1:14" hidden="1" outlineLevel="1">
      <c r="A41" s="196"/>
      <c r="B41" s="206" t="s">
        <v>789</v>
      </c>
      <c r="C41" s="202">
        <f t="shared" si="0"/>
        <v>-40.261496844003609</v>
      </c>
      <c r="E41" s="198">
        <v>373</v>
      </c>
      <c r="F41" s="199">
        <v>355</v>
      </c>
      <c r="G41" s="207">
        <f t="shared" si="1"/>
        <v>5.070422535211268</v>
      </c>
      <c r="H41" s="204">
        <f t="shared" si="2"/>
        <v>1.8119110074808122</v>
      </c>
      <c r="I41" s="204">
        <f t="shared" si="3"/>
        <v>1.6179017409534227</v>
      </c>
      <c r="J41" s="198">
        <v>1325</v>
      </c>
      <c r="K41" s="199">
        <v>2218</v>
      </c>
      <c r="L41" s="207">
        <f t="shared" si="4"/>
        <v>-40.261496844003609</v>
      </c>
      <c r="M41" s="204">
        <f t="shared" si="5"/>
        <v>1.5794492788174992</v>
      </c>
      <c r="N41" s="205">
        <f t="shared" si="6"/>
        <v>2.4192580796457279</v>
      </c>
    </row>
    <row r="42" spans="1:14" hidden="1" outlineLevel="1">
      <c r="A42" s="196"/>
      <c r="B42" s="206" t="s">
        <v>790</v>
      </c>
      <c r="C42" s="202">
        <f t="shared" si="0"/>
        <v>-44.168734491315135</v>
      </c>
      <c r="E42" s="198">
        <v>329</v>
      </c>
      <c r="F42" s="199">
        <v>695</v>
      </c>
      <c r="G42" s="207">
        <f t="shared" si="1"/>
        <v>-52.661870503597122</v>
      </c>
      <c r="H42" s="204">
        <f t="shared" si="2"/>
        <v>1.5981735159817352</v>
      </c>
      <c r="I42" s="204">
        <f t="shared" si="3"/>
        <v>3.1674414365144474</v>
      </c>
      <c r="J42" s="198">
        <v>1125</v>
      </c>
      <c r="K42" s="199">
        <v>2015</v>
      </c>
      <c r="L42" s="207">
        <f t="shared" si="4"/>
        <v>-44.168734491315135</v>
      </c>
      <c r="M42" s="204">
        <f t="shared" si="5"/>
        <v>1.3410418405054236</v>
      </c>
      <c r="N42" s="205">
        <f t="shared" si="6"/>
        <v>2.1978381562155738</v>
      </c>
    </row>
    <row r="43" spans="1:14" hidden="1" outlineLevel="1">
      <c r="A43" s="196"/>
      <c r="B43" s="206" t="s">
        <v>791</v>
      </c>
      <c r="C43" s="202">
        <f t="shared" si="0"/>
        <v>-17.38013698630137</v>
      </c>
      <c r="E43" s="198">
        <v>304</v>
      </c>
      <c r="F43" s="199">
        <v>390</v>
      </c>
      <c r="G43" s="207">
        <f t="shared" si="1"/>
        <v>-22.051282051282051</v>
      </c>
      <c r="H43" s="204">
        <f t="shared" si="2"/>
        <v>1.4767317594481686</v>
      </c>
      <c r="I43" s="204">
        <f t="shared" si="3"/>
        <v>1.7774131802023516</v>
      </c>
      <c r="J43" s="198">
        <v>965</v>
      </c>
      <c r="K43" s="199">
        <v>1168</v>
      </c>
      <c r="L43" s="207">
        <f t="shared" si="4"/>
        <v>-17.38013698630137</v>
      </c>
      <c r="M43" s="204">
        <f t="shared" si="5"/>
        <v>1.1503158898557635</v>
      </c>
      <c r="N43" s="205">
        <f t="shared" si="6"/>
        <v>1.2739826136276873</v>
      </c>
    </row>
    <row r="44" spans="1:14" hidden="1" outlineLevel="1">
      <c r="A44" s="196"/>
      <c r="B44" s="206" t="s">
        <v>792</v>
      </c>
      <c r="C44" s="202">
        <f t="shared" si="0"/>
        <v>-25.387263339070572</v>
      </c>
      <c r="E44" s="198">
        <v>164</v>
      </c>
      <c r="F44" s="199">
        <v>400</v>
      </c>
      <c r="G44" s="207">
        <f t="shared" si="1"/>
        <v>-59</v>
      </c>
      <c r="H44" s="204">
        <f t="shared" si="2"/>
        <v>0.79665792286019621</v>
      </c>
      <c r="I44" s="204">
        <f t="shared" si="3"/>
        <v>1.8229878771306169</v>
      </c>
      <c r="J44" s="198">
        <v>867</v>
      </c>
      <c r="K44" s="199">
        <v>1162</v>
      </c>
      <c r="L44" s="207">
        <f t="shared" si="4"/>
        <v>-25.387263339070572</v>
      </c>
      <c r="M44" s="204">
        <f t="shared" si="5"/>
        <v>1.0334962450828467</v>
      </c>
      <c r="N44" s="205">
        <f t="shared" si="6"/>
        <v>1.2674381823932985</v>
      </c>
    </row>
    <row r="45" spans="1:14" hidden="1" outlineLevel="1">
      <c r="A45" s="196"/>
      <c r="B45" s="206" t="s">
        <v>1055</v>
      </c>
      <c r="C45" s="202" t="str">
        <f t="shared" si="0"/>
        <v/>
      </c>
      <c r="E45" s="198">
        <v>140</v>
      </c>
      <c r="F45" s="199">
        <v>0</v>
      </c>
      <c r="G45" s="207" t="str">
        <f t="shared" si="1"/>
        <v/>
      </c>
      <c r="H45" s="204">
        <f t="shared" si="2"/>
        <v>0.68007383658797238</v>
      </c>
      <c r="I45" s="204" t="str">
        <f t="shared" si="3"/>
        <v/>
      </c>
      <c r="J45" s="198">
        <v>867</v>
      </c>
      <c r="K45" s="199">
        <v>0</v>
      </c>
      <c r="L45" s="207" t="str">
        <f t="shared" si="4"/>
        <v/>
      </c>
      <c r="M45" s="204">
        <f t="shared" si="5"/>
        <v>1.0334962450828467</v>
      </c>
      <c r="N45" s="205" t="str">
        <f t="shared" si="6"/>
        <v/>
      </c>
    </row>
    <row r="46" spans="1:14" hidden="1" outlineLevel="1">
      <c r="A46" s="196"/>
      <c r="B46" s="206" t="s">
        <v>794</v>
      </c>
      <c r="C46" s="202" t="str">
        <f t="shared" si="0"/>
        <v/>
      </c>
      <c r="E46" s="198">
        <v>35</v>
      </c>
      <c r="F46" s="199">
        <v>0</v>
      </c>
      <c r="G46" s="207" t="str">
        <f t="shared" si="1"/>
        <v/>
      </c>
      <c r="H46" s="204">
        <f t="shared" si="2"/>
        <v>0.1700184591469931</v>
      </c>
      <c r="I46" s="204" t="str">
        <f t="shared" si="3"/>
        <v/>
      </c>
      <c r="J46" s="198">
        <v>264</v>
      </c>
      <c r="K46" s="199">
        <v>0</v>
      </c>
      <c r="L46" s="207" t="str">
        <f t="shared" si="4"/>
        <v/>
      </c>
      <c r="M46" s="204">
        <f t="shared" si="5"/>
        <v>0.31469781857193946</v>
      </c>
      <c r="N46" s="205" t="str">
        <f t="shared" si="6"/>
        <v/>
      </c>
    </row>
    <row r="47" spans="1:14" hidden="1" outlineLevel="1">
      <c r="A47" s="196"/>
      <c r="B47" s="206" t="s">
        <v>1182</v>
      </c>
      <c r="C47" s="202" t="str">
        <f t="shared" si="0"/>
        <v/>
      </c>
      <c r="E47" s="198">
        <v>190</v>
      </c>
      <c r="F47" s="199">
        <v>0</v>
      </c>
      <c r="G47" s="207" t="str">
        <f t="shared" si="1"/>
        <v/>
      </c>
      <c r="H47" s="204">
        <f t="shared" si="2"/>
        <v>0.92295734965510534</v>
      </c>
      <c r="I47" s="204" t="str">
        <f t="shared" si="3"/>
        <v/>
      </c>
      <c r="J47" s="198">
        <v>234</v>
      </c>
      <c r="K47" s="199">
        <v>0</v>
      </c>
      <c r="L47" s="207" t="str">
        <f t="shared" si="4"/>
        <v/>
      </c>
      <c r="M47" s="204">
        <f t="shared" si="5"/>
        <v>0.27893670282512817</v>
      </c>
      <c r="N47" s="205" t="str">
        <f t="shared" si="6"/>
        <v/>
      </c>
    </row>
    <row r="48" spans="1:14" hidden="1" outlineLevel="1">
      <c r="A48" s="196"/>
      <c r="B48" s="206" t="s">
        <v>796</v>
      </c>
      <c r="C48" s="202">
        <f t="shared" si="0"/>
        <v>-21.374045801526716</v>
      </c>
      <c r="E48" s="198">
        <v>21</v>
      </c>
      <c r="F48" s="199">
        <v>27</v>
      </c>
      <c r="G48" s="207">
        <f t="shared" si="1"/>
        <v>-22.222222222222221</v>
      </c>
      <c r="H48" s="204">
        <f t="shared" si="2"/>
        <v>0.10201107548819587</v>
      </c>
      <c r="I48" s="204">
        <f t="shared" si="3"/>
        <v>0.12305168170631665</v>
      </c>
      <c r="J48" s="198">
        <v>103</v>
      </c>
      <c r="K48" s="199">
        <v>131</v>
      </c>
      <c r="L48" s="207">
        <f t="shared" si="4"/>
        <v>-21.374045801526716</v>
      </c>
      <c r="M48" s="204">
        <f t="shared" si="5"/>
        <v>0.1227798307307188</v>
      </c>
      <c r="N48" s="205">
        <f t="shared" si="6"/>
        <v>0.1428867486174889</v>
      </c>
    </row>
    <row r="49" spans="1:14" hidden="1" outlineLevel="1">
      <c r="A49" s="196"/>
      <c r="B49" s="206" t="s">
        <v>795</v>
      </c>
      <c r="C49" s="202">
        <f t="shared" si="0"/>
        <v>-68.644067796610159</v>
      </c>
      <c r="E49" s="198">
        <v>6</v>
      </c>
      <c r="F49" s="199">
        <v>26</v>
      </c>
      <c r="G49" s="207">
        <f t="shared" si="1"/>
        <v>-76.923076923076934</v>
      </c>
      <c r="H49" s="204">
        <f t="shared" si="2"/>
        <v>2.9146021568055961E-2</v>
      </c>
      <c r="I49" s="204">
        <f t="shared" si="3"/>
        <v>0.11849421201349011</v>
      </c>
      <c r="J49" s="198">
        <v>37</v>
      </c>
      <c r="K49" s="199">
        <v>118</v>
      </c>
      <c r="L49" s="207">
        <f t="shared" si="4"/>
        <v>-68.644067796610159</v>
      </c>
      <c r="M49" s="204">
        <f t="shared" si="5"/>
        <v>4.410537608773394E-2</v>
      </c>
      <c r="N49" s="205">
        <f t="shared" si="6"/>
        <v>0.12870714760964649</v>
      </c>
    </row>
    <row r="50" spans="1:14" hidden="1" outlineLevel="1">
      <c r="A50" s="196"/>
      <c r="B50" s="206" t="s">
        <v>799</v>
      </c>
      <c r="C50" s="202">
        <f t="shared" si="0"/>
        <v>69.230769230769226</v>
      </c>
      <c r="E50" s="198">
        <v>1</v>
      </c>
      <c r="F50" s="199">
        <v>3</v>
      </c>
      <c r="G50" s="207">
        <f t="shared" si="1"/>
        <v>-66.666666666666657</v>
      </c>
      <c r="H50" s="204">
        <f t="shared" si="2"/>
        <v>4.8576702613426599E-3</v>
      </c>
      <c r="I50" s="204">
        <f t="shared" si="3"/>
        <v>1.3672409078479627E-2</v>
      </c>
      <c r="J50" s="198">
        <v>22</v>
      </c>
      <c r="K50" s="199">
        <v>13</v>
      </c>
      <c r="L50" s="207">
        <f t="shared" si="4"/>
        <v>69.230769230769226</v>
      </c>
      <c r="M50" s="204">
        <f t="shared" si="5"/>
        <v>2.6224818214328285E-2</v>
      </c>
      <c r="N50" s="205">
        <f t="shared" si="6"/>
        <v>1.4179601007842409E-2</v>
      </c>
    </row>
    <row r="51" spans="1:14" hidden="1" outlineLevel="1">
      <c r="A51" s="196"/>
      <c r="B51" s="206" t="s">
        <v>797</v>
      </c>
      <c r="C51" s="202">
        <f t="shared" si="0"/>
        <v>5.8823529411764701</v>
      </c>
      <c r="E51" s="198">
        <v>1</v>
      </c>
      <c r="F51" s="199">
        <v>8</v>
      </c>
      <c r="G51" s="207">
        <f t="shared" si="1"/>
        <v>-87.5</v>
      </c>
      <c r="H51" s="204">
        <f t="shared" si="2"/>
        <v>4.8576702613426599E-3</v>
      </c>
      <c r="I51" s="204">
        <f t="shared" si="3"/>
        <v>3.6459757542612339E-2</v>
      </c>
      <c r="J51" s="198">
        <v>18</v>
      </c>
      <c r="K51" s="199">
        <v>17</v>
      </c>
      <c r="L51" s="207">
        <f t="shared" si="4"/>
        <v>5.8823529411764701</v>
      </c>
      <c r="M51" s="204">
        <f t="shared" si="5"/>
        <v>2.1456669448086781E-2</v>
      </c>
      <c r="N51" s="205">
        <f t="shared" si="6"/>
        <v>1.8542555164101613E-2</v>
      </c>
    </row>
    <row r="52" spans="1:14" hidden="1" outlineLevel="1">
      <c r="A52" s="196"/>
      <c r="B52" s="206" t="s">
        <v>1054</v>
      </c>
      <c r="C52" s="202" t="str">
        <f t="shared" si="0"/>
        <v/>
      </c>
      <c r="E52" s="198">
        <v>5</v>
      </c>
      <c r="F52" s="199">
        <v>0</v>
      </c>
      <c r="G52" s="207" t="str">
        <f t="shared" si="1"/>
        <v/>
      </c>
      <c r="H52" s="204">
        <f t="shared" si="2"/>
        <v>2.42883513067133E-2</v>
      </c>
      <c r="I52" s="204" t="str">
        <f t="shared" si="3"/>
        <v/>
      </c>
      <c r="J52" s="198">
        <v>12</v>
      </c>
      <c r="K52" s="199">
        <v>0</v>
      </c>
      <c r="L52" s="207" t="str">
        <f t="shared" si="4"/>
        <v/>
      </c>
      <c r="M52" s="204">
        <f t="shared" si="5"/>
        <v>1.4304446298724519E-2</v>
      </c>
      <c r="N52" s="205" t="str">
        <f t="shared" si="6"/>
        <v/>
      </c>
    </row>
    <row r="53" spans="1:14" hidden="1" outlineLevel="1">
      <c r="A53" s="196"/>
      <c r="B53" s="206" t="s">
        <v>801</v>
      </c>
      <c r="C53" s="202">
        <f t="shared" si="0"/>
        <v>300</v>
      </c>
      <c r="E53" s="198">
        <v>0</v>
      </c>
      <c r="F53" s="199">
        <v>0</v>
      </c>
      <c r="G53" s="207" t="str">
        <f t="shared" si="1"/>
        <v/>
      </c>
      <c r="H53" s="204" t="str">
        <f t="shared" si="2"/>
        <v/>
      </c>
      <c r="I53" s="204" t="str">
        <f t="shared" si="3"/>
        <v/>
      </c>
      <c r="J53" s="198">
        <v>4</v>
      </c>
      <c r="K53" s="199">
        <v>1</v>
      </c>
      <c r="L53" s="207">
        <f t="shared" si="4"/>
        <v>300</v>
      </c>
      <c r="M53" s="204">
        <f t="shared" si="5"/>
        <v>4.7681487662415067E-3</v>
      </c>
      <c r="N53" s="205">
        <f t="shared" si="6"/>
        <v>1.0907385390648008E-3</v>
      </c>
    </row>
    <row r="54" spans="1:14" hidden="1" outlineLevel="1">
      <c r="A54" s="196"/>
      <c r="B54" s="206" t="s">
        <v>800</v>
      </c>
      <c r="C54" s="202">
        <f t="shared" si="0"/>
        <v>-33.333333333333329</v>
      </c>
      <c r="E54" s="198">
        <v>0</v>
      </c>
      <c r="F54" s="199">
        <v>1</v>
      </c>
      <c r="G54" s="207">
        <f t="shared" si="1"/>
        <v>-100</v>
      </c>
      <c r="H54" s="204" t="str">
        <f t="shared" si="2"/>
        <v/>
      </c>
      <c r="I54" s="204">
        <f t="shared" si="3"/>
        <v>4.5574696928265424E-3</v>
      </c>
      <c r="J54" s="198">
        <v>2</v>
      </c>
      <c r="K54" s="199">
        <v>3</v>
      </c>
      <c r="L54" s="207">
        <f t="shared" si="4"/>
        <v>-33.333333333333329</v>
      </c>
      <c r="M54" s="204">
        <f t="shared" si="5"/>
        <v>2.3840743831207534E-3</v>
      </c>
      <c r="N54" s="205">
        <f t="shared" si="6"/>
        <v>3.2722156171944025E-3</v>
      </c>
    </row>
    <row r="55" spans="1:14" hidden="1" outlineLevel="1">
      <c r="A55" s="196"/>
      <c r="B55" s="206" t="s">
        <v>802</v>
      </c>
      <c r="C55" s="202">
        <f t="shared" si="0"/>
        <v>0</v>
      </c>
      <c r="E55" s="198">
        <v>0</v>
      </c>
      <c r="F55" s="199">
        <v>0</v>
      </c>
      <c r="G55" s="207" t="str">
        <f t="shared" si="1"/>
        <v/>
      </c>
      <c r="H55" s="204" t="str">
        <f t="shared" si="2"/>
        <v/>
      </c>
      <c r="I55" s="204" t="str">
        <f t="shared" si="3"/>
        <v/>
      </c>
      <c r="J55" s="198">
        <v>2</v>
      </c>
      <c r="K55" s="199">
        <v>2</v>
      </c>
      <c r="L55" s="207">
        <f t="shared" si="4"/>
        <v>0</v>
      </c>
      <c r="M55" s="204">
        <f t="shared" si="5"/>
        <v>2.3840743831207534E-3</v>
      </c>
      <c r="N55" s="205">
        <f t="shared" si="6"/>
        <v>2.1814770781296016E-3</v>
      </c>
    </row>
    <row r="56" spans="1:14" hidden="1" outlineLevel="1">
      <c r="A56" s="196"/>
      <c r="B56" s="206" t="s">
        <v>798</v>
      </c>
      <c r="C56" s="202">
        <f t="shared" si="0"/>
        <v>-100</v>
      </c>
      <c r="E56" s="198">
        <v>0</v>
      </c>
      <c r="F56" s="199">
        <v>0</v>
      </c>
      <c r="G56" s="207" t="str">
        <f t="shared" si="1"/>
        <v/>
      </c>
      <c r="H56" s="204" t="str">
        <f t="shared" si="2"/>
        <v/>
      </c>
      <c r="I56" s="204" t="str">
        <f t="shared" si="3"/>
        <v/>
      </c>
      <c r="J56" s="198">
        <v>0</v>
      </c>
      <c r="K56" s="199">
        <v>14</v>
      </c>
      <c r="L56" s="207">
        <f t="shared" si="4"/>
        <v>-100</v>
      </c>
      <c r="M56" s="204" t="str">
        <f t="shared" si="5"/>
        <v/>
      </c>
      <c r="N56" s="205">
        <f t="shared" si="6"/>
        <v>1.5270339546907211E-2</v>
      </c>
    </row>
    <row r="57" spans="1:14" collapsed="1">
      <c r="A57" s="196" t="s">
        <v>1222</v>
      </c>
      <c r="B57" s="195" t="s">
        <v>283</v>
      </c>
      <c r="C57" s="202">
        <f t="shared" si="0"/>
        <v>-31.817325800376651</v>
      </c>
      <c r="E57" s="198">
        <v>1633</v>
      </c>
      <c r="F57" s="199">
        <v>2749</v>
      </c>
      <c r="G57" s="207">
        <f t="shared" si="1"/>
        <v>-40.596580574754455</v>
      </c>
      <c r="H57" s="204">
        <f t="shared" si="2"/>
        <v>7.9325755367725641</v>
      </c>
      <c r="I57" s="204">
        <f t="shared" si="3"/>
        <v>12.528484185580165</v>
      </c>
      <c r="J57" s="198">
        <v>7241</v>
      </c>
      <c r="K57" s="199">
        <v>10620</v>
      </c>
      <c r="L57" s="207">
        <f t="shared" si="4"/>
        <v>-31.817325800376651</v>
      </c>
      <c r="M57" s="204">
        <f t="shared" si="5"/>
        <v>8.631541304088687</v>
      </c>
      <c r="N57" s="205">
        <f t="shared" si="6"/>
        <v>11.583643284868185</v>
      </c>
    </row>
    <row r="58" spans="1:14" hidden="1" outlineLevel="1">
      <c r="A58" s="196"/>
      <c r="B58" s="206" t="s">
        <v>760</v>
      </c>
      <c r="C58" s="202">
        <f t="shared" si="0"/>
        <v>-58.491484184914846</v>
      </c>
      <c r="E58" s="198">
        <v>459</v>
      </c>
      <c r="F58" s="199">
        <v>819</v>
      </c>
      <c r="G58" s="207">
        <f t="shared" si="1"/>
        <v>-43.956043956043956</v>
      </c>
      <c r="H58" s="204">
        <f t="shared" si="2"/>
        <v>2.2296706499562813</v>
      </c>
      <c r="I58" s="204">
        <f t="shared" si="3"/>
        <v>3.7325676784249384</v>
      </c>
      <c r="J58" s="198">
        <v>1706</v>
      </c>
      <c r="K58" s="199">
        <v>4110</v>
      </c>
      <c r="L58" s="207">
        <f t="shared" si="4"/>
        <v>-58.491484184914846</v>
      </c>
      <c r="M58" s="204">
        <f t="shared" si="5"/>
        <v>2.0336154488020024</v>
      </c>
      <c r="N58" s="205">
        <f t="shared" si="6"/>
        <v>4.4829353955563311</v>
      </c>
    </row>
    <row r="59" spans="1:14" hidden="1" outlineLevel="1">
      <c r="A59" s="196"/>
      <c r="B59" s="206" t="s">
        <v>761</v>
      </c>
      <c r="C59" s="202">
        <f t="shared" si="0"/>
        <v>-42.486678507992899</v>
      </c>
      <c r="E59" s="198">
        <v>288</v>
      </c>
      <c r="F59" s="199">
        <v>724</v>
      </c>
      <c r="G59" s="207">
        <f t="shared" si="1"/>
        <v>-60.22099447513812</v>
      </c>
      <c r="H59" s="204">
        <f t="shared" si="2"/>
        <v>1.3990090352666862</v>
      </c>
      <c r="I59" s="204">
        <f t="shared" si="3"/>
        <v>3.2996080576064171</v>
      </c>
      <c r="J59" s="198">
        <v>1619</v>
      </c>
      <c r="K59" s="199">
        <v>2815</v>
      </c>
      <c r="L59" s="207">
        <f t="shared" si="4"/>
        <v>-42.486678507992899</v>
      </c>
      <c r="M59" s="204">
        <f t="shared" si="5"/>
        <v>1.9299082131362499</v>
      </c>
      <c r="N59" s="205">
        <f t="shared" si="6"/>
        <v>3.0704289874674142</v>
      </c>
    </row>
    <row r="60" spans="1:14" hidden="1" outlineLevel="1">
      <c r="A60" s="196"/>
      <c r="B60" s="206" t="s">
        <v>763</v>
      </c>
      <c r="C60" s="202">
        <f t="shared" si="0"/>
        <v>34.953897736797991</v>
      </c>
      <c r="E60" s="198">
        <v>322</v>
      </c>
      <c r="F60" s="199">
        <v>420</v>
      </c>
      <c r="G60" s="207">
        <f t="shared" si="1"/>
        <v>-23.333333333333332</v>
      </c>
      <c r="H60" s="204">
        <f t="shared" si="2"/>
        <v>1.5641698241523367</v>
      </c>
      <c r="I60" s="204">
        <f t="shared" si="3"/>
        <v>1.9141372709871478</v>
      </c>
      <c r="J60" s="198">
        <v>1610</v>
      </c>
      <c r="K60" s="199">
        <v>1193</v>
      </c>
      <c r="L60" s="207">
        <f t="shared" si="4"/>
        <v>34.953897736797991</v>
      </c>
      <c r="M60" s="204">
        <f t="shared" si="5"/>
        <v>1.9191798784122065</v>
      </c>
      <c r="N60" s="205">
        <f t="shared" si="6"/>
        <v>1.3012510771043073</v>
      </c>
    </row>
    <row r="61" spans="1:14" hidden="1" outlineLevel="1">
      <c r="A61" s="196"/>
      <c r="B61" s="206" t="s">
        <v>762</v>
      </c>
      <c r="C61" s="202">
        <f t="shared" si="0"/>
        <v>58.797327394209354</v>
      </c>
      <c r="E61" s="198">
        <v>314</v>
      </c>
      <c r="F61" s="199">
        <v>519</v>
      </c>
      <c r="G61" s="207">
        <f t="shared" si="1"/>
        <v>-39.4990366088632</v>
      </c>
      <c r="H61" s="204">
        <f t="shared" si="2"/>
        <v>1.5253084620615953</v>
      </c>
      <c r="I61" s="204">
        <f t="shared" si="3"/>
        <v>2.3653267705769756</v>
      </c>
      <c r="J61" s="198">
        <v>1426</v>
      </c>
      <c r="K61" s="199">
        <v>898</v>
      </c>
      <c r="L61" s="207">
        <f t="shared" si="4"/>
        <v>58.797327394209354</v>
      </c>
      <c r="M61" s="204">
        <f t="shared" si="5"/>
        <v>1.6998450351650971</v>
      </c>
      <c r="N61" s="205">
        <f t="shared" si="6"/>
        <v>0.97948320808019096</v>
      </c>
    </row>
    <row r="62" spans="1:14" hidden="1" outlineLevel="1">
      <c r="A62" s="196"/>
      <c r="B62" s="206" t="s">
        <v>764</v>
      </c>
      <c r="C62" s="202">
        <f t="shared" si="0"/>
        <v>-49.489795918367349</v>
      </c>
      <c r="E62" s="198">
        <v>107</v>
      </c>
      <c r="F62" s="199">
        <v>115</v>
      </c>
      <c r="G62" s="207">
        <f t="shared" si="1"/>
        <v>-6.9565217391304346</v>
      </c>
      <c r="H62" s="204">
        <f t="shared" si="2"/>
        <v>0.51977071796366459</v>
      </c>
      <c r="I62" s="204">
        <f t="shared" si="3"/>
        <v>0.52410901467505244</v>
      </c>
      <c r="J62" s="198">
        <v>297</v>
      </c>
      <c r="K62" s="199">
        <v>588</v>
      </c>
      <c r="L62" s="207">
        <f t="shared" si="4"/>
        <v>-49.489795918367349</v>
      </c>
      <c r="M62" s="204">
        <f t="shared" si="5"/>
        <v>0.35403504589343188</v>
      </c>
      <c r="N62" s="205">
        <f t="shared" si="6"/>
        <v>0.64135426097010284</v>
      </c>
    </row>
    <row r="63" spans="1:14" hidden="1" outlineLevel="1">
      <c r="A63" s="196"/>
      <c r="B63" s="206" t="s">
        <v>766</v>
      </c>
      <c r="C63" s="202">
        <f t="shared" si="0"/>
        <v>-14.968152866242038</v>
      </c>
      <c r="E63" s="198">
        <v>77</v>
      </c>
      <c r="F63" s="199">
        <v>46</v>
      </c>
      <c r="G63" s="207">
        <f t="shared" si="1"/>
        <v>67.391304347826093</v>
      </c>
      <c r="H63" s="204">
        <f t="shared" si="2"/>
        <v>0.3740406101233848</v>
      </c>
      <c r="I63" s="204">
        <f t="shared" si="3"/>
        <v>0.20964360587002098</v>
      </c>
      <c r="J63" s="198">
        <v>267</v>
      </c>
      <c r="K63" s="199">
        <v>314</v>
      </c>
      <c r="L63" s="207">
        <f t="shared" si="4"/>
        <v>-14.968152866242038</v>
      </c>
      <c r="M63" s="204">
        <f t="shared" si="5"/>
        <v>0.31827393014662059</v>
      </c>
      <c r="N63" s="205">
        <f t="shared" si="6"/>
        <v>0.34249190126634743</v>
      </c>
    </row>
    <row r="64" spans="1:14" hidden="1" outlineLevel="1">
      <c r="A64" s="196"/>
      <c r="B64" s="206" t="s">
        <v>765</v>
      </c>
      <c r="C64" s="202">
        <f t="shared" si="0"/>
        <v>-20.333333333333332</v>
      </c>
      <c r="E64" s="198">
        <v>66</v>
      </c>
      <c r="F64" s="199">
        <v>37</v>
      </c>
      <c r="G64" s="207">
        <f t="shared" si="1"/>
        <v>78.378378378378372</v>
      </c>
      <c r="H64" s="204">
        <f t="shared" si="2"/>
        <v>0.32060623724861559</v>
      </c>
      <c r="I64" s="204">
        <f t="shared" si="3"/>
        <v>0.16862637863458207</v>
      </c>
      <c r="J64" s="198">
        <v>239</v>
      </c>
      <c r="K64" s="199">
        <v>300</v>
      </c>
      <c r="L64" s="207">
        <f t="shared" si="4"/>
        <v>-20.333333333333332</v>
      </c>
      <c r="M64" s="204">
        <f t="shared" si="5"/>
        <v>0.28489688878293007</v>
      </c>
      <c r="N64" s="205">
        <f t="shared" si="6"/>
        <v>0.32722156171944022</v>
      </c>
    </row>
    <row r="65" spans="1:14" hidden="1" outlineLevel="1">
      <c r="A65" s="196"/>
      <c r="B65" s="206" t="s">
        <v>768</v>
      </c>
      <c r="C65" s="202">
        <f t="shared" si="0"/>
        <v>-67.777777777777786</v>
      </c>
      <c r="E65" s="198">
        <v>0</v>
      </c>
      <c r="F65" s="199">
        <v>26</v>
      </c>
      <c r="G65" s="207">
        <f t="shared" si="1"/>
        <v>-100</v>
      </c>
      <c r="H65" s="204" t="str">
        <f t="shared" si="2"/>
        <v/>
      </c>
      <c r="I65" s="204">
        <f t="shared" si="3"/>
        <v>0.11849421201349011</v>
      </c>
      <c r="J65" s="198">
        <v>58</v>
      </c>
      <c r="K65" s="199">
        <v>180</v>
      </c>
      <c r="L65" s="207">
        <f t="shared" si="4"/>
        <v>-67.777777777777786</v>
      </c>
      <c r="M65" s="204">
        <f t="shared" si="5"/>
        <v>6.9138157110501849E-2</v>
      </c>
      <c r="N65" s="205">
        <f t="shared" si="6"/>
        <v>0.19633293703166413</v>
      </c>
    </row>
    <row r="66" spans="1:14" hidden="1" outlineLevel="1">
      <c r="A66" s="196"/>
      <c r="B66" s="206" t="s">
        <v>767</v>
      </c>
      <c r="C66" s="202">
        <f t="shared" si="0"/>
        <v>-91.324200913242009</v>
      </c>
      <c r="E66" s="198">
        <v>0</v>
      </c>
      <c r="F66" s="199">
        <v>43</v>
      </c>
      <c r="G66" s="207">
        <f t="shared" si="1"/>
        <v>-100</v>
      </c>
      <c r="H66" s="204" t="str">
        <f t="shared" si="2"/>
        <v/>
      </c>
      <c r="I66" s="204">
        <f t="shared" si="3"/>
        <v>0.19597119679154135</v>
      </c>
      <c r="J66" s="198">
        <v>19</v>
      </c>
      <c r="K66" s="199">
        <v>219</v>
      </c>
      <c r="L66" s="207">
        <f t="shared" si="4"/>
        <v>-91.324200913242009</v>
      </c>
      <c r="M66" s="204">
        <f t="shared" si="5"/>
        <v>2.2648706639647156E-2</v>
      </c>
      <c r="N66" s="205">
        <f t="shared" si="6"/>
        <v>0.23887174005519135</v>
      </c>
    </row>
    <row r="67" spans="1:14" hidden="1" outlineLevel="1">
      <c r="A67" s="196"/>
      <c r="B67" s="206" t="s">
        <v>769</v>
      </c>
      <c r="C67" s="202">
        <f t="shared" si="0"/>
        <v>-100</v>
      </c>
      <c r="E67" s="198">
        <v>0</v>
      </c>
      <c r="F67" s="199">
        <v>0</v>
      </c>
      <c r="G67" s="207" t="str">
        <f t="shared" si="1"/>
        <v/>
      </c>
      <c r="H67" s="204" t="str">
        <f t="shared" si="2"/>
        <v/>
      </c>
      <c r="I67" s="204" t="str">
        <f t="shared" si="3"/>
        <v/>
      </c>
      <c r="J67" s="198">
        <v>0</v>
      </c>
      <c r="K67" s="199">
        <v>3</v>
      </c>
      <c r="L67" s="207">
        <f t="shared" si="4"/>
        <v>-100</v>
      </c>
      <c r="M67" s="204" t="str">
        <f t="shared" si="5"/>
        <v/>
      </c>
      <c r="N67" s="205">
        <f t="shared" si="6"/>
        <v>3.2722156171944025E-3</v>
      </c>
    </row>
    <row r="68" spans="1:14" collapsed="1">
      <c r="A68" s="196" t="s">
        <v>1223</v>
      </c>
      <c r="B68" s="195" t="s">
        <v>302</v>
      </c>
      <c r="C68" s="202">
        <f t="shared" si="0"/>
        <v>72.660725652450665</v>
      </c>
      <c r="E68" s="198">
        <v>742</v>
      </c>
      <c r="F68" s="199">
        <v>9</v>
      </c>
      <c r="G68" s="207">
        <f t="shared" si="1"/>
        <v>8144.4444444444443</v>
      </c>
      <c r="H68" s="204">
        <f t="shared" si="2"/>
        <v>3.6043913339162534</v>
      </c>
      <c r="I68" s="204">
        <f t="shared" si="3"/>
        <v>4.1017227235438887E-2</v>
      </c>
      <c r="J68" s="198">
        <v>5425</v>
      </c>
      <c r="K68" s="199">
        <v>3142</v>
      </c>
      <c r="L68" s="207">
        <f t="shared" si="4"/>
        <v>72.660725652450665</v>
      </c>
      <c r="M68" s="204">
        <f t="shared" si="5"/>
        <v>6.4668017642150435</v>
      </c>
      <c r="N68" s="205">
        <f t="shared" si="6"/>
        <v>3.427100489741604</v>
      </c>
    </row>
    <row r="69" spans="1:14" hidden="1" outlineLevel="1">
      <c r="A69" s="196"/>
      <c r="B69" s="206" t="s">
        <v>873</v>
      </c>
      <c r="C69" s="202">
        <f t="shared" si="0"/>
        <v>117.55997958141909</v>
      </c>
      <c r="E69" s="198">
        <v>652</v>
      </c>
      <c r="F69" s="199">
        <v>5</v>
      </c>
      <c r="G69" s="207">
        <f t="shared" si="1"/>
        <v>12940</v>
      </c>
      <c r="H69" s="204">
        <f t="shared" si="2"/>
        <v>3.1672010103954142</v>
      </c>
      <c r="I69" s="204">
        <f t="shared" si="3"/>
        <v>2.2787348464132714E-2</v>
      </c>
      <c r="J69" s="198">
        <v>4262</v>
      </c>
      <c r="K69" s="199">
        <v>1959</v>
      </c>
      <c r="L69" s="207">
        <f t="shared" si="4"/>
        <v>117.55997958141909</v>
      </c>
      <c r="M69" s="204">
        <f t="shared" si="5"/>
        <v>5.0804625104303254</v>
      </c>
      <c r="N69" s="205">
        <f t="shared" si="6"/>
        <v>2.1367567980279447</v>
      </c>
    </row>
    <row r="70" spans="1:14" hidden="1" outlineLevel="1">
      <c r="A70" s="196"/>
      <c r="B70" s="206" t="s">
        <v>874</v>
      </c>
      <c r="C70" s="202">
        <f t="shared" si="0"/>
        <v>-9.8901098901098905</v>
      </c>
      <c r="E70" s="198">
        <v>61</v>
      </c>
      <c r="F70" s="199">
        <v>4</v>
      </c>
      <c r="G70" s="207">
        <f t="shared" si="1"/>
        <v>1425</v>
      </c>
      <c r="H70" s="204">
        <f t="shared" si="2"/>
        <v>0.29631788594190228</v>
      </c>
      <c r="I70" s="204">
        <f t="shared" si="3"/>
        <v>1.822987877130617E-2</v>
      </c>
      <c r="J70" s="198">
        <v>1066</v>
      </c>
      <c r="K70" s="199">
        <v>1183</v>
      </c>
      <c r="L70" s="207">
        <f t="shared" si="4"/>
        <v>-9.8901098901098905</v>
      </c>
      <c r="M70" s="204">
        <f t="shared" si="5"/>
        <v>1.2707116462033616</v>
      </c>
      <c r="N70" s="205">
        <f t="shared" si="6"/>
        <v>1.2903436917136593</v>
      </c>
    </row>
    <row r="71" spans="1:14" hidden="1" outlineLevel="1">
      <c r="A71" s="196"/>
      <c r="B71" s="206" t="s">
        <v>875</v>
      </c>
      <c r="C71" s="202" t="str">
        <f t="shared" si="0"/>
        <v/>
      </c>
      <c r="E71" s="198">
        <v>21</v>
      </c>
      <c r="F71" s="199">
        <v>0</v>
      </c>
      <c r="G71" s="207" t="str">
        <f t="shared" si="1"/>
        <v/>
      </c>
      <c r="H71" s="204">
        <f t="shared" si="2"/>
        <v>0.10201107548819587</v>
      </c>
      <c r="I71" s="204" t="str">
        <f t="shared" si="3"/>
        <v/>
      </c>
      <c r="J71" s="198">
        <v>56</v>
      </c>
      <c r="K71" s="199">
        <v>0</v>
      </c>
      <c r="L71" s="207" t="str">
        <f t="shared" si="4"/>
        <v/>
      </c>
      <c r="M71" s="204">
        <f t="shared" si="5"/>
        <v>6.6754082727381092E-2</v>
      </c>
      <c r="N71" s="205" t="str">
        <f t="shared" si="6"/>
        <v/>
      </c>
    </row>
    <row r="72" spans="1:14" hidden="1" outlineLevel="1">
      <c r="A72" s="196"/>
      <c r="B72" s="206" t="s">
        <v>1081</v>
      </c>
      <c r="C72" s="202" t="str">
        <f t="shared" si="0"/>
        <v/>
      </c>
      <c r="E72" s="198">
        <v>8</v>
      </c>
      <c r="F72" s="199">
        <v>0</v>
      </c>
      <c r="G72" s="207" t="str">
        <f t="shared" si="1"/>
        <v/>
      </c>
      <c r="H72" s="204">
        <f t="shared" si="2"/>
        <v>3.8861362090741279E-2</v>
      </c>
      <c r="I72" s="204" t="str">
        <f t="shared" si="3"/>
        <v/>
      </c>
      <c r="J72" s="198">
        <v>41</v>
      </c>
      <c r="K72" s="199">
        <v>0</v>
      </c>
      <c r="L72" s="207" t="str">
        <f t="shared" si="4"/>
        <v/>
      </c>
      <c r="M72" s="204">
        <f t="shared" si="5"/>
        <v>4.8873524853975447E-2</v>
      </c>
      <c r="N72" s="205" t="str">
        <f t="shared" si="6"/>
        <v/>
      </c>
    </row>
    <row r="73" spans="1:14" collapsed="1">
      <c r="A73" s="196" t="s">
        <v>1224</v>
      </c>
      <c r="B73" s="195" t="s">
        <v>270</v>
      </c>
      <c r="C73" s="202">
        <f t="shared" si="0"/>
        <v>21.050141911069066</v>
      </c>
      <c r="E73" s="198">
        <v>1486</v>
      </c>
      <c r="F73" s="199">
        <v>985</v>
      </c>
      <c r="G73" s="207">
        <f t="shared" si="1"/>
        <v>50.862944162436548</v>
      </c>
      <c r="H73" s="204">
        <f t="shared" si="2"/>
        <v>7.2184980083551924</v>
      </c>
      <c r="I73" s="204">
        <f t="shared" si="3"/>
        <v>4.4891076474341443</v>
      </c>
      <c r="J73" s="198">
        <v>5118</v>
      </c>
      <c r="K73" s="199">
        <v>4228</v>
      </c>
      <c r="L73" s="207">
        <f t="shared" si="4"/>
        <v>21.050141911069066</v>
      </c>
      <c r="M73" s="204">
        <f t="shared" si="5"/>
        <v>6.1008463464060085</v>
      </c>
      <c r="N73" s="205">
        <f t="shared" si="6"/>
        <v>4.6116425431659778</v>
      </c>
    </row>
    <row r="74" spans="1:14" hidden="1" outlineLevel="1">
      <c r="A74" s="196"/>
      <c r="B74" s="206" t="s">
        <v>849</v>
      </c>
      <c r="C74" s="202">
        <f t="shared" ref="C74:C137" si="7">IF(K74=0,"",SUM(((J74-K74)/K74)*100))</f>
        <v>94.481236203090518</v>
      </c>
      <c r="E74" s="198">
        <v>285</v>
      </c>
      <c r="F74" s="199">
        <v>78</v>
      </c>
      <c r="G74" s="207">
        <f t="shared" ref="G74:G137" si="8">IF(F74=0,"",SUM(((E74-F74)/F74)*100))</f>
        <v>265.38461538461536</v>
      </c>
      <c r="H74" s="204">
        <f t="shared" ref="H74:H137" si="9">IF(E74=0,"",SUM((E74/CntPeriod)*100))</f>
        <v>1.3844360244826581</v>
      </c>
      <c r="I74" s="204">
        <f t="shared" ref="I74:I137" si="10">IF(F74=0,"",SUM((F74/CntPeriodPrevYear)*100))</f>
        <v>0.35548263604047031</v>
      </c>
      <c r="J74" s="198">
        <v>881</v>
      </c>
      <c r="K74" s="199">
        <v>453</v>
      </c>
      <c r="L74" s="207">
        <f t="shared" ref="L74:L137" si="11">IF(K74=0,"",SUM(((J74-K74)/K74)*100))</f>
        <v>94.481236203090518</v>
      </c>
      <c r="M74" s="204">
        <f t="shared" ref="M74:M137" si="12">IF(J74=0,"",SUM((J74/CntYearAck)*100))</f>
        <v>1.0501847657646919</v>
      </c>
      <c r="N74" s="205">
        <f t="shared" ref="N74:N137" si="13">IF(K74=0,"",SUM((K74/CntPrevYearAck)*100))</f>
        <v>0.49410455819635474</v>
      </c>
    </row>
    <row r="75" spans="1:14" hidden="1" outlineLevel="1">
      <c r="A75" s="196"/>
      <c r="B75" s="206" t="s">
        <v>847</v>
      </c>
      <c r="C75" s="202">
        <f t="shared" si="7"/>
        <v>85.897435897435898</v>
      </c>
      <c r="E75" s="198">
        <v>285</v>
      </c>
      <c r="F75" s="199">
        <v>127</v>
      </c>
      <c r="G75" s="207">
        <f t="shared" si="8"/>
        <v>124.40944881889764</v>
      </c>
      <c r="H75" s="204">
        <f t="shared" si="9"/>
        <v>1.3844360244826581</v>
      </c>
      <c r="I75" s="204">
        <f t="shared" si="10"/>
        <v>0.57879865098897099</v>
      </c>
      <c r="J75" s="198">
        <v>870</v>
      </c>
      <c r="K75" s="199">
        <v>468</v>
      </c>
      <c r="L75" s="207">
        <f t="shared" si="11"/>
        <v>85.897435897435898</v>
      </c>
      <c r="M75" s="204">
        <f t="shared" si="12"/>
        <v>1.0370723566575277</v>
      </c>
      <c r="N75" s="205">
        <f t="shared" si="13"/>
        <v>0.51046563628232677</v>
      </c>
    </row>
    <row r="76" spans="1:14" hidden="1" outlineLevel="1">
      <c r="A76" s="196"/>
      <c r="B76" s="206" t="s">
        <v>846</v>
      </c>
      <c r="C76" s="202">
        <f t="shared" si="7"/>
        <v>-3.0848329048843186</v>
      </c>
      <c r="E76" s="198">
        <v>193</v>
      </c>
      <c r="F76" s="199">
        <v>85</v>
      </c>
      <c r="G76" s="207">
        <f t="shared" si="8"/>
        <v>127.05882352941175</v>
      </c>
      <c r="H76" s="204">
        <f t="shared" si="9"/>
        <v>0.9375303604391334</v>
      </c>
      <c r="I76" s="204">
        <f t="shared" si="10"/>
        <v>0.38738492389025614</v>
      </c>
      <c r="J76" s="198">
        <v>754</v>
      </c>
      <c r="K76" s="199">
        <v>778</v>
      </c>
      <c r="L76" s="207">
        <f t="shared" si="11"/>
        <v>-3.0848329048843186</v>
      </c>
      <c r="M76" s="204">
        <f t="shared" si="12"/>
        <v>0.898796042436524</v>
      </c>
      <c r="N76" s="205">
        <f t="shared" si="13"/>
        <v>0.848594583392415</v>
      </c>
    </row>
    <row r="77" spans="1:14" hidden="1" outlineLevel="1">
      <c r="A77" s="196"/>
      <c r="B77" s="206" t="s">
        <v>848</v>
      </c>
      <c r="C77" s="202">
        <f t="shared" si="7"/>
        <v>5.4466230936819171</v>
      </c>
      <c r="E77" s="198">
        <v>108</v>
      </c>
      <c r="F77" s="199">
        <v>131</v>
      </c>
      <c r="G77" s="207">
        <f t="shared" si="8"/>
        <v>-17.557251908396946</v>
      </c>
      <c r="H77" s="204">
        <f t="shared" si="9"/>
        <v>0.52462838822500724</v>
      </c>
      <c r="I77" s="204">
        <f t="shared" si="10"/>
        <v>0.59702852976027709</v>
      </c>
      <c r="J77" s="198">
        <v>484</v>
      </c>
      <c r="K77" s="199">
        <v>459</v>
      </c>
      <c r="L77" s="207">
        <f t="shared" si="11"/>
        <v>5.4466230936819171</v>
      </c>
      <c r="M77" s="204">
        <f t="shared" si="12"/>
        <v>0.57694600071522228</v>
      </c>
      <c r="N77" s="205">
        <f t="shared" si="13"/>
        <v>0.50064898943074354</v>
      </c>
    </row>
    <row r="78" spans="1:14" hidden="1" outlineLevel="1">
      <c r="A78" s="196"/>
      <c r="B78" s="206" t="s">
        <v>845</v>
      </c>
      <c r="C78" s="202">
        <f t="shared" si="7"/>
        <v>-5.7203389830508478</v>
      </c>
      <c r="E78" s="198">
        <v>151</v>
      </c>
      <c r="F78" s="199">
        <v>194</v>
      </c>
      <c r="G78" s="207">
        <f t="shared" si="8"/>
        <v>-22.164948453608247</v>
      </c>
      <c r="H78" s="204">
        <f t="shared" si="9"/>
        <v>0.73350820946274164</v>
      </c>
      <c r="I78" s="204">
        <f t="shared" si="10"/>
        <v>0.88414912040834936</v>
      </c>
      <c r="J78" s="198">
        <v>445</v>
      </c>
      <c r="K78" s="199">
        <v>472</v>
      </c>
      <c r="L78" s="207">
        <f t="shared" si="11"/>
        <v>-5.7203389830508478</v>
      </c>
      <c r="M78" s="204">
        <f t="shared" si="12"/>
        <v>0.53045655024436755</v>
      </c>
      <c r="N78" s="205">
        <f t="shared" si="13"/>
        <v>0.51482859043858598</v>
      </c>
    </row>
    <row r="79" spans="1:14" hidden="1" outlineLevel="1">
      <c r="A79" s="196"/>
      <c r="B79" s="206" t="s">
        <v>850</v>
      </c>
      <c r="C79" s="202">
        <f t="shared" si="7"/>
        <v>-16.350710900473935</v>
      </c>
      <c r="E79" s="198">
        <v>113</v>
      </c>
      <c r="F79" s="199">
        <v>79</v>
      </c>
      <c r="G79" s="207">
        <f t="shared" si="8"/>
        <v>43.037974683544306</v>
      </c>
      <c r="H79" s="204">
        <f t="shared" si="9"/>
        <v>0.5489167395317206</v>
      </c>
      <c r="I79" s="204">
        <f t="shared" si="10"/>
        <v>0.36004010573329687</v>
      </c>
      <c r="J79" s="198">
        <v>353</v>
      </c>
      <c r="K79" s="199">
        <v>422</v>
      </c>
      <c r="L79" s="207">
        <f t="shared" si="11"/>
        <v>-16.350710900473935</v>
      </c>
      <c r="M79" s="204">
        <f t="shared" si="12"/>
        <v>0.42078912862081291</v>
      </c>
      <c r="N79" s="205">
        <f t="shared" si="13"/>
        <v>0.46029166348534589</v>
      </c>
    </row>
    <row r="80" spans="1:14" hidden="1" outlineLevel="1">
      <c r="A80" s="196"/>
      <c r="B80" s="206" t="s">
        <v>851</v>
      </c>
      <c r="C80" s="202">
        <f t="shared" si="7"/>
        <v>45.416666666666664</v>
      </c>
      <c r="E80" s="198">
        <v>104</v>
      </c>
      <c r="F80" s="199">
        <v>99</v>
      </c>
      <c r="G80" s="207">
        <f t="shared" si="8"/>
        <v>5.0505050505050502</v>
      </c>
      <c r="H80" s="204">
        <f t="shared" si="9"/>
        <v>0.50519770717963663</v>
      </c>
      <c r="I80" s="204">
        <f t="shared" si="10"/>
        <v>0.45118949958982779</v>
      </c>
      <c r="J80" s="198">
        <v>349</v>
      </c>
      <c r="K80" s="199">
        <v>240</v>
      </c>
      <c r="L80" s="207">
        <f t="shared" si="11"/>
        <v>45.416666666666664</v>
      </c>
      <c r="M80" s="204">
        <f t="shared" si="12"/>
        <v>0.41602097985457148</v>
      </c>
      <c r="N80" s="205">
        <f t="shared" si="13"/>
        <v>0.26177724937555219</v>
      </c>
    </row>
    <row r="81" spans="1:14" hidden="1" outlineLevel="1">
      <c r="A81" s="196"/>
      <c r="B81" s="206" t="s">
        <v>853</v>
      </c>
      <c r="C81" s="202">
        <f t="shared" si="7"/>
        <v>50</v>
      </c>
      <c r="E81" s="198">
        <v>51</v>
      </c>
      <c r="F81" s="199">
        <v>49</v>
      </c>
      <c r="G81" s="207">
        <f t="shared" si="8"/>
        <v>4.0816326530612246</v>
      </c>
      <c r="H81" s="204">
        <f t="shared" si="9"/>
        <v>0.24774118332847569</v>
      </c>
      <c r="I81" s="204">
        <f t="shared" si="10"/>
        <v>0.22331601494850062</v>
      </c>
      <c r="J81" s="198">
        <v>315</v>
      </c>
      <c r="K81" s="199">
        <v>210</v>
      </c>
      <c r="L81" s="207">
        <f t="shared" si="11"/>
        <v>50</v>
      </c>
      <c r="M81" s="204">
        <f t="shared" si="12"/>
        <v>0.37549171534151865</v>
      </c>
      <c r="N81" s="205">
        <f t="shared" si="13"/>
        <v>0.22905509320360817</v>
      </c>
    </row>
    <row r="82" spans="1:14" hidden="1" outlineLevel="1">
      <c r="A82" s="196"/>
      <c r="B82" s="206" t="s">
        <v>852</v>
      </c>
      <c r="C82" s="202">
        <f t="shared" si="7"/>
        <v>-15.471698113207546</v>
      </c>
      <c r="E82" s="198">
        <v>80</v>
      </c>
      <c r="F82" s="199">
        <v>46</v>
      </c>
      <c r="G82" s="207">
        <f t="shared" si="8"/>
        <v>73.91304347826086</v>
      </c>
      <c r="H82" s="204">
        <f t="shared" si="9"/>
        <v>0.3886136209074128</v>
      </c>
      <c r="I82" s="204">
        <f t="shared" si="10"/>
        <v>0.20964360587002098</v>
      </c>
      <c r="J82" s="198">
        <v>224</v>
      </c>
      <c r="K82" s="199">
        <v>265</v>
      </c>
      <c r="L82" s="207">
        <f t="shared" si="11"/>
        <v>-15.471698113207546</v>
      </c>
      <c r="M82" s="204">
        <f t="shared" si="12"/>
        <v>0.26701633090952437</v>
      </c>
      <c r="N82" s="205">
        <f t="shared" si="13"/>
        <v>0.28904571285217223</v>
      </c>
    </row>
    <row r="83" spans="1:14" hidden="1" outlineLevel="1">
      <c r="A83" s="196"/>
      <c r="B83" s="206" t="s">
        <v>854</v>
      </c>
      <c r="C83" s="202">
        <f t="shared" si="7"/>
        <v>79.646017699115049</v>
      </c>
      <c r="E83" s="198">
        <v>49</v>
      </c>
      <c r="F83" s="199">
        <v>28</v>
      </c>
      <c r="G83" s="207">
        <f t="shared" si="8"/>
        <v>75</v>
      </c>
      <c r="H83" s="204">
        <f t="shared" si="9"/>
        <v>0.23802584280579034</v>
      </c>
      <c r="I83" s="204">
        <f t="shared" si="10"/>
        <v>0.12760915139914319</v>
      </c>
      <c r="J83" s="198">
        <v>203</v>
      </c>
      <c r="K83" s="199">
        <v>113</v>
      </c>
      <c r="L83" s="207">
        <f t="shared" si="11"/>
        <v>79.646017699115049</v>
      </c>
      <c r="M83" s="204">
        <f t="shared" si="12"/>
        <v>0.24198354988675649</v>
      </c>
      <c r="N83" s="205">
        <f t="shared" si="13"/>
        <v>0.12325345491432248</v>
      </c>
    </row>
    <row r="84" spans="1:14" hidden="1" outlineLevel="1">
      <c r="A84" s="196"/>
      <c r="B84" s="206" t="s">
        <v>858</v>
      </c>
      <c r="C84" s="202">
        <f t="shared" si="7"/>
        <v>32.307692307692307</v>
      </c>
      <c r="E84" s="198">
        <v>23</v>
      </c>
      <c r="F84" s="199">
        <v>17</v>
      </c>
      <c r="G84" s="207">
        <f t="shared" si="8"/>
        <v>35.294117647058826</v>
      </c>
      <c r="H84" s="204">
        <f t="shared" si="9"/>
        <v>0.11172641601088118</v>
      </c>
      <c r="I84" s="204">
        <f t="shared" si="10"/>
        <v>7.7476984778051233E-2</v>
      </c>
      <c r="J84" s="198">
        <v>86</v>
      </c>
      <c r="K84" s="199">
        <v>65</v>
      </c>
      <c r="L84" s="207">
        <f t="shared" si="11"/>
        <v>32.307692307692307</v>
      </c>
      <c r="M84" s="204">
        <f t="shared" si="12"/>
        <v>0.10251519847419241</v>
      </c>
      <c r="N84" s="205">
        <f t="shared" si="13"/>
        <v>7.089800503921205E-2</v>
      </c>
    </row>
    <row r="85" spans="1:14" hidden="1" outlineLevel="1">
      <c r="A85" s="196"/>
      <c r="B85" s="206" t="s">
        <v>855</v>
      </c>
      <c r="C85" s="202">
        <f t="shared" si="7"/>
        <v>-22.772277227722775</v>
      </c>
      <c r="E85" s="198">
        <v>20</v>
      </c>
      <c r="F85" s="199">
        <v>23</v>
      </c>
      <c r="G85" s="207">
        <f t="shared" si="8"/>
        <v>-13.043478260869565</v>
      </c>
      <c r="H85" s="204">
        <f t="shared" si="9"/>
        <v>9.7153405226853201E-2</v>
      </c>
      <c r="I85" s="204">
        <f t="shared" si="10"/>
        <v>0.10482180293501049</v>
      </c>
      <c r="J85" s="198">
        <v>78</v>
      </c>
      <c r="K85" s="199">
        <v>101</v>
      </c>
      <c r="L85" s="207">
        <f t="shared" si="11"/>
        <v>-22.772277227722775</v>
      </c>
      <c r="M85" s="204">
        <f t="shared" si="12"/>
        <v>9.297890094170938E-2</v>
      </c>
      <c r="N85" s="205">
        <f t="shared" si="13"/>
        <v>0.11016459244554488</v>
      </c>
    </row>
    <row r="86" spans="1:14" hidden="1" outlineLevel="1">
      <c r="A86" s="196"/>
      <c r="B86" s="206" t="s">
        <v>859</v>
      </c>
      <c r="C86" s="202">
        <f t="shared" si="7"/>
        <v>10</v>
      </c>
      <c r="E86" s="198">
        <v>10</v>
      </c>
      <c r="F86" s="199">
        <v>3</v>
      </c>
      <c r="G86" s="207">
        <f t="shared" si="8"/>
        <v>233.33333333333334</v>
      </c>
      <c r="H86" s="204">
        <f t="shared" si="9"/>
        <v>4.8576702613426601E-2</v>
      </c>
      <c r="I86" s="204">
        <f t="shared" si="10"/>
        <v>1.3672409078479627E-2</v>
      </c>
      <c r="J86" s="198">
        <v>22</v>
      </c>
      <c r="K86" s="199">
        <v>20</v>
      </c>
      <c r="L86" s="207">
        <f t="shared" si="11"/>
        <v>10</v>
      </c>
      <c r="M86" s="204">
        <f t="shared" si="12"/>
        <v>2.6224818214328285E-2</v>
      </c>
      <c r="N86" s="205">
        <f t="shared" si="13"/>
        <v>2.1814770781296015E-2</v>
      </c>
    </row>
    <row r="87" spans="1:14" hidden="1" outlineLevel="1">
      <c r="A87" s="196"/>
      <c r="B87" s="206" t="s">
        <v>857</v>
      </c>
      <c r="C87" s="202">
        <f t="shared" si="7"/>
        <v>-77.777777777777786</v>
      </c>
      <c r="E87" s="198">
        <v>2</v>
      </c>
      <c r="F87" s="199">
        <v>12</v>
      </c>
      <c r="G87" s="207">
        <f t="shared" si="8"/>
        <v>-83.333333333333343</v>
      </c>
      <c r="H87" s="204">
        <f t="shared" si="9"/>
        <v>9.7153405226853198E-3</v>
      </c>
      <c r="I87" s="204">
        <f t="shared" si="10"/>
        <v>5.4689636313918509E-2</v>
      </c>
      <c r="J87" s="198">
        <v>16</v>
      </c>
      <c r="K87" s="199">
        <v>72</v>
      </c>
      <c r="L87" s="207">
        <f t="shared" si="11"/>
        <v>-77.777777777777786</v>
      </c>
      <c r="M87" s="204">
        <f t="shared" si="12"/>
        <v>1.9072595064966027E-2</v>
      </c>
      <c r="N87" s="205">
        <f t="shared" si="13"/>
        <v>7.8533174812665654E-2</v>
      </c>
    </row>
    <row r="88" spans="1:14" hidden="1" outlineLevel="1">
      <c r="A88" s="196"/>
      <c r="B88" s="206" t="s">
        <v>856</v>
      </c>
      <c r="C88" s="202">
        <f t="shared" si="7"/>
        <v>-76.5625</v>
      </c>
      <c r="E88" s="198">
        <v>3</v>
      </c>
      <c r="F88" s="199">
        <v>14</v>
      </c>
      <c r="G88" s="207">
        <f t="shared" si="8"/>
        <v>-78.571428571428569</v>
      </c>
      <c r="H88" s="204">
        <f t="shared" si="9"/>
        <v>1.4573010784027981E-2</v>
      </c>
      <c r="I88" s="204">
        <f t="shared" si="10"/>
        <v>6.3804575699571597E-2</v>
      </c>
      <c r="J88" s="198">
        <v>15</v>
      </c>
      <c r="K88" s="199">
        <v>64</v>
      </c>
      <c r="L88" s="207">
        <f t="shared" si="11"/>
        <v>-76.5625</v>
      </c>
      <c r="M88" s="204">
        <f t="shared" si="12"/>
        <v>1.7880557873405652E-2</v>
      </c>
      <c r="N88" s="205">
        <f t="shared" si="13"/>
        <v>6.980726650014725E-2</v>
      </c>
    </row>
    <row r="89" spans="1:14" hidden="1" outlineLevel="1">
      <c r="A89" s="196"/>
      <c r="B89" s="206" t="s">
        <v>860</v>
      </c>
      <c r="C89" s="202">
        <f t="shared" si="7"/>
        <v>-9.0909090909090917</v>
      </c>
      <c r="E89" s="198">
        <v>2</v>
      </c>
      <c r="F89" s="199">
        <v>0</v>
      </c>
      <c r="G89" s="207" t="str">
        <f t="shared" si="8"/>
        <v/>
      </c>
      <c r="H89" s="204">
        <f t="shared" si="9"/>
        <v>9.7153405226853198E-3</v>
      </c>
      <c r="I89" s="204" t="str">
        <f t="shared" si="10"/>
        <v/>
      </c>
      <c r="J89" s="198">
        <v>10</v>
      </c>
      <c r="K89" s="199">
        <v>11</v>
      </c>
      <c r="L89" s="207">
        <f t="shared" si="11"/>
        <v>-9.0909090909090917</v>
      </c>
      <c r="M89" s="204">
        <f t="shared" si="12"/>
        <v>1.1920371915603765E-2</v>
      </c>
      <c r="N89" s="205">
        <f t="shared" si="13"/>
        <v>1.1998123929712808E-2</v>
      </c>
    </row>
    <row r="90" spans="1:14" hidden="1" outlineLevel="1">
      <c r="A90" s="196"/>
      <c r="B90" s="206" t="s">
        <v>862</v>
      </c>
      <c r="C90" s="202">
        <f t="shared" si="7"/>
        <v>100</v>
      </c>
      <c r="E90" s="198">
        <v>5</v>
      </c>
      <c r="F90" s="199">
        <v>0</v>
      </c>
      <c r="G90" s="207" t="str">
        <f t="shared" si="8"/>
        <v/>
      </c>
      <c r="H90" s="204">
        <f t="shared" si="9"/>
        <v>2.42883513067133E-2</v>
      </c>
      <c r="I90" s="204" t="str">
        <f t="shared" si="10"/>
        <v/>
      </c>
      <c r="J90" s="198">
        <v>8</v>
      </c>
      <c r="K90" s="199">
        <v>4</v>
      </c>
      <c r="L90" s="207">
        <f t="shared" si="11"/>
        <v>100</v>
      </c>
      <c r="M90" s="204">
        <f t="shared" si="12"/>
        <v>9.5362975324830134E-3</v>
      </c>
      <c r="N90" s="205">
        <f t="shared" si="13"/>
        <v>4.3629541562592031E-3</v>
      </c>
    </row>
    <row r="91" spans="1:14" hidden="1" outlineLevel="1">
      <c r="A91" s="196"/>
      <c r="B91" s="206" t="s">
        <v>861</v>
      </c>
      <c r="C91" s="202">
        <f t="shared" si="7"/>
        <v>-50</v>
      </c>
      <c r="E91" s="198">
        <v>2</v>
      </c>
      <c r="F91" s="199">
        <v>0</v>
      </c>
      <c r="G91" s="207" t="str">
        <f t="shared" si="8"/>
        <v/>
      </c>
      <c r="H91" s="204">
        <f t="shared" si="9"/>
        <v>9.7153405226853198E-3</v>
      </c>
      <c r="I91" s="204" t="str">
        <f t="shared" si="10"/>
        <v/>
      </c>
      <c r="J91" s="198">
        <v>3</v>
      </c>
      <c r="K91" s="199">
        <v>6</v>
      </c>
      <c r="L91" s="207">
        <f t="shared" si="11"/>
        <v>-50</v>
      </c>
      <c r="M91" s="204">
        <f t="shared" si="12"/>
        <v>3.5761115746811298E-3</v>
      </c>
      <c r="N91" s="205">
        <f t="shared" si="13"/>
        <v>6.5444312343888051E-3</v>
      </c>
    </row>
    <row r="92" spans="1:14" hidden="1" outlineLevel="1">
      <c r="A92" s="196"/>
      <c r="B92" s="206" t="s">
        <v>863</v>
      </c>
      <c r="C92" s="202">
        <f t="shared" si="7"/>
        <v>-75</v>
      </c>
      <c r="E92" s="198">
        <v>0</v>
      </c>
      <c r="F92" s="199">
        <v>0</v>
      </c>
      <c r="G92" s="207" t="str">
        <f t="shared" si="8"/>
        <v/>
      </c>
      <c r="H92" s="204" t="str">
        <f t="shared" si="9"/>
        <v/>
      </c>
      <c r="I92" s="204" t="str">
        <f t="shared" si="10"/>
        <v/>
      </c>
      <c r="J92" s="198">
        <v>1</v>
      </c>
      <c r="K92" s="199">
        <v>4</v>
      </c>
      <c r="L92" s="207">
        <f t="shared" si="11"/>
        <v>-75</v>
      </c>
      <c r="M92" s="204">
        <f t="shared" si="12"/>
        <v>1.1920371915603767E-3</v>
      </c>
      <c r="N92" s="205">
        <f t="shared" si="13"/>
        <v>4.3629541562592031E-3</v>
      </c>
    </row>
    <row r="93" spans="1:14" hidden="1" outlineLevel="1">
      <c r="A93" s="196"/>
      <c r="B93" s="206" t="s">
        <v>864</v>
      </c>
      <c r="C93" s="202">
        <f t="shared" si="7"/>
        <v>0</v>
      </c>
      <c r="E93" s="198">
        <v>0</v>
      </c>
      <c r="F93" s="199">
        <v>0</v>
      </c>
      <c r="G93" s="207" t="str">
        <f t="shared" si="8"/>
        <v/>
      </c>
      <c r="H93" s="204" t="str">
        <f t="shared" si="9"/>
        <v/>
      </c>
      <c r="I93" s="204" t="str">
        <f t="shared" si="10"/>
        <v/>
      </c>
      <c r="J93" s="198">
        <v>1</v>
      </c>
      <c r="K93" s="199">
        <v>1</v>
      </c>
      <c r="L93" s="207">
        <f t="shared" si="11"/>
        <v>0</v>
      </c>
      <c r="M93" s="204">
        <f t="shared" si="12"/>
        <v>1.1920371915603767E-3</v>
      </c>
      <c r="N93" s="205">
        <f t="shared" si="13"/>
        <v>1.0907385390648008E-3</v>
      </c>
    </row>
    <row r="94" spans="1:14" collapsed="1">
      <c r="A94" s="196" t="s">
        <v>1225</v>
      </c>
      <c r="B94" s="195" t="s">
        <v>272</v>
      </c>
      <c r="C94" s="202">
        <f t="shared" si="7"/>
        <v>-17.097090552468128</v>
      </c>
      <c r="E94" s="198">
        <v>1325</v>
      </c>
      <c r="F94" s="199">
        <v>1535</v>
      </c>
      <c r="G94" s="207">
        <f t="shared" si="8"/>
        <v>-13.680781758957655</v>
      </c>
      <c r="H94" s="204">
        <f t="shared" si="9"/>
        <v>6.4364130962790238</v>
      </c>
      <c r="I94" s="204">
        <f t="shared" si="10"/>
        <v>6.9957159784887422</v>
      </c>
      <c r="J94" s="198">
        <v>5072</v>
      </c>
      <c r="K94" s="199">
        <v>6118</v>
      </c>
      <c r="L94" s="207">
        <f t="shared" si="11"/>
        <v>-17.097090552468128</v>
      </c>
      <c r="M94" s="204">
        <f t="shared" si="12"/>
        <v>6.0460126355942307</v>
      </c>
      <c r="N94" s="205">
        <f t="shared" si="13"/>
        <v>6.6731383819984513</v>
      </c>
    </row>
    <row r="95" spans="1:14" hidden="1" outlineLevel="1">
      <c r="A95" s="196"/>
      <c r="B95" s="206" t="s">
        <v>808</v>
      </c>
      <c r="C95" s="202">
        <f t="shared" si="7"/>
        <v>566.92307692307691</v>
      </c>
      <c r="E95" s="198">
        <v>314</v>
      </c>
      <c r="F95" s="199">
        <v>52</v>
      </c>
      <c r="G95" s="207">
        <f t="shared" si="8"/>
        <v>503.84615384615381</v>
      </c>
      <c r="H95" s="204">
        <f t="shared" si="9"/>
        <v>1.5253084620615953</v>
      </c>
      <c r="I95" s="204">
        <f t="shared" si="10"/>
        <v>0.23698842402698023</v>
      </c>
      <c r="J95" s="198">
        <v>867</v>
      </c>
      <c r="K95" s="199">
        <v>130</v>
      </c>
      <c r="L95" s="207">
        <f t="shared" si="11"/>
        <v>566.92307692307691</v>
      </c>
      <c r="M95" s="204">
        <f t="shared" si="12"/>
        <v>1.0334962450828467</v>
      </c>
      <c r="N95" s="205">
        <f t="shared" si="13"/>
        <v>0.1417960100784241</v>
      </c>
    </row>
    <row r="96" spans="1:14" hidden="1" outlineLevel="1">
      <c r="A96" s="196"/>
      <c r="B96" s="206" t="s">
        <v>807</v>
      </c>
      <c r="C96" s="202">
        <f t="shared" si="7"/>
        <v>22.451994091580502</v>
      </c>
      <c r="E96" s="198">
        <v>230</v>
      </c>
      <c r="F96" s="199">
        <v>175</v>
      </c>
      <c r="G96" s="207">
        <f t="shared" si="8"/>
        <v>31.428571428571427</v>
      </c>
      <c r="H96" s="204">
        <f t="shared" si="9"/>
        <v>1.1172641601088118</v>
      </c>
      <c r="I96" s="204">
        <f t="shared" si="10"/>
        <v>0.79755719624464494</v>
      </c>
      <c r="J96" s="198">
        <v>829</v>
      </c>
      <c r="K96" s="199">
        <v>677</v>
      </c>
      <c r="L96" s="207">
        <f t="shared" si="11"/>
        <v>22.451994091580502</v>
      </c>
      <c r="M96" s="204">
        <f t="shared" si="12"/>
        <v>0.98819883180355228</v>
      </c>
      <c r="N96" s="205">
        <f t="shared" si="13"/>
        <v>0.73842999094687012</v>
      </c>
    </row>
    <row r="97" spans="1:14" hidden="1" outlineLevel="1">
      <c r="A97" s="196"/>
      <c r="B97" s="206" t="s">
        <v>803</v>
      </c>
      <c r="C97" s="202">
        <f t="shared" si="7"/>
        <v>-37.5</v>
      </c>
      <c r="E97" s="198">
        <v>135</v>
      </c>
      <c r="F97" s="199">
        <v>152</v>
      </c>
      <c r="G97" s="207">
        <f t="shared" si="8"/>
        <v>-11.184210526315789</v>
      </c>
      <c r="H97" s="204">
        <f t="shared" si="9"/>
        <v>0.65578548528125913</v>
      </c>
      <c r="I97" s="204">
        <f t="shared" si="10"/>
        <v>0.69273539330963452</v>
      </c>
      <c r="J97" s="198">
        <v>700</v>
      </c>
      <c r="K97" s="199">
        <v>1120</v>
      </c>
      <c r="L97" s="207">
        <f t="shared" si="11"/>
        <v>-37.5</v>
      </c>
      <c r="M97" s="204">
        <f t="shared" si="12"/>
        <v>0.83442603409226368</v>
      </c>
      <c r="N97" s="205">
        <f t="shared" si="13"/>
        <v>1.2216271637525769</v>
      </c>
    </row>
    <row r="98" spans="1:14" hidden="1" outlineLevel="1">
      <c r="A98" s="196"/>
      <c r="B98" s="206" t="s">
        <v>804</v>
      </c>
      <c r="C98" s="202">
        <f t="shared" si="7"/>
        <v>-29.435897435897434</v>
      </c>
      <c r="E98" s="198">
        <v>197</v>
      </c>
      <c r="F98" s="199">
        <v>247</v>
      </c>
      <c r="G98" s="207">
        <f t="shared" si="8"/>
        <v>-20.242914979757085</v>
      </c>
      <c r="H98" s="204">
        <f t="shared" si="9"/>
        <v>0.956961041484504</v>
      </c>
      <c r="I98" s="204">
        <f t="shared" si="10"/>
        <v>1.1256950141281561</v>
      </c>
      <c r="J98" s="198">
        <v>688</v>
      </c>
      <c r="K98" s="199">
        <v>975</v>
      </c>
      <c r="L98" s="207">
        <f t="shared" si="11"/>
        <v>-29.435897435897434</v>
      </c>
      <c r="M98" s="204">
        <f t="shared" si="12"/>
        <v>0.82012158779353928</v>
      </c>
      <c r="N98" s="205">
        <f t="shared" si="13"/>
        <v>1.0634700755881807</v>
      </c>
    </row>
    <row r="99" spans="1:14" hidden="1" outlineLevel="1">
      <c r="A99" s="196"/>
      <c r="B99" s="206" t="s">
        <v>806</v>
      </c>
      <c r="C99" s="202">
        <f t="shared" si="7"/>
        <v>-24.873737373737374</v>
      </c>
      <c r="E99" s="198">
        <v>130</v>
      </c>
      <c r="F99" s="199">
        <v>218</v>
      </c>
      <c r="G99" s="207">
        <f t="shared" si="8"/>
        <v>-40.366972477064223</v>
      </c>
      <c r="H99" s="204">
        <f t="shared" si="9"/>
        <v>0.63149713397454588</v>
      </c>
      <c r="I99" s="204">
        <f t="shared" si="10"/>
        <v>0.99352839303618634</v>
      </c>
      <c r="J99" s="198">
        <v>595</v>
      </c>
      <c r="K99" s="199">
        <v>792</v>
      </c>
      <c r="L99" s="207">
        <f t="shared" si="11"/>
        <v>-24.873737373737374</v>
      </c>
      <c r="M99" s="204">
        <f t="shared" si="12"/>
        <v>0.70926212897842411</v>
      </c>
      <c r="N99" s="205">
        <f t="shared" si="13"/>
        <v>0.86386492293932216</v>
      </c>
    </row>
    <row r="100" spans="1:14" hidden="1" outlineLevel="1">
      <c r="A100" s="196"/>
      <c r="B100" s="206" t="s">
        <v>812</v>
      </c>
      <c r="C100" s="202">
        <f t="shared" si="7"/>
        <v>120.11834319526626</v>
      </c>
      <c r="E100" s="198">
        <v>84</v>
      </c>
      <c r="F100" s="199">
        <v>42</v>
      </c>
      <c r="G100" s="207">
        <f t="shared" si="8"/>
        <v>100</v>
      </c>
      <c r="H100" s="204">
        <f t="shared" si="9"/>
        <v>0.40804430195278346</v>
      </c>
      <c r="I100" s="204">
        <f t="shared" si="10"/>
        <v>0.19141372709871479</v>
      </c>
      <c r="J100" s="198">
        <v>372</v>
      </c>
      <c r="K100" s="199">
        <v>169</v>
      </c>
      <c r="L100" s="207">
        <f t="shared" si="11"/>
        <v>120.11834319526626</v>
      </c>
      <c r="M100" s="204">
        <f t="shared" si="12"/>
        <v>0.4434378352604601</v>
      </c>
      <c r="N100" s="205">
        <f t="shared" si="13"/>
        <v>0.18433481310195132</v>
      </c>
    </row>
    <row r="101" spans="1:14" hidden="1" outlineLevel="1">
      <c r="A101" s="196"/>
      <c r="B101" s="206" t="s">
        <v>810</v>
      </c>
      <c r="C101" s="202">
        <f t="shared" si="7"/>
        <v>-16.286644951140065</v>
      </c>
      <c r="E101" s="198">
        <v>49</v>
      </c>
      <c r="F101" s="199">
        <v>81</v>
      </c>
      <c r="G101" s="207">
        <f t="shared" si="8"/>
        <v>-39.506172839506171</v>
      </c>
      <c r="H101" s="204">
        <f t="shared" si="9"/>
        <v>0.23802584280579034</v>
      </c>
      <c r="I101" s="204">
        <f t="shared" si="10"/>
        <v>0.36915504511894992</v>
      </c>
      <c r="J101" s="198">
        <v>257</v>
      </c>
      <c r="K101" s="199">
        <v>307</v>
      </c>
      <c r="L101" s="207">
        <f t="shared" si="11"/>
        <v>-16.286644951140065</v>
      </c>
      <c r="M101" s="204">
        <f t="shared" si="12"/>
        <v>0.30635355823101679</v>
      </c>
      <c r="N101" s="205">
        <f t="shared" si="13"/>
        <v>0.3348567314928938</v>
      </c>
    </row>
    <row r="102" spans="1:14" hidden="1" outlineLevel="1">
      <c r="A102" s="196"/>
      <c r="B102" s="206" t="s">
        <v>809</v>
      </c>
      <c r="C102" s="202">
        <f t="shared" si="7"/>
        <v>-7.6305220883534144</v>
      </c>
      <c r="E102" s="198">
        <v>39</v>
      </c>
      <c r="F102" s="199">
        <v>87</v>
      </c>
      <c r="G102" s="207">
        <f t="shared" si="8"/>
        <v>-55.172413793103445</v>
      </c>
      <c r="H102" s="204">
        <f t="shared" si="9"/>
        <v>0.18944914019236375</v>
      </c>
      <c r="I102" s="204">
        <f t="shared" si="10"/>
        <v>0.39649986327590925</v>
      </c>
      <c r="J102" s="198">
        <v>230</v>
      </c>
      <c r="K102" s="199">
        <v>249</v>
      </c>
      <c r="L102" s="207">
        <f t="shared" si="11"/>
        <v>-7.6305220883534144</v>
      </c>
      <c r="M102" s="204">
        <f t="shared" si="12"/>
        <v>0.27416855405888663</v>
      </c>
      <c r="N102" s="205">
        <f t="shared" si="13"/>
        <v>0.27159389622713537</v>
      </c>
    </row>
    <row r="103" spans="1:14" hidden="1" outlineLevel="1">
      <c r="A103" s="196"/>
      <c r="B103" s="206" t="s">
        <v>811</v>
      </c>
      <c r="C103" s="202">
        <f t="shared" si="7"/>
        <v>-17.256637168141591</v>
      </c>
      <c r="E103" s="198">
        <v>58</v>
      </c>
      <c r="F103" s="199">
        <v>80</v>
      </c>
      <c r="G103" s="207">
        <f t="shared" si="8"/>
        <v>-27.500000000000004</v>
      </c>
      <c r="H103" s="204">
        <f t="shared" si="9"/>
        <v>0.28174487515787427</v>
      </c>
      <c r="I103" s="204">
        <f t="shared" si="10"/>
        <v>0.36459757542612342</v>
      </c>
      <c r="J103" s="198">
        <v>187</v>
      </c>
      <c r="K103" s="199">
        <v>226</v>
      </c>
      <c r="L103" s="207">
        <f t="shared" si="11"/>
        <v>-17.256637168141591</v>
      </c>
      <c r="M103" s="204">
        <f t="shared" si="12"/>
        <v>0.22291095482179041</v>
      </c>
      <c r="N103" s="205">
        <f t="shared" si="13"/>
        <v>0.24650690982864495</v>
      </c>
    </row>
    <row r="104" spans="1:14" hidden="1" outlineLevel="1">
      <c r="A104" s="196"/>
      <c r="B104" s="206" t="s">
        <v>813</v>
      </c>
      <c r="C104" s="202">
        <f t="shared" si="7"/>
        <v>-17.449664429530202</v>
      </c>
      <c r="E104" s="198">
        <v>35</v>
      </c>
      <c r="F104" s="199">
        <v>59</v>
      </c>
      <c r="G104" s="207">
        <f t="shared" si="8"/>
        <v>-40.677966101694921</v>
      </c>
      <c r="H104" s="204">
        <f t="shared" si="9"/>
        <v>0.1700184591469931</v>
      </c>
      <c r="I104" s="204">
        <f t="shared" si="10"/>
        <v>0.268890711876766</v>
      </c>
      <c r="J104" s="198">
        <v>123</v>
      </c>
      <c r="K104" s="199">
        <v>149</v>
      </c>
      <c r="L104" s="207">
        <f t="shared" si="11"/>
        <v>-17.449664429530202</v>
      </c>
      <c r="M104" s="204">
        <f t="shared" si="12"/>
        <v>0.14662057456192634</v>
      </c>
      <c r="N104" s="205">
        <f t="shared" si="13"/>
        <v>0.16252004232065531</v>
      </c>
    </row>
    <row r="105" spans="1:14" hidden="1" outlineLevel="1">
      <c r="A105" s="196"/>
      <c r="B105" s="206" t="s">
        <v>814</v>
      </c>
      <c r="C105" s="202">
        <f t="shared" si="7"/>
        <v>100</v>
      </c>
      <c r="E105" s="198">
        <v>10</v>
      </c>
      <c r="F105" s="199">
        <v>10</v>
      </c>
      <c r="G105" s="207">
        <f t="shared" si="8"/>
        <v>0</v>
      </c>
      <c r="H105" s="204">
        <f t="shared" si="9"/>
        <v>4.8576702613426601E-2</v>
      </c>
      <c r="I105" s="204">
        <f t="shared" si="10"/>
        <v>4.5574696928265428E-2</v>
      </c>
      <c r="J105" s="198">
        <v>56</v>
      </c>
      <c r="K105" s="199">
        <v>28</v>
      </c>
      <c r="L105" s="207">
        <f t="shared" si="11"/>
        <v>100</v>
      </c>
      <c r="M105" s="204">
        <f t="shared" si="12"/>
        <v>6.6754082727381092E-2</v>
      </c>
      <c r="N105" s="205">
        <f t="shared" si="13"/>
        <v>3.0540679093814423E-2</v>
      </c>
    </row>
    <row r="106" spans="1:14" hidden="1" outlineLevel="1">
      <c r="A106" s="196"/>
      <c r="B106" s="206" t="s">
        <v>1065</v>
      </c>
      <c r="C106" s="202" t="str">
        <f t="shared" si="7"/>
        <v/>
      </c>
      <c r="E106" s="198">
        <v>8</v>
      </c>
      <c r="F106" s="199">
        <v>0</v>
      </c>
      <c r="G106" s="207" t="str">
        <f t="shared" si="8"/>
        <v/>
      </c>
      <c r="H106" s="204">
        <f t="shared" si="9"/>
        <v>3.8861362090741279E-2</v>
      </c>
      <c r="I106" s="204" t="str">
        <f t="shared" si="10"/>
        <v/>
      </c>
      <c r="J106" s="198">
        <v>42</v>
      </c>
      <c r="K106" s="199">
        <v>0</v>
      </c>
      <c r="L106" s="207" t="str">
        <f t="shared" si="11"/>
        <v/>
      </c>
      <c r="M106" s="204">
        <f t="shared" si="12"/>
        <v>5.0065562045535826E-2</v>
      </c>
      <c r="N106" s="205" t="str">
        <f t="shared" si="13"/>
        <v/>
      </c>
    </row>
    <row r="107" spans="1:14" hidden="1" outlineLevel="1">
      <c r="A107" s="196"/>
      <c r="B107" s="206" t="s">
        <v>816</v>
      </c>
      <c r="C107" s="202">
        <f t="shared" si="7"/>
        <v>45.454545454545453</v>
      </c>
      <c r="E107" s="198">
        <v>6</v>
      </c>
      <c r="F107" s="199">
        <v>12</v>
      </c>
      <c r="G107" s="207">
        <f t="shared" si="8"/>
        <v>-50</v>
      </c>
      <c r="H107" s="204">
        <f t="shared" si="9"/>
        <v>2.9146021568055961E-2</v>
      </c>
      <c r="I107" s="204">
        <f t="shared" si="10"/>
        <v>5.4689636313918509E-2</v>
      </c>
      <c r="J107" s="198">
        <v>32</v>
      </c>
      <c r="K107" s="199">
        <v>22</v>
      </c>
      <c r="L107" s="207">
        <f t="shared" si="11"/>
        <v>45.454545454545453</v>
      </c>
      <c r="M107" s="204">
        <f t="shared" si="12"/>
        <v>3.8145190129932054E-2</v>
      </c>
      <c r="N107" s="205">
        <f t="shared" si="13"/>
        <v>2.3996247859425616E-2</v>
      </c>
    </row>
    <row r="108" spans="1:14" hidden="1" outlineLevel="1">
      <c r="A108" s="196"/>
      <c r="B108" s="206" t="s">
        <v>818</v>
      </c>
      <c r="C108" s="202">
        <f t="shared" si="7"/>
        <v>29.166666666666668</v>
      </c>
      <c r="E108" s="198">
        <v>1</v>
      </c>
      <c r="F108" s="199">
        <v>2</v>
      </c>
      <c r="G108" s="207">
        <f t="shared" si="8"/>
        <v>-50</v>
      </c>
      <c r="H108" s="204">
        <f t="shared" si="9"/>
        <v>4.8576702613426599E-3</v>
      </c>
      <c r="I108" s="204">
        <f t="shared" si="10"/>
        <v>9.1149393856530848E-3</v>
      </c>
      <c r="J108" s="198">
        <v>31</v>
      </c>
      <c r="K108" s="199">
        <v>24</v>
      </c>
      <c r="L108" s="207">
        <f t="shared" si="11"/>
        <v>29.166666666666668</v>
      </c>
      <c r="M108" s="204">
        <f t="shared" si="12"/>
        <v>3.6953152938371675E-2</v>
      </c>
      <c r="N108" s="205">
        <f t="shared" si="13"/>
        <v>2.617772493755522E-2</v>
      </c>
    </row>
    <row r="109" spans="1:14" hidden="1" outlineLevel="1">
      <c r="A109" s="196"/>
      <c r="B109" s="206" t="s">
        <v>815</v>
      </c>
      <c r="C109" s="202">
        <f t="shared" si="7"/>
        <v>38.095238095238095</v>
      </c>
      <c r="E109" s="198">
        <v>9</v>
      </c>
      <c r="F109" s="199">
        <v>9</v>
      </c>
      <c r="G109" s="207">
        <f t="shared" si="8"/>
        <v>0</v>
      </c>
      <c r="H109" s="204">
        <f t="shared" si="9"/>
        <v>4.3719032352083943E-2</v>
      </c>
      <c r="I109" s="204">
        <f t="shared" si="10"/>
        <v>4.1017227235438887E-2</v>
      </c>
      <c r="J109" s="198">
        <v>29</v>
      </c>
      <c r="K109" s="199">
        <v>21</v>
      </c>
      <c r="L109" s="207">
        <f t="shared" si="11"/>
        <v>38.095238095238095</v>
      </c>
      <c r="M109" s="204">
        <f t="shared" si="12"/>
        <v>3.4569078555250925E-2</v>
      </c>
      <c r="N109" s="205">
        <f t="shared" si="13"/>
        <v>2.2905509320360819E-2</v>
      </c>
    </row>
    <row r="110" spans="1:14" hidden="1" outlineLevel="1">
      <c r="A110" s="196"/>
      <c r="B110" s="206" t="s">
        <v>819</v>
      </c>
      <c r="C110" s="202">
        <f t="shared" si="7"/>
        <v>-27.777777777777779</v>
      </c>
      <c r="E110" s="198">
        <v>9</v>
      </c>
      <c r="F110" s="199">
        <v>10</v>
      </c>
      <c r="G110" s="207">
        <f t="shared" si="8"/>
        <v>-10</v>
      </c>
      <c r="H110" s="204">
        <f t="shared" si="9"/>
        <v>4.3719032352083943E-2</v>
      </c>
      <c r="I110" s="204">
        <f t="shared" si="10"/>
        <v>4.5574696928265428E-2</v>
      </c>
      <c r="J110" s="198">
        <v>13</v>
      </c>
      <c r="K110" s="199">
        <v>18</v>
      </c>
      <c r="L110" s="207">
        <f t="shared" si="11"/>
        <v>-27.777777777777779</v>
      </c>
      <c r="M110" s="204">
        <f t="shared" si="12"/>
        <v>1.5496483490284898E-2</v>
      </c>
      <c r="N110" s="205">
        <f t="shared" si="13"/>
        <v>1.9633293703166414E-2</v>
      </c>
    </row>
    <row r="111" spans="1:14" hidden="1" outlineLevel="1">
      <c r="A111" s="196"/>
      <c r="B111" s="206" t="s">
        <v>1226</v>
      </c>
      <c r="C111" s="202" t="str">
        <f t="shared" si="7"/>
        <v/>
      </c>
      <c r="E111" s="198">
        <v>8</v>
      </c>
      <c r="F111" s="199">
        <v>0</v>
      </c>
      <c r="G111" s="207" t="str">
        <f t="shared" si="8"/>
        <v/>
      </c>
      <c r="H111" s="204">
        <f t="shared" si="9"/>
        <v>3.8861362090741279E-2</v>
      </c>
      <c r="I111" s="204" t="str">
        <f t="shared" si="10"/>
        <v/>
      </c>
      <c r="J111" s="198">
        <v>8</v>
      </c>
      <c r="K111" s="199">
        <v>0</v>
      </c>
      <c r="L111" s="207" t="str">
        <f t="shared" si="11"/>
        <v/>
      </c>
      <c r="M111" s="204">
        <f t="shared" si="12"/>
        <v>9.5362975324830134E-3</v>
      </c>
      <c r="N111" s="205" t="str">
        <f t="shared" si="13"/>
        <v/>
      </c>
    </row>
    <row r="112" spans="1:14" hidden="1" outlineLevel="1">
      <c r="A112" s="196"/>
      <c r="B112" s="206" t="s">
        <v>817</v>
      </c>
      <c r="C112" s="202">
        <f t="shared" si="7"/>
        <v>-83.333333333333343</v>
      </c>
      <c r="E112" s="198">
        <v>0</v>
      </c>
      <c r="F112" s="199">
        <v>2</v>
      </c>
      <c r="G112" s="207">
        <f t="shared" si="8"/>
        <v>-100</v>
      </c>
      <c r="H112" s="204" t="str">
        <f t="shared" si="9"/>
        <v/>
      </c>
      <c r="I112" s="204">
        <f t="shared" si="10"/>
        <v>9.1149393856530848E-3</v>
      </c>
      <c r="J112" s="198">
        <v>5</v>
      </c>
      <c r="K112" s="199">
        <v>30</v>
      </c>
      <c r="L112" s="207">
        <f t="shared" si="11"/>
        <v>-83.333333333333343</v>
      </c>
      <c r="M112" s="204">
        <f t="shared" si="12"/>
        <v>5.9601859578018827E-3</v>
      </c>
      <c r="N112" s="205">
        <f t="shared" si="13"/>
        <v>3.2722156171944024E-2</v>
      </c>
    </row>
    <row r="113" spans="1:14" hidden="1" outlineLevel="1">
      <c r="A113" s="196"/>
      <c r="B113" s="206" t="s">
        <v>820</v>
      </c>
      <c r="C113" s="202">
        <f t="shared" si="7"/>
        <v>-33.333333333333329</v>
      </c>
      <c r="E113" s="198">
        <v>1</v>
      </c>
      <c r="F113" s="199">
        <v>3</v>
      </c>
      <c r="G113" s="207">
        <f t="shared" si="8"/>
        <v>-66.666666666666657</v>
      </c>
      <c r="H113" s="204">
        <f t="shared" si="9"/>
        <v>4.8576702613426599E-3</v>
      </c>
      <c r="I113" s="204">
        <f t="shared" si="10"/>
        <v>1.3672409078479627E-2</v>
      </c>
      <c r="J113" s="198">
        <v>4</v>
      </c>
      <c r="K113" s="199">
        <v>6</v>
      </c>
      <c r="L113" s="207">
        <f t="shared" si="11"/>
        <v>-33.333333333333329</v>
      </c>
      <c r="M113" s="204">
        <f t="shared" si="12"/>
        <v>4.7681487662415067E-3</v>
      </c>
      <c r="N113" s="205">
        <f t="shared" si="13"/>
        <v>6.5444312343888051E-3</v>
      </c>
    </row>
    <row r="114" spans="1:14" hidden="1" outlineLevel="1">
      <c r="A114" s="196"/>
      <c r="B114" s="206" t="s">
        <v>1147</v>
      </c>
      <c r="C114" s="202">
        <f t="shared" si="7"/>
        <v>-50</v>
      </c>
      <c r="E114" s="198">
        <v>2</v>
      </c>
      <c r="F114" s="199">
        <v>0</v>
      </c>
      <c r="G114" s="207" t="str">
        <f t="shared" si="8"/>
        <v/>
      </c>
      <c r="H114" s="204">
        <f t="shared" si="9"/>
        <v>9.7153405226853198E-3</v>
      </c>
      <c r="I114" s="204" t="str">
        <f t="shared" si="10"/>
        <v/>
      </c>
      <c r="J114" s="198">
        <v>2</v>
      </c>
      <c r="K114" s="199">
        <v>4</v>
      </c>
      <c r="L114" s="207">
        <f t="shared" si="11"/>
        <v>-50</v>
      </c>
      <c r="M114" s="204">
        <f t="shared" si="12"/>
        <v>2.3840743831207534E-3</v>
      </c>
      <c r="N114" s="205">
        <f t="shared" si="13"/>
        <v>4.3629541562592031E-3</v>
      </c>
    </row>
    <row r="115" spans="1:14" hidden="1" outlineLevel="1">
      <c r="A115" s="196"/>
      <c r="B115" s="206" t="s">
        <v>805</v>
      </c>
      <c r="C115" s="202">
        <f t="shared" si="7"/>
        <v>-99.829205807002566</v>
      </c>
      <c r="E115" s="198">
        <v>0</v>
      </c>
      <c r="F115" s="199">
        <v>294</v>
      </c>
      <c r="G115" s="207">
        <f t="shared" si="8"/>
        <v>-100</v>
      </c>
      <c r="H115" s="204" t="str">
        <f t="shared" si="9"/>
        <v/>
      </c>
      <c r="I115" s="204">
        <f t="shared" si="10"/>
        <v>1.3398960896910035</v>
      </c>
      <c r="J115" s="198">
        <v>2</v>
      </c>
      <c r="K115" s="199">
        <v>1171</v>
      </c>
      <c r="L115" s="207">
        <f t="shared" si="11"/>
        <v>-99.829205807002566</v>
      </c>
      <c r="M115" s="204">
        <f t="shared" si="12"/>
        <v>2.3840743831207534E-3</v>
      </c>
      <c r="N115" s="205">
        <f t="shared" si="13"/>
        <v>1.2772548292448818</v>
      </c>
    </row>
    <row r="116" spans="1:14" collapsed="1">
      <c r="A116" s="196" t="s">
        <v>1148</v>
      </c>
      <c r="B116" s="195" t="s">
        <v>399</v>
      </c>
      <c r="C116" s="202">
        <f t="shared" si="7"/>
        <v>-2.9270423765836608</v>
      </c>
      <c r="E116" s="198">
        <v>1291</v>
      </c>
      <c r="F116" s="199">
        <v>1272</v>
      </c>
      <c r="G116" s="207">
        <f t="shared" si="8"/>
        <v>1.4937106918238994</v>
      </c>
      <c r="H116" s="204">
        <f t="shared" si="9"/>
        <v>6.2712523073933744</v>
      </c>
      <c r="I116" s="204">
        <f t="shared" si="10"/>
        <v>5.7971014492753623</v>
      </c>
      <c r="J116" s="198">
        <v>4444</v>
      </c>
      <c r="K116" s="199">
        <v>4578</v>
      </c>
      <c r="L116" s="207">
        <f t="shared" si="11"/>
        <v>-2.9270423765836608</v>
      </c>
      <c r="M116" s="204">
        <f t="shared" si="12"/>
        <v>5.2974132792943145</v>
      </c>
      <c r="N116" s="205">
        <f t="shared" si="13"/>
        <v>4.9934010318386584</v>
      </c>
    </row>
    <row r="117" spans="1:14" hidden="1" outlineLevel="1">
      <c r="A117" s="196"/>
      <c r="B117" s="206" t="s">
        <v>822</v>
      </c>
      <c r="C117" s="202">
        <f t="shared" si="7"/>
        <v>7.7814569536423832</v>
      </c>
      <c r="E117" s="198">
        <v>195</v>
      </c>
      <c r="F117" s="199">
        <v>172</v>
      </c>
      <c r="G117" s="207">
        <f t="shared" si="8"/>
        <v>13.372093023255813</v>
      </c>
      <c r="H117" s="204">
        <f t="shared" si="9"/>
        <v>0.9472457009618187</v>
      </c>
      <c r="I117" s="204">
        <f t="shared" si="10"/>
        <v>0.78388478716616539</v>
      </c>
      <c r="J117" s="198">
        <v>651</v>
      </c>
      <c r="K117" s="199">
        <v>604</v>
      </c>
      <c r="L117" s="207">
        <f t="shared" si="11"/>
        <v>7.7814569536423832</v>
      </c>
      <c r="M117" s="204">
        <f t="shared" si="12"/>
        <v>0.77601621170580526</v>
      </c>
      <c r="N117" s="205">
        <f t="shared" si="13"/>
        <v>0.65880607759513965</v>
      </c>
    </row>
    <row r="118" spans="1:14" hidden="1" outlineLevel="1">
      <c r="A118" s="196"/>
      <c r="B118" s="206" t="s">
        <v>821</v>
      </c>
      <c r="C118" s="202">
        <f t="shared" si="7"/>
        <v>-25.405405405405407</v>
      </c>
      <c r="E118" s="198">
        <v>158</v>
      </c>
      <c r="F118" s="199">
        <v>200</v>
      </c>
      <c r="G118" s="207">
        <f t="shared" si="8"/>
        <v>-21</v>
      </c>
      <c r="H118" s="204">
        <f t="shared" si="9"/>
        <v>0.76751190129214031</v>
      </c>
      <c r="I118" s="204">
        <f t="shared" si="10"/>
        <v>0.91149393856530847</v>
      </c>
      <c r="J118" s="198">
        <v>552</v>
      </c>
      <c r="K118" s="199">
        <v>740</v>
      </c>
      <c r="L118" s="207">
        <f t="shared" si="11"/>
        <v>-25.405405405405407</v>
      </c>
      <c r="M118" s="204">
        <f t="shared" si="12"/>
        <v>0.65800452974132795</v>
      </c>
      <c r="N118" s="205">
        <f t="shared" si="13"/>
        <v>0.80714651890795264</v>
      </c>
    </row>
    <row r="119" spans="1:14" hidden="1" outlineLevel="1">
      <c r="A119" s="196"/>
      <c r="B119" s="206" t="s">
        <v>824</v>
      </c>
      <c r="C119" s="202">
        <f t="shared" si="7"/>
        <v>10.114942528735632</v>
      </c>
      <c r="E119" s="198">
        <v>187</v>
      </c>
      <c r="F119" s="199">
        <v>135</v>
      </c>
      <c r="G119" s="207">
        <f t="shared" si="8"/>
        <v>38.518518518518519</v>
      </c>
      <c r="H119" s="204">
        <f t="shared" si="9"/>
        <v>0.9083843388710775</v>
      </c>
      <c r="I119" s="204">
        <f t="shared" si="10"/>
        <v>0.6152584085315832</v>
      </c>
      <c r="J119" s="198">
        <v>479</v>
      </c>
      <c r="K119" s="199">
        <v>435</v>
      </c>
      <c r="L119" s="207">
        <f t="shared" si="11"/>
        <v>10.114942528735632</v>
      </c>
      <c r="M119" s="204">
        <f t="shared" si="12"/>
        <v>0.5709858147574205</v>
      </c>
      <c r="N119" s="205">
        <f t="shared" si="13"/>
        <v>0.47447126449318827</v>
      </c>
    </row>
    <row r="120" spans="1:14" hidden="1" outlineLevel="1">
      <c r="A120" s="196"/>
      <c r="B120" s="206" t="s">
        <v>827</v>
      </c>
      <c r="C120" s="202">
        <f t="shared" si="7"/>
        <v>504.6875</v>
      </c>
      <c r="E120" s="198">
        <v>73</v>
      </c>
      <c r="F120" s="199">
        <v>64</v>
      </c>
      <c r="G120" s="207">
        <f t="shared" si="8"/>
        <v>14.0625</v>
      </c>
      <c r="H120" s="204">
        <f t="shared" si="9"/>
        <v>0.3546099290780142</v>
      </c>
      <c r="I120" s="204">
        <f t="shared" si="10"/>
        <v>0.29167806034089871</v>
      </c>
      <c r="J120" s="198">
        <v>387</v>
      </c>
      <c r="K120" s="199">
        <v>64</v>
      </c>
      <c r="L120" s="207">
        <f t="shared" si="11"/>
        <v>504.6875</v>
      </c>
      <c r="M120" s="204">
        <f t="shared" si="12"/>
        <v>0.4613183931338658</v>
      </c>
      <c r="N120" s="205">
        <f t="shared" si="13"/>
        <v>6.980726650014725E-2</v>
      </c>
    </row>
    <row r="121" spans="1:14" hidden="1" outlineLevel="1">
      <c r="A121" s="196"/>
      <c r="B121" s="206" t="s">
        <v>826</v>
      </c>
      <c r="C121" s="202">
        <f t="shared" si="7"/>
        <v>7.2625698324022352</v>
      </c>
      <c r="E121" s="198">
        <v>90</v>
      </c>
      <c r="F121" s="199">
        <v>89</v>
      </c>
      <c r="G121" s="207">
        <f t="shared" si="8"/>
        <v>1.1235955056179776</v>
      </c>
      <c r="H121" s="204">
        <f t="shared" si="9"/>
        <v>0.43719032352083942</v>
      </c>
      <c r="I121" s="204">
        <f t="shared" si="10"/>
        <v>0.4056148026615623</v>
      </c>
      <c r="J121" s="198">
        <v>384</v>
      </c>
      <c r="K121" s="199">
        <v>358</v>
      </c>
      <c r="L121" s="207">
        <f t="shared" si="11"/>
        <v>7.2625698324022352</v>
      </c>
      <c r="M121" s="204">
        <f t="shared" si="12"/>
        <v>0.45774228155918462</v>
      </c>
      <c r="N121" s="205">
        <f t="shared" si="13"/>
        <v>0.39048439698519866</v>
      </c>
    </row>
    <row r="122" spans="1:14" hidden="1" outlineLevel="1">
      <c r="A122" s="196"/>
      <c r="B122" s="206" t="s">
        <v>825</v>
      </c>
      <c r="C122" s="202">
        <f t="shared" si="7"/>
        <v>-51.267056530214425</v>
      </c>
      <c r="E122" s="198">
        <v>42</v>
      </c>
      <c r="F122" s="199">
        <v>111</v>
      </c>
      <c r="G122" s="207">
        <f t="shared" si="8"/>
        <v>-62.162162162162161</v>
      </c>
      <c r="H122" s="204">
        <f t="shared" si="9"/>
        <v>0.20402215097639173</v>
      </c>
      <c r="I122" s="204">
        <f t="shared" si="10"/>
        <v>0.50587913590374622</v>
      </c>
      <c r="J122" s="198">
        <v>250</v>
      </c>
      <c r="K122" s="199">
        <v>513</v>
      </c>
      <c r="L122" s="207">
        <f t="shared" si="11"/>
        <v>-51.267056530214425</v>
      </c>
      <c r="M122" s="204">
        <f t="shared" si="12"/>
        <v>0.29800929789009417</v>
      </c>
      <c r="N122" s="205">
        <f t="shared" si="13"/>
        <v>0.55954887054024283</v>
      </c>
    </row>
    <row r="123" spans="1:14" hidden="1" outlineLevel="1">
      <c r="A123" s="196"/>
      <c r="B123" s="206" t="s">
        <v>832</v>
      </c>
      <c r="C123" s="202">
        <f t="shared" si="7"/>
        <v>38.953488372093027</v>
      </c>
      <c r="E123" s="198">
        <v>92</v>
      </c>
      <c r="F123" s="199">
        <v>24</v>
      </c>
      <c r="G123" s="207">
        <f t="shared" si="8"/>
        <v>283.33333333333337</v>
      </c>
      <c r="H123" s="204">
        <f t="shared" si="9"/>
        <v>0.44690566404352472</v>
      </c>
      <c r="I123" s="204">
        <f t="shared" si="10"/>
        <v>0.10937927262783702</v>
      </c>
      <c r="J123" s="198">
        <v>239</v>
      </c>
      <c r="K123" s="199">
        <v>172</v>
      </c>
      <c r="L123" s="207">
        <f t="shared" si="11"/>
        <v>38.953488372093027</v>
      </c>
      <c r="M123" s="204">
        <f t="shared" si="12"/>
        <v>0.28489688878293007</v>
      </c>
      <c r="N123" s="205">
        <f t="shared" si="13"/>
        <v>0.18760702871914572</v>
      </c>
    </row>
    <row r="124" spans="1:14" hidden="1" outlineLevel="1">
      <c r="A124" s="196"/>
      <c r="B124" s="206" t="s">
        <v>828</v>
      </c>
      <c r="C124" s="202">
        <f t="shared" si="7"/>
        <v>49.324324324324323</v>
      </c>
      <c r="E124" s="198">
        <v>61</v>
      </c>
      <c r="F124" s="199">
        <v>14</v>
      </c>
      <c r="G124" s="207">
        <f t="shared" si="8"/>
        <v>335.71428571428572</v>
      </c>
      <c r="H124" s="204">
        <f t="shared" si="9"/>
        <v>0.29631788594190228</v>
      </c>
      <c r="I124" s="204">
        <f t="shared" si="10"/>
        <v>6.3804575699571597E-2</v>
      </c>
      <c r="J124" s="198">
        <v>221</v>
      </c>
      <c r="K124" s="199">
        <v>148</v>
      </c>
      <c r="L124" s="207">
        <f t="shared" si="11"/>
        <v>49.324324324324323</v>
      </c>
      <c r="M124" s="204">
        <f t="shared" si="12"/>
        <v>0.26344021933484324</v>
      </c>
      <c r="N124" s="205">
        <f t="shared" si="13"/>
        <v>0.16142930378159051</v>
      </c>
    </row>
    <row r="125" spans="1:14" hidden="1" outlineLevel="1">
      <c r="A125" s="196"/>
      <c r="B125" s="206" t="s">
        <v>829</v>
      </c>
      <c r="C125" s="202">
        <f t="shared" si="7"/>
        <v>-15.668202764976957</v>
      </c>
      <c r="E125" s="198">
        <v>47</v>
      </c>
      <c r="F125" s="199">
        <v>61</v>
      </c>
      <c r="G125" s="207">
        <f t="shared" si="8"/>
        <v>-22.950819672131146</v>
      </c>
      <c r="H125" s="204">
        <f t="shared" si="9"/>
        <v>0.22831050228310501</v>
      </c>
      <c r="I125" s="204">
        <f t="shared" si="10"/>
        <v>0.27800565126241911</v>
      </c>
      <c r="J125" s="198">
        <v>183</v>
      </c>
      <c r="K125" s="199">
        <v>217</v>
      </c>
      <c r="L125" s="207">
        <f t="shared" si="11"/>
        <v>-15.668202764976957</v>
      </c>
      <c r="M125" s="204">
        <f t="shared" si="12"/>
        <v>0.21814280605554895</v>
      </c>
      <c r="N125" s="205">
        <f t="shared" si="13"/>
        <v>0.23669026297706178</v>
      </c>
    </row>
    <row r="126" spans="1:14" hidden="1" outlineLevel="1">
      <c r="A126" s="196"/>
      <c r="B126" s="206" t="s">
        <v>830</v>
      </c>
      <c r="C126" s="202">
        <f t="shared" si="7"/>
        <v>14.838709677419354</v>
      </c>
      <c r="E126" s="198">
        <v>32</v>
      </c>
      <c r="F126" s="199">
        <v>27</v>
      </c>
      <c r="G126" s="207">
        <f t="shared" si="8"/>
        <v>18.518518518518519</v>
      </c>
      <c r="H126" s="204">
        <f t="shared" si="9"/>
        <v>0.15544544836296512</v>
      </c>
      <c r="I126" s="204">
        <f t="shared" si="10"/>
        <v>0.12305168170631665</v>
      </c>
      <c r="J126" s="198">
        <v>178</v>
      </c>
      <c r="K126" s="199">
        <v>155</v>
      </c>
      <c r="L126" s="207">
        <f t="shared" si="11"/>
        <v>14.838709677419354</v>
      </c>
      <c r="M126" s="204">
        <f t="shared" si="12"/>
        <v>0.21218262009774705</v>
      </c>
      <c r="N126" s="205">
        <f t="shared" si="13"/>
        <v>0.16906447355504411</v>
      </c>
    </row>
    <row r="127" spans="1:14" hidden="1" outlineLevel="1">
      <c r="A127" s="196"/>
      <c r="B127" s="206" t="s">
        <v>823</v>
      </c>
      <c r="C127" s="202">
        <f t="shared" si="7"/>
        <v>-60.814249363867688</v>
      </c>
      <c r="E127" s="198">
        <v>67</v>
      </c>
      <c r="F127" s="199">
        <v>124</v>
      </c>
      <c r="G127" s="207">
        <f t="shared" si="8"/>
        <v>-45.967741935483872</v>
      </c>
      <c r="H127" s="204">
        <f t="shared" si="9"/>
        <v>0.32546390750995818</v>
      </c>
      <c r="I127" s="204">
        <f t="shared" si="10"/>
        <v>0.56512624191049132</v>
      </c>
      <c r="J127" s="198">
        <v>154</v>
      </c>
      <c r="K127" s="199">
        <v>393</v>
      </c>
      <c r="L127" s="207">
        <f t="shared" si="11"/>
        <v>-60.814249363867688</v>
      </c>
      <c r="M127" s="204">
        <f t="shared" si="12"/>
        <v>0.18357372750029802</v>
      </c>
      <c r="N127" s="205">
        <f t="shared" si="13"/>
        <v>0.42866024585246665</v>
      </c>
    </row>
    <row r="128" spans="1:14" hidden="1" outlineLevel="1">
      <c r="A128" s="196"/>
      <c r="B128" s="206" t="s">
        <v>831</v>
      </c>
      <c r="C128" s="202">
        <f t="shared" si="7"/>
        <v>-5.8823529411764701</v>
      </c>
      <c r="E128" s="198">
        <v>49</v>
      </c>
      <c r="F128" s="199">
        <v>52</v>
      </c>
      <c r="G128" s="207">
        <f t="shared" si="8"/>
        <v>-5.7692307692307692</v>
      </c>
      <c r="H128" s="204">
        <f t="shared" si="9"/>
        <v>0.23802584280579034</v>
      </c>
      <c r="I128" s="204">
        <f t="shared" si="10"/>
        <v>0.23698842402698023</v>
      </c>
      <c r="J128" s="198">
        <v>144</v>
      </c>
      <c r="K128" s="199">
        <v>153</v>
      </c>
      <c r="L128" s="207">
        <f t="shared" si="11"/>
        <v>-5.8823529411764701</v>
      </c>
      <c r="M128" s="204">
        <f t="shared" si="12"/>
        <v>0.17165335558469424</v>
      </c>
      <c r="N128" s="205">
        <f t="shared" si="13"/>
        <v>0.16688299647691451</v>
      </c>
    </row>
    <row r="129" spans="1:14" hidden="1" outlineLevel="1">
      <c r="A129" s="196"/>
      <c r="B129" s="206" t="s">
        <v>833</v>
      </c>
      <c r="C129" s="202">
        <f t="shared" si="7"/>
        <v>36.893203883495147</v>
      </c>
      <c r="E129" s="198">
        <v>67</v>
      </c>
      <c r="F129" s="199">
        <v>50</v>
      </c>
      <c r="G129" s="207">
        <f t="shared" si="8"/>
        <v>34</v>
      </c>
      <c r="H129" s="204">
        <f t="shared" si="9"/>
        <v>0.32546390750995818</v>
      </c>
      <c r="I129" s="204">
        <f t="shared" si="10"/>
        <v>0.22787348464132712</v>
      </c>
      <c r="J129" s="198">
        <v>141</v>
      </c>
      <c r="K129" s="199">
        <v>103</v>
      </c>
      <c r="L129" s="207">
        <f t="shared" si="11"/>
        <v>36.893203883495147</v>
      </c>
      <c r="M129" s="204">
        <f t="shared" si="12"/>
        <v>0.16807724401001312</v>
      </c>
      <c r="N129" s="205">
        <f t="shared" si="13"/>
        <v>0.11234606952367449</v>
      </c>
    </row>
    <row r="130" spans="1:14" hidden="1" outlineLevel="1">
      <c r="A130" s="196"/>
      <c r="B130" s="206" t="s">
        <v>835</v>
      </c>
      <c r="C130" s="202">
        <f t="shared" si="7"/>
        <v>-13.829787234042554</v>
      </c>
      <c r="E130" s="198">
        <v>28</v>
      </c>
      <c r="F130" s="199">
        <v>29</v>
      </c>
      <c r="G130" s="207">
        <f t="shared" si="8"/>
        <v>-3.4482758620689653</v>
      </c>
      <c r="H130" s="204">
        <f t="shared" si="9"/>
        <v>0.13601476731759449</v>
      </c>
      <c r="I130" s="204">
        <f t="shared" si="10"/>
        <v>0.13216662109196972</v>
      </c>
      <c r="J130" s="198">
        <v>81</v>
      </c>
      <c r="K130" s="199">
        <v>94</v>
      </c>
      <c r="L130" s="207">
        <f t="shared" si="11"/>
        <v>-13.829787234042554</v>
      </c>
      <c r="M130" s="204">
        <f t="shared" si="12"/>
        <v>9.6555012516390509E-2</v>
      </c>
      <c r="N130" s="205">
        <f t="shared" si="13"/>
        <v>0.10252942267209128</v>
      </c>
    </row>
    <row r="131" spans="1:14" hidden="1" outlineLevel="1">
      <c r="A131" s="196"/>
      <c r="B131" s="206" t="s">
        <v>836</v>
      </c>
      <c r="C131" s="202">
        <f t="shared" si="7"/>
        <v>12.307692307692308</v>
      </c>
      <c r="E131" s="198">
        <v>12</v>
      </c>
      <c r="F131" s="199">
        <v>17</v>
      </c>
      <c r="G131" s="207">
        <f t="shared" si="8"/>
        <v>-29.411764705882355</v>
      </c>
      <c r="H131" s="204">
        <f t="shared" si="9"/>
        <v>5.8292043136111922E-2</v>
      </c>
      <c r="I131" s="204">
        <f t="shared" si="10"/>
        <v>7.7476984778051233E-2</v>
      </c>
      <c r="J131" s="198">
        <v>73</v>
      </c>
      <c r="K131" s="199">
        <v>65</v>
      </c>
      <c r="L131" s="207">
        <f t="shared" si="11"/>
        <v>12.307692307692308</v>
      </c>
      <c r="M131" s="204">
        <f t="shared" si="12"/>
        <v>8.7018714983907494E-2</v>
      </c>
      <c r="N131" s="205">
        <f t="shared" si="13"/>
        <v>7.089800503921205E-2</v>
      </c>
    </row>
    <row r="132" spans="1:14" hidden="1" outlineLevel="1">
      <c r="A132" s="196"/>
      <c r="B132" s="206" t="s">
        <v>837</v>
      </c>
      <c r="C132" s="202">
        <f t="shared" si="7"/>
        <v>-5.0847457627118651</v>
      </c>
      <c r="E132" s="198">
        <v>17</v>
      </c>
      <c r="F132" s="199">
        <v>24</v>
      </c>
      <c r="G132" s="207">
        <f t="shared" si="8"/>
        <v>-29.166666666666668</v>
      </c>
      <c r="H132" s="204">
        <f t="shared" si="9"/>
        <v>8.2580394442825222E-2</v>
      </c>
      <c r="I132" s="204">
        <f t="shared" si="10"/>
        <v>0.10937927262783702</v>
      </c>
      <c r="J132" s="198">
        <v>56</v>
      </c>
      <c r="K132" s="199">
        <v>59</v>
      </c>
      <c r="L132" s="207">
        <f t="shared" si="11"/>
        <v>-5.0847457627118651</v>
      </c>
      <c r="M132" s="204">
        <f t="shared" si="12"/>
        <v>6.6754082727381092E-2</v>
      </c>
      <c r="N132" s="205">
        <f t="shared" si="13"/>
        <v>6.4353573804823247E-2</v>
      </c>
    </row>
    <row r="133" spans="1:14" hidden="1" outlineLevel="1">
      <c r="A133" s="196"/>
      <c r="B133" s="206" t="s">
        <v>841</v>
      </c>
      <c r="C133" s="202">
        <f t="shared" si="7"/>
        <v>107.69230769230769</v>
      </c>
      <c r="E133" s="198">
        <v>16</v>
      </c>
      <c r="F133" s="199">
        <v>5</v>
      </c>
      <c r="G133" s="207">
        <f t="shared" si="8"/>
        <v>220.00000000000003</v>
      </c>
      <c r="H133" s="204">
        <f t="shared" si="9"/>
        <v>7.7722724181482558E-2</v>
      </c>
      <c r="I133" s="204">
        <f t="shared" si="10"/>
        <v>2.2787348464132714E-2</v>
      </c>
      <c r="J133" s="198">
        <v>54</v>
      </c>
      <c r="K133" s="199">
        <v>26</v>
      </c>
      <c r="L133" s="207">
        <f t="shared" si="11"/>
        <v>107.69230769230769</v>
      </c>
      <c r="M133" s="204">
        <f t="shared" si="12"/>
        <v>6.4370008344260335E-2</v>
      </c>
      <c r="N133" s="205">
        <f t="shared" si="13"/>
        <v>2.8359202015684818E-2</v>
      </c>
    </row>
    <row r="134" spans="1:14" hidden="1" outlineLevel="1">
      <c r="A134" s="196"/>
      <c r="B134" s="206" t="s">
        <v>839</v>
      </c>
      <c r="C134" s="202">
        <f t="shared" si="7"/>
        <v>-1.8181818181818181</v>
      </c>
      <c r="E134" s="198">
        <v>10</v>
      </c>
      <c r="F134" s="199">
        <v>13</v>
      </c>
      <c r="G134" s="207">
        <f t="shared" si="8"/>
        <v>-23.076923076923077</v>
      </c>
      <c r="H134" s="204">
        <f t="shared" si="9"/>
        <v>4.8576702613426601E-2</v>
      </c>
      <c r="I134" s="204">
        <f t="shared" si="10"/>
        <v>5.9247106006745057E-2</v>
      </c>
      <c r="J134" s="198">
        <v>54</v>
      </c>
      <c r="K134" s="199">
        <v>55</v>
      </c>
      <c r="L134" s="207">
        <f t="shared" si="11"/>
        <v>-1.8181818181818181</v>
      </c>
      <c r="M134" s="204">
        <f t="shared" si="12"/>
        <v>6.4370008344260335E-2</v>
      </c>
      <c r="N134" s="205">
        <f t="shared" si="13"/>
        <v>5.9990619648564045E-2</v>
      </c>
    </row>
    <row r="135" spans="1:14" hidden="1" outlineLevel="1">
      <c r="A135" s="196"/>
      <c r="B135" s="206" t="s">
        <v>843</v>
      </c>
      <c r="C135" s="202">
        <f t="shared" si="7"/>
        <v>88.888888888888886</v>
      </c>
      <c r="E135" s="198">
        <v>14</v>
      </c>
      <c r="F135" s="199">
        <v>13</v>
      </c>
      <c r="G135" s="207">
        <f t="shared" si="8"/>
        <v>7.6923076923076925</v>
      </c>
      <c r="H135" s="204">
        <f t="shared" si="9"/>
        <v>6.8007383658797244E-2</v>
      </c>
      <c r="I135" s="204">
        <f t="shared" si="10"/>
        <v>5.9247106006745057E-2</v>
      </c>
      <c r="J135" s="198">
        <v>34</v>
      </c>
      <c r="K135" s="199">
        <v>18</v>
      </c>
      <c r="L135" s="207">
        <f t="shared" si="11"/>
        <v>88.888888888888886</v>
      </c>
      <c r="M135" s="204">
        <f t="shared" si="12"/>
        <v>4.0529264513052804E-2</v>
      </c>
      <c r="N135" s="205">
        <f t="shared" si="13"/>
        <v>1.9633293703166414E-2</v>
      </c>
    </row>
    <row r="136" spans="1:14" hidden="1" outlineLevel="1">
      <c r="A136" s="196"/>
      <c r="B136" s="206" t="s">
        <v>844</v>
      </c>
      <c r="C136" s="202">
        <f t="shared" si="7"/>
        <v>750</v>
      </c>
      <c r="E136" s="198">
        <v>3</v>
      </c>
      <c r="F136" s="199">
        <v>4</v>
      </c>
      <c r="G136" s="207">
        <f t="shared" si="8"/>
        <v>-25</v>
      </c>
      <c r="H136" s="204">
        <f t="shared" si="9"/>
        <v>1.4573010784027981E-2</v>
      </c>
      <c r="I136" s="204">
        <f t="shared" si="10"/>
        <v>1.822987877130617E-2</v>
      </c>
      <c r="J136" s="198">
        <v>34</v>
      </c>
      <c r="K136" s="199">
        <v>4</v>
      </c>
      <c r="L136" s="207">
        <f t="shared" si="11"/>
        <v>750</v>
      </c>
      <c r="M136" s="204">
        <f t="shared" si="12"/>
        <v>4.0529264513052804E-2</v>
      </c>
      <c r="N136" s="205">
        <f t="shared" si="13"/>
        <v>4.3629541562592031E-3</v>
      </c>
    </row>
    <row r="137" spans="1:14" hidden="1" outlineLevel="1">
      <c r="A137" s="196"/>
      <c r="B137" s="206" t="s">
        <v>840</v>
      </c>
      <c r="C137" s="202">
        <f t="shared" si="7"/>
        <v>45</v>
      </c>
      <c r="E137" s="198">
        <v>13</v>
      </c>
      <c r="F137" s="199">
        <v>4</v>
      </c>
      <c r="G137" s="207">
        <f t="shared" si="8"/>
        <v>225</v>
      </c>
      <c r="H137" s="204">
        <f t="shared" si="9"/>
        <v>6.3149713397454579E-2</v>
      </c>
      <c r="I137" s="204">
        <f t="shared" si="10"/>
        <v>1.822987877130617E-2</v>
      </c>
      <c r="J137" s="198">
        <v>29</v>
      </c>
      <c r="K137" s="199">
        <v>20</v>
      </c>
      <c r="L137" s="207">
        <f t="shared" si="11"/>
        <v>45</v>
      </c>
      <c r="M137" s="204">
        <f t="shared" si="12"/>
        <v>3.4569078555250925E-2</v>
      </c>
      <c r="N137" s="205">
        <f t="shared" si="13"/>
        <v>2.1814770781296015E-2</v>
      </c>
    </row>
    <row r="138" spans="1:14" hidden="1" outlineLevel="1">
      <c r="A138" s="196"/>
      <c r="B138" s="206" t="s">
        <v>834</v>
      </c>
      <c r="C138" s="202">
        <f t="shared" ref="C138:C201" si="14">IF(K138=0,"",SUM(((J138-K138)/K138)*100))</f>
        <v>-79.591836734693871</v>
      </c>
      <c r="E138" s="198">
        <v>5</v>
      </c>
      <c r="F138" s="199">
        <v>23</v>
      </c>
      <c r="G138" s="207">
        <f t="shared" ref="G138:G201" si="15">IF(F138=0,"",SUM(((E138-F138)/F138)*100))</f>
        <v>-78.260869565217391</v>
      </c>
      <c r="H138" s="204">
        <f t="shared" ref="H138:H201" si="16">IF(E138=0,"",SUM((E138/CntPeriod)*100))</f>
        <v>2.42883513067133E-2</v>
      </c>
      <c r="I138" s="204">
        <f t="shared" ref="I138:I201" si="17">IF(F138=0,"",SUM((F138/CntPeriodPrevYear)*100))</f>
        <v>0.10482180293501049</v>
      </c>
      <c r="J138" s="198">
        <v>20</v>
      </c>
      <c r="K138" s="199">
        <v>98</v>
      </c>
      <c r="L138" s="207">
        <f t="shared" ref="L138:L201" si="18">IF(K138=0,"",SUM(((J138-K138)/K138)*100))</f>
        <v>-79.591836734693871</v>
      </c>
      <c r="M138" s="204">
        <f t="shared" ref="M138:M201" si="19">IF(J138=0,"",SUM((J138/CntYearAck)*100))</f>
        <v>2.3840743831207531E-2</v>
      </c>
      <c r="N138" s="205">
        <f t="shared" ref="N138:N201" si="20">IF(K138=0,"",SUM((K138/CntPrevYearAck)*100))</f>
        <v>0.10689237682835048</v>
      </c>
    </row>
    <row r="139" spans="1:14" hidden="1" outlineLevel="1">
      <c r="A139" s="196"/>
      <c r="B139" s="206" t="s">
        <v>838</v>
      </c>
      <c r="C139" s="202">
        <f t="shared" si="14"/>
        <v>-71.641791044776113</v>
      </c>
      <c r="E139" s="198">
        <v>4</v>
      </c>
      <c r="F139" s="199">
        <v>11</v>
      </c>
      <c r="G139" s="207">
        <f t="shared" si="15"/>
        <v>-63.636363636363633</v>
      </c>
      <c r="H139" s="204">
        <f t="shared" si="16"/>
        <v>1.943068104537064E-2</v>
      </c>
      <c r="I139" s="204">
        <f t="shared" si="17"/>
        <v>5.0132166621091961E-2</v>
      </c>
      <c r="J139" s="198">
        <v>19</v>
      </c>
      <c r="K139" s="199">
        <v>67</v>
      </c>
      <c r="L139" s="207">
        <f t="shared" si="18"/>
        <v>-71.641791044776113</v>
      </c>
      <c r="M139" s="204">
        <f t="shared" si="19"/>
        <v>2.2648706639647156E-2</v>
      </c>
      <c r="N139" s="205">
        <f t="shared" si="20"/>
        <v>7.3079482117341651E-2</v>
      </c>
    </row>
    <row r="140" spans="1:14" hidden="1" outlineLevel="1">
      <c r="A140" s="196"/>
      <c r="B140" s="206" t="s">
        <v>842</v>
      </c>
      <c r="C140" s="202">
        <f t="shared" si="14"/>
        <v>-17.647058823529413</v>
      </c>
      <c r="E140" s="198">
        <v>1</v>
      </c>
      <c r="F140" s="199">
        <v>6</v>
      </c>
      <c r="G140" s="207">
        <f t="shared" si="15"/>
        <v>-83.333333333333343</v>
      </c>
      <c r="H140" s="204">
        <f t="shared" si="16"/>
        <v>4.8576702613426599E-3</v>
      </c>
      <c r="I140" s="204">
        <f t="shared" si="17"/>
        <v>2.7344818156959255E-2</v>
      </c>
      <c r="J140" s="198">
        <v>14</v>
      </c>
      <c r="K140" s="199">
        <v>17</v>
      </c>
      <c r="L140" s="207">
        <f t="shared" si="18"/>
        <v>-17.647058823529413</v>
      </c>
      <c r="M140" s="204">
        <f t="shared" si="19"/>
        <v>1.6688520681845273E-2</v>
      </c>
      <c r="N140" s="205">
        <f t="shared" si="20"/>
        <v>1.8542555164101613E-2</v>
      </c>
    </row>
    <row r="141" spans="1:14" hidden="1" outlineLevel="1">
      <c r="A141" s="196"/>
      <c r="B141" s="206" t="s">
        <v>1019</v>
      </c>
      <c r="C141" s="202" t="str">
        <f t="shared" si="14"/>
        <v/>
      </c>
      <c r="E141" s="198">
        <v>8</v>
      </c>
      <c r="F141" s="199">
        <v>0</v>
      </c>
      <c r="G141" s="207" t="str">
        <f t="shared" si="15"/>
        <v/>
      </c>
      <c r="H141" s="204">
        <f t="shared" si="16"/>
        <v>3.8861362090741279E-2</v>
      </c>
      <c r="I141" s="204" t="str">
        <f t="shared" si="17"/>
        <v/>
      </c>
      <c r="J141" s="198">
        <v>13</v>
      </c>
      <c r="K141" s="199">
        <v>0</v>
      </c>
      <c r="L141" s="207" t="str">
        <f t="shared" si="18"/>
        <v/>
      </c>
      <c r="M141" s="204">
        <f t="shared" si="19"/>
        <v>1.5496483490284898E-2</v>
      </c>
      <c r="N141" s="205" t="str">
        <f t="shared" si="20"/>
        <v/>
      </c>
    </row>
    <row r="142" spans="1:14" collapsed="1">
      <c r="A142" s="196" t="s">
        <v>1227</v>
      </c>
      <c r="B142" s="195" t="s">
        <v>299</v>
      </c>
      <c r="C142" s="202">
        <f t="shared" si="14"/>
        <v>6.166375799883653</v>
      </c>
      <c r="E142" s="198">
        <v>988</v>
      </c>
      <c r="F142" s="199">
        <v>775</v>
      </c>
      <c r="G142" s="207">
        <f t="shared" si="15"/>
        <v>27.483870967741936</v>
      </c>
      <c r="H142" s="204">
        <f t="shared" si="16"/>
        <v>4.7993782182065479</v>
      </c>
      <c r="I142" s="204">
        <f t="shared" si="17"/>
        <v>3.5320390119405709</v>
      </c>
      <c r="J142" s="198">
        <v>3650</v>
      </c>
      <c r="K142" s="199">
        <v>3438</v>
      </c>
      <c r="L142" s="207">
        <f t="shared" si="18"/>
        <v>6.166375799883653</v>
      </c>
      <c r="M142" s="204">
        <f t="shared" si="19"/>
        <v>4.3509357491953748</v>
      </c>
      <c r="N142" s="205">
        <f t="shared" si="20"/>
        <v>3.7499590973047852</v>
      </c>
    </row>
    <row r="143" spans="1:14" hidden="1" outlineLevel="1">
      <c r="A143" s="196"/>
      <c r="B143" s="206" t="s">
        <v>865</v>
      </c>
      <c r="C143" s="202">
        <f t="shared" si="14"/>
        <v>44.806007509386738</v>
      </c>
      <c r="E143" s="198">
        <v>346</v>
      </c>
      <c r="F143" s="199">
        <v>259</v>
      </c>
      <c r="G143" s="207">
        <f t="shared" si="15"/>
        <v>33.590733590733592</v>
      </c>
      <c r="H143" s="204">
        <f t="shared" si="16"/>
        <v>1.6807539104245606</v>
      </c>
      <c r="I143" s="204">
        <f t="shared" si="17"/>
        <v>1.1803846504420745</v>
      </c>
      <c r="J143" s="198">
        <v>1157</v>
      </c>
      <c r="K143" s="199">
        <v>799</v>
      </c>
      <c r="L143" s="207">
        <f t="shared" si="18"/>
        <v>44.806007509386738</v>
      </c>
      <c r="M143" s="204">
        <f t="shared" si="19"/>
        <v>1.3791870306353557</v>
      </c>
      <c r="N143" s="205">
        <f t="shared" si="20"/>
        <v>0.87150009271277584</v>
      </c>
    </row>
    <row r="144" spans="1:14" hidden="1" outlineLevel="1">
      <c r="A144" s="196"/>
      <c r="B144" s="206" t="s">
        <v>866</v>
      </c>
      <c r="C144" s="202">
        <f t="shared" si="14"/>
        <v>-18.469015795868774</v>
      </c>
      <c r="E144" s="198">
        <v>167</v>
      </c>
      <c r="F144" s="199">
        <v>77</v>
      </c>
      <c r="G144" s="207">
        <f t="shared" si="15"/>
        <v>116.88311688311688</v>
      </c>
      <c r="H144" s="204">
        <f t="shared" si="16"/>
        <v>0.81123093364422416</v>
      </c>
      <c r="I144" s="204">
        <f t="shared" si="17"/>
        <v>0.35092516634764381</v>
      </c>
      <c r="J144" s="198">
        <v>671</v>
      </c>
      <c r="K144" s="199">
        <v>823</v>
      </c>
      <c r="L144" s="207">
        <f t="shared" si="18"/>
        <v>-18.469015795868774</v>
      </c>
      <c r="M144" s="204">
        <f t="shared" si="19"/>
        <v>0.79985695553701275</v>
      </c>
      <c r="N144" s="205">
        <f t="shared" si="20"/>
        <v>0.89767781765033094</v>
      </c>
    </row>
    <row r="145" spans="1:14" hidden="1" outlineLevel="1">
      <c r="A145" s="196"/>
      <c r="B145" s="206" t="s">
        <v>867</v>
      </c>
      <c r="C145" s="202">
        <f t="shared" si="14"/>
        <v>-18.613138686131386</v>
      </c>
      <c r="E145" s="198">
        <v>89</v>
      </c>
      <c r="F145" s="199">
        <v>184</v>
      </c>
      <c r="G145" s="207">
        <f t="shared" si="15"/>
        <v>-51.630434782608688</v>
      </c>
      <c r="H145" s="204">
        <f t="shared" si="16"/>
        <v>0.43233265325949677</v>
      </c>
      <c r="I145" s="204">
        <f t="shared" si="17"/>
        <v>0.83857442348008393</v>
      </c>
      <c r="J145" s="198">
        <v>446</v>
      </c>
      <c r="K145" s="199">
        <v>548</v>
      </c>
      <c r="L145" s="207">
        <f t="shared" si="18"/>
        <v>-18.613138686131386</v>
      </c>
      <c r="M145" s="204">
        <f t="shared" si="19"/>
        <v>0.53164858743592802</v>
      </c>
      <c r="N145" s="205">
        <f t="shared" si="20"/>
        <v>0.59772471940751082</v>
      </c>
    </row>
    <row r="146" spans="1:14" hidden="1" outlineLevel="1">
      <c r="A146" s="196"/>
      <c r="B146" s="206" t="s">
        <v>869</v>
      </c>
      <c r="C146" s="202">
        <f t="shared" si="14"/>
        <v>10.084033613445378</v>
      </c>
      <c r="E146" s="198">
        <v>99</v>
      </c>
      <c r="F146" s="199">
        <v>54</v>
      </c>
      <c r="G146" s="207">
        <f t="shared" si="15"/>
        <v>83.333333333333343</v>
      </c>
      <c r="H146" s="204">
        <f t="shared" si="16"/>
        <v>0.48090935587292333</v>
      </c>
      <c r="I146" s="204">
        <f t="shared" si="17"/>
        <v>0.24610336341263331</v>
      </c>
      <c r="J146" s="198">
        <v>393</v>
      </c>
      <c r="K146" s="199">
        <v>357</v>
      </c>
      <c r="L146" s="207">
        <f t="shared" si="18"/>
        <v>10.084033613445378</v>
      </c>
      <c r="M146" s="204">
        <f t="shared" si="19"/>
        <v>0.468470616283228</v>
      </c>
      <c r="N146" s="205">
        <f t="shared" si="20"/>
        <v>0.38939365844613388</v>
      </c>
    </row>
    <row r="147" spans="1:14" hidden="1" outlineLevel="1">
      <c r="A147" s="196"/>
      <c r="B147" s="206" t="s">
        <v>872</v>
      </c>
      <c r="C147" s="202">
        <f t="shared" si="14"/>
        <v>139.16666666666666</v>
      </c>
      <c r="E147" s="198">
        <v>104</v>
      </c>
      <c r="F147" s="199">
        <v>47</v>
      </c>
      <c r="G147" s="207">
        <f t="shared" si="15"/>
        <v>121.27659574468086</v>
      </c>
      <c r="H147" s="204">
        <f t="shared" si="16"/>
        <v>0.50519770717963663</v>
      </c>
      <c r="I147" s="204">
        <f t="shared" si="17"/>
        <v>0.21420107556284748</v>
      </c>
      <c r="J147" s="198">
        <v>287</v>
      </c>
      <c r="K147" s="199">
        <v>120</v>
      </c>
      <c r="L147" s="207">
        <f t="shared" si="18"/>
        <v>139.16666666666666</v>
      </c>
      <c r="M147" s="204">
        <f t="shared" si="19"/>
        <v>0.34211467397782813</v>
      </c>
      <c r="N147" s="205">
        <f t="shared" si="20"/>
        <v>0.1308886246877761</v>
      </c>
    </row>
    <row r="148" spans="1:14" hidden="1" outlineLevel="1">
      <c r="A148" s="196"/>
      <c r="B148" s="206" t="s">
        <v>868</v>
      </c>
      <c r="C148" s="202">
        <f t="shared" si="14"/>
        <v>-34.204275534441805</v>
      </c>
      <c r="E148" s="198">
        <v>85</v>
      </c>
      <c r="F148" s="199">
        <v>81</v>
      </c>
      <c r="G148" s="207">
        <f t="shared" si="15"/>
        <v>4.9382716049382713</v>
      </c>
      <c r="H148" s="204">
        <f t="shared" si="16"/>
        <v>0.41290197221412611</v>
      </c>
      <c r="I148" s="204">
        <f t="shared" si="17"/>
        <v>0.36915504511894992</v>
      </c>
      <c r="J148" s="198">
        <v>277</v>
      </c>
      <c r="K148" s="199">
        <v>421</v>
      </c>
      <c r="L148" s="207">
        <f t="shared" si="18"/>
        <v>-34.204275534441805</v>
      </c>
      <c r="M148" s="204">
        <f t="shared" si="19"/>
        <v>0.33019430206222433</v>
      </c>
      <c r="N148" s="205">
        <f t="shared" si="20"/>
        <v>0.45920092494628106</v>
      </c>
    </row>
    <row r="149" spans="1:14" hidden="1" outlineLevel="1">
      <c r="A149" s="196"/>
      <c r="B149" s="206" t="s">
        <v>870</v>
      </c>
      <c r="C149" s="202">
        <f t="shared" si="14"/>
        <v>17.674418604651162</v>
      </c>
      <c r="E149" s="198">
        <v>80</v>
      </c>
      <c r="F149" s="199">
        <v>32</v>
      </c>
      <c r="G149" s="207">
        <f t="shared" si="15"/>
        <v>150</v>
      </c>
      <c r="H149" s="204">
        <f t="shared" si="16"/>
        <v>0.3886136209074128</v>
      </c>
      <c r="I149" s="204">
        <f t="shared" si="17"/>
        <v>0.14583903017044936</v>
      </c>
      <c r="J149" s="198">
        <v>253</v>
      </c>
      <c r="K149" s="199">
        <v>215</v>
      </c>
      <c r="L149" s="207">
        <f t="shared" si="18"/>
        <v>17.674418604651162</v>
      </c>
      <c r="M149" s="204">
        <f t="shared" si="19"/>
        <v>0.3015854094647753</v>
      </c>
      <c r="N149" s="205">
        <f t="shared" si="20"/>
        <v>0.23450878589893215</v>
      </c>
    </row>
    <row r="150" spans="1:14" hidden="1" outlineLevel="1">
      <c r="A150" s="196"/>
      <c r="B150" s="206" t="s">
        <v>871</v>
      </c>
      <c r="C150" s="202">
        <f t="shared" si="14"/>
        <v>7.096774193548387</v>
      </c>
      <c r="E150" s="198">
        <v>18</v>
      </c>
      <c r="F150" s="199">
        <v>41</v>
      </c>
      <c r="G150" s="207">
        <f t="shared" si="15"/>
        <v>-56.09756097560976</v>
      </c>
      <c r="H150" s="204">
        <f t="shared" si="16"/>
        <v>8.7438064704167887E-2</v>
      </c>
      <c r="I150" s="204">
        <f t="shared" si="17"/>
        <v>0.18685625740588824</v>
      </c>
      <c r="J150" s="198">
        <v>166</v>
      </c>
      <c r="K150" s="199">
        <v>155</v>
      </c>
      <c r="L150" s="207">
        <f t="shared" si="18"/>
        <v>7.096774193548387</v>
      </c>
      <c r="M150" s="204">
        <f t="shared" si="19"/>
        <v>0.19787817379902251</v>
      </c>
      <c r="N150" s="205">
        <f t="shared" si="20"/>
        <v>0.16906447355504411</v>
      </c>
    </row>
    <row r="151" spans="1:14" collapsed="1">
      <c r="A151" s="196" t="s">
        <v>1183</v>
      </c>
      <c r="B151" s="195" t="s">
        <v>295</v>
      </c>
      <c r="C151" s="202">
        <f t="shared" si="14"/>
        <v>2.4174053182917001</v>
      </c>
      <c r="E151" s="198">
        <v>516</v>
      </c>
      <c r="F151" s="199">
        <v>620</v>
      </c>
      <c r="G151" s="207">
        <f t="shared" si="15"/>
        <v>-16.7741935483871</v>
      </c>
      <c r="H151" s="204">
        <f t="shared" si="16"/>
        <v>2.5065578548528129</v>
      </c>
      <c r="I151" s="204">
        <f t="shared" si="17"/>
        <v>2.8256312095524567</v>
      </c>
      <c r="J151" s="198">
        <v>2542</v>
      </c>
      <c r="K151" s="199">
        <v>2482</v>
      </c>
      <c r="L151" s="207">
        <f t="shared" si="18"/>
        <v>2.4174053182917001</v>
      </c>
      <c r="M151" s="204">
        <f t="shared" si="19"/>
        <v>3.0301585409464775</v>
      </c>
      <c r="N151" s="205">
        <f t="shared" si="20"/>
        <v>2.7072130539588355</v>
      </c>
    </row>
    <row r="152" spans="1:14" hidden="1" outlineLevel="1">
      <c r="A152" s="196"/>
      <c r="B152" s="206">
        <v>3008</v>
      </c>
      <c r="C152" s="202">
        <f t="shared" si="14"/>
        <v>-11.523687580025609</v>
      </c>
      <c r="E152" s="198">
        <v>287</v>
      </c>
      <c r="F152" s="199">
        <v>279</v>
      </c>
      <c r="G152" s="207">
        <f t="shared" si="15"/>
        <v>2.8673835125448028</v>
      </c>
      <c r="H152" s="204">
        <f t="shared" si="16"/>
        <v>1.3941513650053434</v>
      </c>
      <c r="I152" s="204">
        <f t="shared" si="17"/>
        <v>1.2715340442986054</v>
      </c>
      <c r="J152" s="198">
        <v>691</v>
      </c>
      <c r="K152" s="199">
        <v>781</v>
      </c>
      <c r="L152" s="207">
        <f t="shared" si="18"/>
        <v>-11.523687580025609</v>
      </c>
      <c r="M152" s="204">
        <f t="shared" si="19"/>
        <v>0.82369769936822024</v>
      </c>
      <c r="N152" s="205">
        <f t="shared" si="20"/>
        <v>0.85186679900960938</v>
      </c>
    </row>
    <row r="153" spans="1:14" hidden="1" outlineLevel="1">
      <c r="A153" s="196"/>
      <c r="B153" s="206">
        <v>208</v>
      </c>
      <c r="C153" s="202">
        <f t="shared" si="14"/>
        <v>-19.888734353268429</v>
      </c>
      <c r="E153" s="198">
        <v>40</v>
      </c>
      <c r="F153" s="199">
        <v>215</v>
      </c>
      <c r="G153" s="207">
        <f t="shared" si="15"/>
        <v>-81.395348837209298</v>
      </c>
      <c r="H153" s="204">
        <f t="shared" si="16"/>
        <v>0.1943068104537064</v>
      </c>
      <c r="I153" s="204">
        <f t="shared" si="17"/>
        <v>0.97985598395770679</v>
      </c>
      <c r="J153" s="198">
        <v>576</v>
      </c>
      <c r="K153" s="199">
        <v>719</v>
      </c>
      <c r="L153" s="207">
        <f t="shared" si="18"/>
        <v>-19.888734353268429</v>
      </c>
      <c r="M153" s="204">
        <f t="shared" si="19"/>
        <v>0.68661342233877698</v>
      </c>
      <c r="N153" s="205">
        <f t="shared" si="20"/>
        <v>0.7842410095875918</v>
      </c>
    </row>
    <row r="154" spans="1:14" hidden="1" outlineLevel="1">
      <c r="A154" s="196"/>
      <c r="B154" s="206">
        <v>2008</v>
      </c>
      <c r="C154" s="202">
        <f t="shared" si="14"/>
        <v>-23.344370860927153</v>
      </c>
      <c r="E154" s="198">
        <v>41</v>
      </c>
      <c r="F154" s="199">
        <v>36</v>
      </c>
      <c r="G154" s="207">
        <f t="shared" si="15"/>
        <v>13.888888888888889</v>
      </c>
      <c r="H154" s="204">
        <f t="shared" si="16"/>
        <v>0.19916448071504905</v>
      </c>
      <c r="I154" s="204">
        <f t="shared" si="17"/>
        <v>0.16406890894175555</v>
      </c>
      <c r="J154" s="198">
        <v>463</v>
      </c>
      <c r="K154" s="199">
        <v>604</v>
      </c>
      <c r="L154" s="207">
        <f t="shared" si="18"/>
        <v>-23.344370860927153</v>
      </c>
      <c r="M154" s="204">
        <f t="shared" si="19"/>
        <v>0.55191321969245444</v>
      </c>
      <c r="N154" s="205">
        <f t="shared" si="20"/>
        <v>0.65880607759513965</v>
      </c>
    </row>
    <row r="155" spans="1:14" hidden="1" outlineLevel="1">
      <c r="A155" s="196"/>
      <c r="B155" s="206">
        <v>308</v>
      </c>
      <c r="C155" s="202">
        <f t="shared" si="14"/>
        <v>255.85585585585585</v>
      </c>
      <c r="E155" s="198">
        <v>45</v>
      </c>
      <c r="F155" s="199">
        <v>20</v>
      </c>
      <c r="G155" s="207">
        <f t="shared" si="15"/>
        <v>125</v>
      </c>
      <c r="H155" s="204">
        <f t="shared" si="16"/>
        <v>0.21859516176041971</v>
      </c>
      <c r="I155" s="204">
        <f t="shared" si="17"/>
        <v>9.1149393856530855E-2</v>
      </c>
      <c r="J155" s="198">
        <v>395</v>
      </c>
      <c r="K155" s="199">
        <v>111</v>
      </c>
      <c r="L155" s="207">
        <f t="shared" si="18"/>
        <v>255.85585585585585</v>
      </c>
      <c r="M155" s="204">
        <f t="shared" si="19"/>
        <v>0.47085469066634883</v>
      </c>
      <c r="N155" s="205">
        <f t="shared" si="20"/>
        <v>0.12107197783619288</v>
      </c>
    </row>
    <row r="156" spans="1:14" hidden="1" outlineLevel="1">
      <c r="A156" s="196"/>
      <c r="B156" s="206">
        <v>5008</v>
      </c>
      <c r="C156" s="202">
        <f t="shared" si="14"/>
        <v>222.5</v>
      </c>
      <c r="E156" s="198">
        <v>75</v>
      </c>
      <c r="F156" s="199">
        <v>29</v>
      </c>
      <c r="G156" s="207">
        <f t="shared" si="15"/>
        <v>158.62068965517241</v>
      </c>
      <c r="H156" s="204">
        <f t="shared" si="16"/>
        <v>0.3643252696006995</v>
      </c>
      <c r="I156" s="204">
        <f t="shared" si="17"/>
        <v>0.13216662109196972</v>
      </c>
      <c r="J156" s="198">
        <v>258</v>
      </c>
      <c r="K156" s="199">
        <v>80</v>
      </c>
      <c r="L156" s="207">
        <f t="shared" si="18"/>
        <v>222.5</v>
      </c>
      <c r="M156" s="204">
        <f t="shared" si="19"/>
        <v>0.30754559542257714</v>
      </c>
      <c r="N156" s="205">
        <f t="shared" si="20"/>
        <v>8.7259083125184059E-2</v>
      </c>
    </row>
    <row r="157" spans="1:14" hidden="1" outlineLevel="1">
      <c r="A157" s="196"/>
      <c r="B157" s="206">
        <v>408</v>
      </c>
      <c r="C157" s="202" t="str">
        <f t="shared" si="14"/>
        <v/>
      </c>
      <c r="E157" s="198">
        <v>3</v>
      </c>
      <c r="F157" s="199">
        <v>0</v>
      </c>
      <c r="G157" s="207" t="str">
        <f t="shared" si="15"/>
        <v/>
      </c>
      <c r="H157" s="204">
        <f t="shared" si="16"/>
        <v>1.4573010784027981E-2</v>
      </c>
      <c r="I157" s="204" t="str">
        <f t="shared" si="17"/>
        <v/>
      </c>
      <c r="J157" s="198">
        <v>98</v>
      </c>
      <c r="K157" s="199">
        <v>0</v>
      </c>
      <c r="L157" s="207" t="str">
        <f t="shared" si="18"/>
        <v/>
      </c>
      <c r="M157" s="204">
        <f t="shared" si="19"/>
        <v>0.11681964477291691</v>
      </c>
      <c r="N157" s="205" t="str">
        <f t="shared" si="20"/>
        <v/>
      </c>
    </row>
    <row r="158" spans="1:14" hidden="1" outlineLevel="1">
      <c r="A158" s="196"/>
      <c r="B158" s="206" t="s">
        <v>889</v>
      </c>
      <c r="C158" s="202">
        <f t="shared" si="14"/>
        <v>-58.333333333333336</v>
      </c>
      <c r="E158" s="198">
        <v>5</v>
      </c>
      <c r="F158" s="199">
        <v>6</v>
      </c>
      <c r="G158" s="207">
        <f t="shared" si="15"/>
        <v>-16.666666666666664</v>
      </c>
      <c r="H158" s="204">
        <f t="shared" si="16"/>
        <v>2.42883513067133E-2</v>
      </c>
      <c r="I158" s="204">
        <f t="shared" si="17"/>
        <v>2.7344818156959255E-2</v>
      </c>
      <c r="J158" s="198">
        <v>20</v>
      </c>
      <c r="K158" s="199">
        <v>48</v>
      </c>
      <c r="L158" s="207">
        <f t="shared" si="18"/>
        <v>-58.333333333333336</v>
      </c>
      <c r="M158" s="204">
        <f t="shared" si="19"/>
        <v>2.3840743831207531E-2</v>
      </c>
      <c r="N158" s="205">
        <f t="shared" si="20"/>
        <v>5.2355449875110441E-2</v>
      </c>
    </row>
    <row r="159" spans="1:14" hidden="1" outlineLevel="1">
      <c r="A159" s="196"/>
      <c r="B159" s="206" t="s">
        <v>890</v>
      </c>
      <c r="C159" s="202">
        <f t="shared" si="14"/>
        <v>-56.09756097560976</v>
      </c>
      <c r="E159" s="198">
        <v>12</v>
      </c>
      <c r="F159" s="199">
        <v>9</v>
      </c>
      <c r="G159" s="207">
        <f t="shared" si="15"/>
        <v>33.333333333333329</v>
      </c>
      <c r="H159" s="204">
        <f t="shared" si="16"/>
        <v>5.8292043136111922E-2</v>
      </c>
      <c r="I159" s="204">
        <f t="shared" si="17"/>
        <v>4.1017227235438887E-2</v>
      </c>
      <c r="J159" s="198">
        <v>18</v>
      </c>
      <c r="K159" s="199">
        <v>41</v>
      </c>
      <c r="L159" s="207">
        <f t="shared" si="18"/>
        <v>-56.09756097560976</v>
      </c>
      <c r="M159" s="204">
        <f t="shared" si="19"/>
        <v>2.1456669448086781E-2</v>
      </c>
      <c r="N159" s="205">
        <f t="shared" si="20"/>
        <v>4.472028010165683E-2</v>
      </c>
    </row>
    <row r="160" spans="1:14" hidden="1" outlineLevel="1">
      <c r="A160" s="196"/>
      <c r="B160" s="206">
        <v>508</v>
      </c>
      <c r="C160" s="202">
        <f t="shared" si="14"/>
        <v>-81.690140845070431</v>
      </c>
      <c r="E160" s="198">
        <v>3</v>
      </c>
      <c r="F160" s="199">
        <v>20</v>
      </c>
      <c r="G160" s="207">
        <f t="shared" si="15"/>
        <v>-85</v>
      </c>
      <c r="H160" s="204">
        <f t="shared" si="16"/>
        <v>1.4573010784027981E-2</v>
      </c>
      <c r="I160" s="204">
        <f t="shared" si="17"/>
        <v>9.1149393856530855E-2</v>
      </c>
      <c r="J160" s="198">
        <v>13</v>
      </c>
      <c r="K160" s="199">
        <v>71</v>
      </c>
      <c r="L160" s="207">
        <f t="shared" si="18"/>
        <v>-81.690140845070431</v>
      </c>
      <c r="M160" s="204">
        <f t="shared" si="19"/>
        <v>1.5496483490284898E-2</v>
      </c>
      <c r="N160" s="205">
        <f t="shared" si="20"/>
        <v>7.7442436273600854E-2</v>
      </c>
    </row>
    <row r="161" spans="1:14" hidden="1" outlineLevel="1">
      <c r="A161" s="196"/>
      <c r="B161" s="206" t="s">
        <v>891</v>
      </c>
      <c r="C161" s="202">
        <f t="shared" si="14"/>
        <v>25</v>
      </c>
      <c r="E161" s="198">
        <v>5</v>
      </c>
      <c r="F161" s="199">
        <v>6</v>
      </c>
      <c r="G161" s="207">
        <f t="shared" si="15"/>
        <v>-16.666666666666664</v>
      </c>
      <c r="H161" s="204">
        <f t="shared" si="16"/>
        <v>2.42883513067133E-2</v>
      </c>
      <c r="I161" s="204">
        <f t="shared" si="17"/>
        <v>2.7344818156959255E-2</v>
      </c>
      <c r="J161" s="198">
        <v>10</v>
      </c>
      <c r="K161" s="199">
        <v>8</v>
      </c>
      <c r="L161" s="207">
        <f t="shared" si="18"/>
        <v>25</v>
      </c>
      <c r="M161" s="204">
        <f t="shared" si="19"/>
        <v>1.1920371915603765E-2</v>
      </c>
      <c r="N161" s="205">
        <f t="shared" si="20"/>
        <v>8.7259083125184062E-3</v>
      </c>
    </row>
    <row r="162" spans="1:14" hidden="1" outlineLevel="1">
      <c r="A162" s="196"/>
      <c r="B162" s="206">
        <v>108</v>
      </c>
      <c r="C162" s="202">
        <f t="shared" si="14"/>
        <v>-100</v>
      </c>
      <c r="E162" s="198">
        <v>0</v>
      </c>
      <c r="F162" s="199">
        <v>0</v>
      </c>
      <c r="G162" s="207" t="str">
        <f t="shared" si="15"/>
        <v/>
      </c>
      <c r="H162" s="204" t="str">
        <f t="shared" si="16"/>
        <v/>
      </c>
      <c r="I162" s="204" t="str">
        <f t="shared" si="17"/>
        <v/>
      </c>
      <c r="J162" s="198">
        <v>0</v>
      </c>
      <c r="K162" s="199">
        <v>19</v>
      </c>
      <c r="L162" s="207">
        <f t="shared" si="18"/>
        <v>-100</v>
      </c>
      <c r="M162" s="204" t="str">
        <f t="shared" si="19"/>
        <v/>
      </c>
      <c r="N162" s="205">
        <f t="shared" si="20"/>
        <v>2.0724032242231214E-2</v>
      </c>
    </row>
    <row r="163" spans="1:14" collapsed="1">
      <c r="A163" s="196" t="s">
        <v>1228</v>
      </c>
      <c r="B163" s="195" t="s">
        <v>277</v>
      </c>
      <c r="C163" s="202">
        <f t="shared" si="14"/>
        <v>-31.16964565694575</v>
      </c>
      <c r="E163" s="198">
        <v>771</v>
      </c>
      <c r="F163" s="199">
        <v>557</v>
      </c>
      <c r="G163" s="207">
        <f t="shared" si="15"/>
        <v>38.42010771992819</v>
      </c>
      <c r="H163" s="204">
        <f t="shared" si="16"/>
        <v>3.7452637714951909</v>
      </c>
      <c r="I163" s="204">
        <f t="shared" si="17"/>
        <v>2.5385106189043842</v>
      </c>
      <c r="J163" s="198">
        <v>2195</v>
      </c>
      <c r="K163" s="199">
        <v>3189</v>
      </c>
      <c r="L163" s="207">
        <f t="shared" si="18"/>
        <v>-31.16964565694575</v>
      </c>
      <c r="M163" s="204">
        <f t="shared" si="19"/>
        <v>2.6165216354750269</v>
      </c>
      <c r="N163" s="205">
        <f t="shared" si="20"/>
        <v>3.4783652010776498</v>
      </c>
    </row>
    <row r="164" spans="1:14" hidden="1" outlineLevel="1">
      <c r="A164" s="196"/>
      <c r="B164" s="206" t="s">
        <v>877</v>
      </c>
      <c r="C164" s="202">
        <f t="shared" si="14"/>
        <v>11.573472041612485</v>
      </c>
      <c r="E164" s="198">
        <v>229</v>
      </c>
      <c r="F164" s="199">
        <v>99</v>
      </c>
      <c r="G164" s="207">
        <f t="shared" si="15"/>
        <v>131.31313131313132</v>
      </c>
      <c r="H164" s="204">
        <f t="shared" si="16"/>
        <v>1.1124064898474693</v>
      </c>
      <c r="I164" s="204">
        <f t="shared" si="17"/>
        <v>0.45118949958982779</v>
      </c>
      <c r="J164" s="198">
        <v>858</v>
      </c>
      <c r="K164" s="199">
        <v>769</v>
      </c>
      <c r="L164" s="207">
        <f t="shared" si="18"/>
        <v>11.573472041612485</v>
      </c>
      <c r="M164" s="204">
        <f t="shared" si="19"/>
        <v>1.0227679103588032</v>
      </c>
      <c r="N164" s="205">
        <f t="shared" si="20"/>
        <v>0.83877793654083177</v>
      </c>
    </row>
    <row r="165" spans="1:14" hidden="1" outlineLevel="1">
      <c r="A165" s="196"/>
      <c r="B165" s="206" t="s">
        <v>876</v>
      </c>
      <c r="C165" s="202">
        <f t="shared" si="14"/>
        <v>-32.051282051282051</v>
      </c>
      <c r="E165" s="198">
        <v>334</v>
      </c>
      <c r="F165" s="199">
        <v>142</v>
      </c>
      <c r="G165" s="207">
        <f t="shared" si="15"/>
        <v>135.21126760563379</v>
      </c>
      <c r="H165" s="204">
        <f t="shared" si="16"/>
        <v>1.6224618672884483</v>
      </c>
      <c r="I165" s="204">
        <f t="shared" si="17"/>
        <v>0.64716069638136908</v>
      </c>
      <c r="J165" s="198">
        <v>742</v>
      </c>
      <c r="K165" s="199">
        <v>1092</v>
      </c>
      <c r="L165" s="207">
        <f t="shared" si="18"/>
        <v>-32.051282051282051</v>
      </c>
      <c r="M165" s="204">
        <f t="shared" si="19"/>
        <v>0.88449159613779949</v>
      </c>
      <c r="N165" s="205">
        <f t="shared" si="20"/>
        <v>1.1910864846587625</v>
      </c>
    </row>
    <row r="166" spans="1:14" hidden="1" outlineLevel="1">
      <c r="A166" s="196"/>
      <c r="B166" s="206" t="s">
        <v>880</v>
      </c>
      <c r="C166" s="202">
        <f t="shared" si="14"/>
        <v>-36.196319018404907</v>
      </c>
      <c r="E166" s="198">
        <v>43</v>
      </c>
      <c r="F166" s="199">
        <v>46</v>
      </c>
      <c r="G166" s="207">
        <f t="shared" si="15"/>
        <v>-6.5217391304347823</v>
      </c>
      <c r="H166" s="204">
        <f t="shared" si="16"/>
        <v>0.20887982123773438</v>
      </c>
      <c r="I166" s="204">
        <f t="shared" si="17"/>
        <v>0.20964360587002098</v>
      </c>
      <c r="J166" s="198">
        <v>104</v>
      </c>
      <c r="K166" s="199">
        <v>163</v>
      </c>
      <c r="L166" s="207">
        <f t="shared" si="18"/>
        <v>-36.196319018404907</v>
      </c>
      <c r="M166" s="204">
        <f t="shared" si="19"/>
        <v>0.12397186792227918</v>
      </c>
      <c r="N166" s="205">
        <f t="shared" si="20"/>
        <v>0.17779038186756252</v>
      </c>
    </row>
    <row r="167" spans="1:14" hidden="1" outlineLevel="1">
      <c r="A167" s="196"/>
      <c r="B167" s="206" t="s">
        <v>887</v>
      </c>
      <c r="C167" s="202">
        <f t="shared" si="14"/>
        <v>553.33333333333337</v>
      </c>
      <c r="E167" s="198">
        <v>32</v>
      </c>
      <c r="F167" s="199">
        <v>5</v>
      </c>
      <c r="G167" s="207">
        <f t="shared" si="15"/>
        <v>540</v>
      </c>
      <c r="H167" s="204">
        <f t="shared" si="16"/>
        <v>0.15544544836296512</v>
      </c>
      <c r="I167" s="204">
        <f t="shared" si="17"/>
        <v>2.2787348464132714E-2</v>
      </c>
      <c r="J167" s="198">
        <v>98</v>
      </c>
      <c r="K167" s="199">
        <v>15</v>
      </c>
      <c r="L167" s="207">
        <f t="shared" si="18"/>
        <v>553.33333333333337</v>
      </c>
      <c r="M167" s="204">
        <f t="shared" si="19"/>
        <v>0.11681964477291691</v>
      </c>
      <c r="N167" s="205">
        <f t="shared" si="20"/>
        <v>1.6361078085972012E-2</v>
      </c>
    </row>
    <row r="168" spans="1:14" hidden="1" outlineLevel="1">
      <c r="A168" s="196"/>
      <c r="B168" s="206" t="s">
        <v>878</v>
      </c>
      <c r="C168" s="202">
        <f t="shared" si="14"/>
        <v>-83.060109289617486</v>
      </c>
      <c r="E168" s="198">
        <v>15</v>
      </c>
      <c r="F168" s="199">
        <v>128</v>
      </c>
      <c r="G168" s="207">
        <f t="shared" si="15"/>
        <v>-88.28125</v>
      </c>
      <c r="H168" s="204">
        <f t="shared" si="16"/>
        <v>7.2865053920139894E-2</v>
      </c>
      <c r="I168" s="204">
        <f t="shared" si="17"/>
        <v>0.58335612068179743</v>
      </c>
      <c r="J168" s="198">
        <v>93</v>
      </c>
      <c r="K168" s="199">
        <v>549</v>
      </c>
      <c r="L168" s="207">
        <f t="shared" si="18"/>
        <v>-83.060109289617486</v>
      </c>
      <c r="M168" s="204">
        <f t="shared" si="19"/>
        <v>0.11085945881511503</v>
      </c>
      <c r="N168" s="205">
        <f t="shared" si="20"/>
        <v>0.59881545794657565</v>
      </c>
    </row>
    <row r="169" spans="1:14" hidden="1" outlineLevel="1">
      <c r="A169" s="196"/>
      <c r="B169" s="206" t="s">
        <v>881</v>
      </c>
      <c r="C169" s="202">
        <f t="shared" si="14"/>
        <v>-60.62176165803109</v>
      </c>
      <c r="E169" s="198">
        <v>7</v>
      </c>
      <c r="F169" s="199">
        <v>20</v>
      </c>
      <c r="G169" s="207">
        <f t="shared" si="15"/>
        <v>-65</v>
      </c>
      <c r="H169" s="204">
        <f t="shared" si="16"/>
        <v>3.4003691829398622E-2</v>
      </c>
      <c r="I169" s="204">
        <f t="shared" si="17"/>
        <v>9.1149393856530855E-2</v>
      </c>
      <c r="J169" s="198">
        <v>76</v>
      </c>
      <c r="K169" s="199">
        <v>193</v>
      </c>
      <c r="L169" s="207">
        <f t="shared" si="18"/>
        <v>-60.62176165803109</v>
      </c>
      <c r="M169" s="204">
        <f t="shared" si="19"/>
        <v>9.0594826558588623E-2</v>
      </c>
      <c r="N169" s="205">
        <f t="shared" si="20"/>
        <v>0.21051253803950654</v>
      </c>
    </row>
    <row r="170" spans="1:14" hidden="1" outlineLevel="1">
      <c r="A170" s="196"/>
      <c r="B170" s="206" t="s">
        <v>883</v>
      </c>
      <c r="C170" s="202">
        <f t="shared" si="14"/>
        <v>15.789473684210526</v>
      </c>
      <c r="E170" s="198">
        <v>48</v>
      </c>
      <c r="F170" s="199">
        <v>11</v>
      </c>
      <c r="G170" s="207">
        <f t="shared" si="15"/>
        <v>336.36363636363637</v>
      </c>
      <c r="H170" s="204">
        <f t="shared" si="16"/>
        <v>0.23316817254444769</v>
      </c>
      <c r="I170" s="204">
        <f t="shared" si="17"/>
        <v>5.0132166621091961E-2</v>
      </c>
      <c r="J170" s="198">
        <v>66</v>
      </c>
      <c r="K170" s="199">
        <v>57</v>
      </c>
      <c r="L170" s="207">
        <f t="shared" si="18"/>
        <v>15.789473684210526</v>
      </c>
      <c r="M170" s="204">
        <f t="shared" si="19"/>
        <v>7.8674454642984865E-2</v>
      </c>
      <c r="N170" s="205">
        <f t="shared" si="20"/>
        <v>6.2172096726693646E-2</v>
      </c>
    </row>
    <row r="171" spans="1:14" hidden="1" outlineLevel="1">
      <c r="A171" s="196"/>
      <c r="B171" s="206" t="s">
        <v>886</v>
      </c>
      <c r="C171" s="202">
        <f t="shared" si="14"/>
        <v>212.5</v>
      </c>
      <c r="E171" s="198">
        <v>49</v>
      </c>
      <c r="F171" s="199">
        <v>3</v>
      </c>
      <c r="G171" s="207">
        <f t="shared" si="15"/>
        <v>1533.3333333333335</v>
      </c>
      <c r="H171" s="204">
        <f t="shared" si="16"/>
        <v>0.23802584280579034</v>
      </c>
      <c r="I171" s="204">
        <f t="shared" si="17"/>
        <v>1.3672409078479627E-2</v>
      </c>
      <c r="J171" s="198">
        <v>50</v>
      </c>
      <c r="K171" s="199">
        <v>16</v>
      </c>
      <c r="L171" s="207">
        <f t="shared" si="18"/>
        <v>212.5</v>
      </c>
      <c r="M171" s="204">
        <f t="shared" si="19"/>
        <v>5.9601859578018834E-2</v>
      </c>
      <c r="N171" s="205">
        <f t="shared" si="20"/>
        <v>1.7451816625036812E-2</v>
      </c>
    </row>
    <row r="172" spans="1:14" hidden="1" outlineLevel="1">
      <c r="A172" s="196"/>
      <c r="B172" s="206" t="s">
        <v>888</v>
      </c>
      <c r="C172" s="202">
        <f t="shared" si="14"/>
        <v>4700</v>
      </c>
      <c r="E172" s="198">
        <v>12</v>
      </c>
      <c r="F172" s="199">
        <v>0</v>
      </c>
      <c r="G172" s="207" t="str">
        <f t="shared" si="15"/>
        <v/>
      </c>
      <c r="H172" s="204">
        <f t="shared" si="16"/>
        <v>5.8292043136111922E-2</v>
      </c>
      <c r="I172" s="204" t="str">
        <f t="shared" si="17"/>
        <v/>
      </c>
      <c r="J172" s="198">
        <v>48</v>
      </c>
      <c r="K172" s="199">
        <v>1</v>
      </c>
      <c r="L172" s="207">
        <f t="shared" si="18"/>
        <v>4700</v>
      </c>
      <c r="M172" s="204">
        <f t="shared" si="19"/>
        <v>5.7217785194898077E-2</v>
      </c>
      <c r="N172" s="205">
        <f t="shared" si="20"/>
        <v>1.0907385390648008E-3</v>
      </c>
    </row>
    <row r="173" spans="1:14" hidden="1" outlineLevel="1">
      <c r="A173" s="196"/>
      <c r="B173" s="206" t="s">
        <v>884</v>
      </c>
      <c r="C173" s="202">
        <f t="shared" si="14"/>
        <v>-19.512195121951219</v>
      </c>
      <c r="E173" s="198">
        <v>1</v>
      </c>
      <c r="F173" s="199">
        <v>8</v>
      </c>
      <c r="G173" s="207">
        <f t="shared" si="15"/>
        <v>-87.5</v>
      </c>
      <c r="H173" s="204">
        <f t="shared" si="16"/>
        <v>4.8576702613426599E-3</v>
      </c>
      <c r="I173" s="204">
        <f t="shared" si="17"/>
        <v>3.6459757542612339E-2</v>
      </c>
      <c r="J173" s="198">
        <v>33</v>
      </c>
      <c r="K173" s="199">
        <v>41</v>
      </c>
      <c r="L173" s="207">
        <f t="shared" si="18"/>
        <v>-19.512195121951219</v>
      </c>
      <c r="M173" s="204">
        <f t="shared" si="19"/>
        <v>3.9337227321492432E-2</v>
      </c>
      <c r="N173" s="205">
        <f t="shared" si="20"/>
        <v>4.472028010165683E-2</v>
      </c>
    </row>
    <row r="174" spans="1:14" hidden="1" outlineLevel="1">
      <c r="A174" s="196"/>
      <c r="B174" s="206" t="s">
        <v>885</v>
      </c>
      <c r="C174" s="202">
        <f t="shared" si="14"/>
        <v>-12.5</v>
      </c>
      <c r="E174" s="198">
        <v>1</v>
      </c>
      <c r="F174" s="199">
        <v>6</v>
      </c>
      <c r="G174" s="207">
        <f t="shared" si="15"/>
        <v>-83.333333333333343</v>
      </c>
      <c r="H174" s="204">
        <f t="shared" si="16"/>
        <v>4.8576702613426599E-3</v>
      </c>
      <c r="I174" s="204">
        <f t="shared" si="17"/>
        <v>2.7344818156959255E-2</v>
      </c>
      <c r="J174" s="198">
        <v>21</v>
      </c>
      <c r="K174" s="199">
        <v>24</v>
      </c>
      <c r="L174" s="207">
        <f t="shared" si="18"/>
        <v>-12.5</v>
      </c>
      <c r="M174" s="204">
        <f t="shared" si="19"/>
        <v>2.5032781022767913E-2</v>
      </c>
      <c r="N174" s="205">
        <f t="shared" si="20"/>
        <v>2.617772493755522E-2</v>
      </c>
    </row>
    <row r="175" spans="1:14" hidden="1" outlineLevel="1">
      <c r="A175" s="196"/>
      <c r="B175" s="206" t="s">
        <v>882</v>
      </c>
      <c r="C175" s="202">
        <f t="shared" si="14"/>
        <v>-86.36363636363636</v>
      </c>
      <c r="E175" s="198">
        <v>0</v>
      </c>
      <c r="F175" s="199">
        <v>19</v>
      </c>
      <c r="G175" s="207">
        <f t="shared" si="15"/>
        <v>-100</v>
      </c>
      <c r="H175" s="204" t="str">
        <f t="shared" si="16"/>
        <v/>
      </c>
      <c r="I175" s="204">
        <f t="shared" si="17"/>
        <v>8.6591924163704315E-2</v>
      </c>
      <c r="J175" s="198">
        <v>6</v>
      </c>
      <c r="K175" s="199">
        <v>44</v>
      </c>
      <c r="L175" s="207">
        <f t="shared" si="18"/>
        <v>-86.36363636363636</v>
      </c>
      <c r="M175" s="204">
        <f t="shared" si="19"/>
        <v>7.1522231493622596E-3</v>
      </c>
      <c r="N175" s="205">
        <f t="shared" si="20"/>
        <v>4.7992495718851232E-2</v>
      </c>
    </row>
    <row r="176" spans="1:14" hidden="1" outlineLevel="1">
      <c r="A176" s="196"/>
      <c r="B176" s="206" t="s">
        <v>879</v>
      </c>
      <c r="C176" s="202">
        <f t="shared" si="14"/>
        <v>-100</v>
      </c>
      <c r="E176" s="198">
        <v>0</v>
      </c>
      <c r="F176" s="199">
        <v>70</v>
      </c>
      <c r="G176" s="207">
        <f t="shared" si="15"/>
        <v>-100</v>
      </c>
      <c r="H176" s="204" t="str">
        <f t="shared" si="16"/>
        <v/>
      </c>
      <c r="I176" s="204">
        <f t="shared" si="17"/>
        <v>0.31902287849785799</v>
      </c>
      <c r="J176" s="198">
        <v>0</v>
      </c>
      <c r="K176" s="199">
        <v>223</v>
      </c>
      <c r="L176" s="207">
        <f t="shared" si="18"/>
        <v>-100</v>
      </c>
      <c r="M176" s="204" t="str">
        <f t="shared" si="19"/>
        <v/>
      </c>
      <c r="N176" s="205">
        <f t="shared" si="20"/>
        <v>0.24323469421145058</v>
      </c>
    </row>
    <row r="177" spans="1:14" hidden="1" outlineLevel="1">
      <c r="A177" s="196"/>
      <c r="B177" s="206" t="s">
        <v>1184</v>
      </c>
      <c r="C177" s="202">
        <f t="shared" si="14"/>
        <v>-100</v>
      </c>
      <c r="E177" s="198">
        <v>0</v>
      </c>
      <c r="F177" s="199">
        <v>0</v>
      </c>
      <c r="G177" s="207" t="str">
        <f t="shared" si="15"/>
        <v/>
      </c>
      <c r="H177" s="204" t="str">
        <f t="shared" si="16"/>
        <v/>
      </c>
      <c r="I177" s="204" t="str">
        <f t="shared" si="17"/>
        <v/>
      </c>
      <c r="J177" s="198">
        <v>0</v>
      </c>
      <c r="K177" s="199">
        <v>1</v>
      </c>
      <c r="L177" s="207">
        <f t="shared" si="18"/>
        <v>-100</v>
      </c>
      <c r="M177" s="204" t="str">
        <f t="shared" si="19"/>
        <v/>
      </c>
      <c r="N177" s="205">
        <f t="shared" si="20"/>
        <v>1.0907385390648008E-3</v>
      </c>
    </row>
    <row r="178" spans="1:14" hidden="1" outlineLevel="1">
      <c r="A178" s="196"/>
      <c r="B178" s="206" t="s">
        <v>1150</v>
      </c>
      <c r="C178" s="202">
        <f t="shared" si="14"/>
        <v>-100</v>
      </c>
      <c r="E178" s="198">
        <v>0</v>
      </c>
      <c r="F178" s="199">
        <v>0</v>
      </c>
      <c r="G178" s="207" t="str">
        <f t="shared" si="15"/>
        <v/>
      </c>
      <c r="H178" s="204" t="str">
        <f t="shared" si="16"/>
        <v/>
      </c>
      <c r="I178" s="204" t="str">
        <f t="shared" si="17"/>
        <v/>
      </c>
      <c r="J178" s="198">
        <v>0</v>
      </c>
      <c r="K178" s="199">
        <v>1</v>
      </c>
      <c r="L178" s="207">
        <f t="shared" si="18"/>
        <v>-100</v>
      </c>
      <c r="M178" s="204" t="str">
        <f t="shared" si="19"/>
        <v/>
      </c>
      <c r="N178" s="205">
        <f t="shared" si="20"/>
        <v>1.0907385390648008E-3</v>
      </c>
    </row>
    <row r="179" spans="1:14" collapsed="1">
      <c r="A179" s="196" t="s">
        <v>1229</v>
      </c>
      <c r="B179" s="195" t="s">
        <v>618</v>
      </c>
      <c r="C179" s="202">
        <f t="shared" si="14"/>
        <v>27.925696594427247</v>
      </c>
      <c r="E179" s="198">
        <v>417</v>
      </c>
      <c r="F179" s="199">
        <v>384</v>
      </c>
      <c r="G179" s="207">
        <f t="shared" si="15"/>
        <v>8.59375</v>
      </c>
      <c r="H179" s="204">
        <f t="shared" si="16"/>
        <v>2.0256484989798893</v>
      </c>
      <c r="I179" s="204">
        <f t="shared" si="17"/>
        <v>1.7500683620453923</v>
      </c>
      <c r="J179" s="198">
        <v>2066</v>
      </c>
      <c r="K179" s="199">
        <v>1615</v>
      </c>
      <c r="L179" s="207">
        <f t="shared" si="18"/>
        <v>27.925696594427247</v>
      </c>
      <c r="M179" s="204">
        <f t="shared" si="19"/>
        <v>2.4627488377637383</v>
      </c>
      <c r="N179" s="205">
        <f t="shared" si="20"/>
        <v>1.7615427405896531</v>
      </c>
    </row>
    <row r="180" spans="1:14" hidden="1" outlineLevel="1">
      <c r="A180" s="196"/>
      <c r="B180" s="206" t="s">
        <v>895</v>
      </c>
      <c r="C180" s="202">
        <f t="shared" si="14"/>
        <v>760.78431372549016</v>
      </c>
      <c r="E180" s="198">
        <v>165</v>
      </c>
      <c r="F180" s="199">
        <v>10</v>
      </c>
      <c r="G180" s="207">
        <f t="shared" si="15"/>
        <v>1550</v>
      </c>
      <c r="H180" s="204">
        <f t="shared" si="16"/>
        <v>0.80151559312153886</v>
      </c>
      <c r="I180" s="204">
        <f t="shared" si="17"/>
        <v>4.5574696928265428E-2</v>
      </c>
      <c r="J180" s="198">
        <v>878</v>
      </c>
      <c r="K180" s="199">
        <v>102</v>
      </c>
      <c r="L180" s="207">
        <f t="shared" si="18"/>
        <v>760.78431372549016</v>
      </c>
      <c r="M180" s="204">
        <f t="shared" si="19"/>
        <v>1.0466086541900108</v>
      </c>
      <c r="N180" s="205">
        <f t="shared" si="20"/>
        <v>0.11125533098460967</v>
      </c>
    </row>
    <row r="181" spans="1:14" hidden="1" outlineLevel="1">
      <c r="A181" s="196"/>
      <c r="B181" s="206" t="s">
        <v>1043</v>
      </c>
      <c r="C181" s="202" t="str">
        <f t="shared" si="14"/>
        <v/>
      </c>
      <c r="E181" s="198">
        <v>115</v>
      </c>
      <c r="F181" s="199">
        <v>0</v>
      </c>
      <c r="G181" s="207" t="str">
        <f t="shared" si="15"/>
        <v/>
      </c>
      <c r="H181" s="204">
        <f t="shared" si="16"/>
        <v>0.5586320800544059</v>
      </c>
      <c r="I181" s="204" t="str">
        <f t="shared" si="17"/>
        <v/>
      </c>
      <c r="J181" s="198">
        <v>387</v>
      </c>
      <c r="K181" s="199">
        <v>0</v>
      </c>
      <c r="L181" s="207" t="str">
        <f t="shared" si="18"/>
        <v/>
      </c>
      <c r="M181" s="204">
        <f t="shared" si="19"/>
        <v>0.4613183931338658</v>
      </c>
      <c r="N181" s="205" t="str">
        <f t="shared" si="20"/>
        <v/>
      </c>
    </row>
    <row r="182" spans="1:14" hidden="1" outlineLevel="1">
      <c r="A182" s="196"/>
      <c r="B182" s="206" t="s">
        <v>894</v>
      </c>
      <c r="C182" s="202">
        <f t="shared" si="14"/>
        <v>84.324324324324323</v>
      </c>
      <c r="E182" s="198">
        <v>74</v>
      </c>
      <c r="F182" s="199">
        <v>92</v>
      </c>
      <c r="G182" s="207">
        <f t="shared" si="15"/>
        <v>-19.565217391304348</v>
      </c>
      <c r="H182" s="204">
        <f t="shared" si="16"/>
        <v>0.35946759933935685</v>
      </c>
      <c r="I182" s="204">
        <f t="shared" si="17"/>
        <v>0.41928721174004197</v>
      </c>
      <c r="J182" s="198">
        <v>341</v>
      </c>
      <c r="K182" s="199">
        <v>185</v>
      </c>
      <c r="L182" s="207">
        <f t="shared" si="18"/>
        <v>84.324324324324323</v>
      </c>
      <c r="M182" s="204">
        <f t="shared" si="19"/>
        <v>0.40648468232208845</v>
      </c>
      <c r="N182" s="205">
        <f t="shared" si="20"/>
        <v>0.20178662972698816</v>
      </c>
    </row>
    <row r="183" spans="1:14" hidden="1" outlineLevel="1">
      <c r="A183" s="196"/>
      <c r="B183" s="206" t="s">
        <v>893</v>
      </c>
      <c r="C183" s="202">
        <f t="shared" si="14"/>
        <v>-43.516873889875669</v>
      </c>
      <c r="E183" s="198">
        <v>58</v>
      </c>
      <c r="F183" s="199">
        <v>233</v>
      </c>
      <c r="G183" s="207">
        <f t="shared" si="15"/>
        <v>-75.107296137339048</v>
      </c>
      <c r="H183" s="204">
        <f t="shared" si="16"/>
        <v>0.28174487515787427</v>
      </c>
      <c r="I183" s="204">
        <f t="shared" si="17"/>
        <v>1.0618904384285845</v>
      </c>
      <c r="J183" s="198">
        <v>318</v>
      </c>
      <c r="K183" s="199">
        <v>563</v>
      </c>
      <c r="L183" s="207">
        <f t="shared" si="18"/>
        <v>-43.516873889875669</v>
      </c>
      <c r="M183" s="204">
        <f t="shared" si="19"/>
        <v>0.37906782691619978</v>
      </c>
      <c r="N183" s="205">
        <f t="shared" si="20"/>
        <v>0.61408579749348291</v>
      </c>
    </row>
    <row r="184" spans="1:14" hidden="1" outlineLevel="1">
      <c r="A184" s="196"/>
      <c r="B184" s="206" t="s">
        <v>892</v>
      </c>
      <c r="C184" s="202">
        <f t="shared" si="14"/>
        <v>-81.437908496732021</v>
      </c>
      <c r="E184" s="198">
        <v>5</v>
      </c>
      <c r="F184" s="199">
        <v>49</v>
      </c>
      <c r="G184" s="207">
        <f t="shared" si="15"/>
        <v>-89.795918367346943</v>
      </c>
      <c r="H184" s="204">
        <f t="shared" si="16"/>
        <v>2.42883513067133E-2</v>
      </c>
      <c r="I184" s="204">
        <f t="shared" si="17"/>
        <v>0.22331601494850062</v>
      </c>
      <c r="J184" s="198">
        <v>142</v>
      </c>
      <c r="K184" s="199">
        <v>765</v>
      </c>
      <c r="L184" s="207">
        <f t="shared" si="18"/>
        <v>-81.437908496732021</v>
      </c>
      <c r="M184" s="204">
        <f t="shared" si="19"/>
        <v>0.16926928120157347</v>
      </c>
      <c r="N184" s="205">
        <f t="shared" si="20"/>
        <v>0.83441498238457268</v>
      </c>
    </row>
    <row r="185" spans="1:14" collapsed="1">
      <c r="A185" s="196" t="s">
        <v>1230</v>
      </c>
      <c r="B185" s="195" t="s">
        <v>297</v>
      </c>
      <c r="C185" s="202">
        <f t="shared" si="14"/>
        <v>-19.375</v>
      </c>
      <c r="E185" s="198">
        <v>533</v>
      </c>
      <c r="F185" s="199">
        <v>685</v>
      </c>
      <c r="G185" s="207">
        <f t="shared" si="15"/>
        <v>-22.189781021897812</v>
      </c>
      <c r="H185" s="204">
        <f t="shared" si="16"/>
        <v>2.5891382492956376</v>
      </c>
      <c r="I185" s="204">
        <f t="shared" si="17"/>
        <v>3.1218667395861819</v>
      </c>
      <c r="J185" s="198">
        <v>1677</v>
      </c>
      <c r="K185" s="199">
        <v>2080</v>
      </c>
      <c r="L185" s="207">
        <f t="shared" si="18"/>
        <v>-19.375</v>
      </c>
      <c r="M185" s="204">
        <f t="shared" si="19"/>
        <v>1.9990463702467518</v>
      </c>
      <c r="N185" s="205">
        <f t="shared" si="20"/>
        <v>2.2687361612547856</v>
      </c>
    </row>
    <row r="186" spans="1:14" hidden="1" outlineLevel="1">
      <c r="A186" s="196"/>
      <c r="B186" s="206" t="s">
        <v>900</v>
      </c>
      <c r="C186" s="202">
        <f t="shared" si="14"/>
        <v>301.70454545454544</v>
      </c>
      <c r="E186" s="198">
        <v>296</v>
      </c>
      <c r="F186" s="199">
        <v>59</v>
      </c>
      <c r="G186" s="207">
        <f t="shared" si="15"/>
        <v>401.69491525423729</v>
      </c>
      <c r="H186" s="204">
        <f t="shared" si="16"/>
        <v>1.4378703973574274</v>
      </c>
      <c r="I186" s="204">
        <f t="shared" si="17"/>
        <v>0.268890711876766</v>
      </c>
      <c r="J186" s="198">
        <v>707</v>
      </c>
      <c r="K186" s="199">
        <v>176</v>
      </c>
      <c r="L186" s="207">
        <f t="shared" si="18"/>
        <v>301.70454545454544</v>
      </c>
      <c r="M186" s="204">
        <f t="shared" si="19"/>
        <v>0.8427702944331863</v>
      </c>
      <c r="N186" s="205">
        <f t="shared" si="20"/>
        <v>0.19196998287540493</v>
      </c>
    </row>
    <row r="187" spans="1:14" hidden="1" outlineLevel="1">
      <c r="A187" s="196"/>
      <c r="B187" s="206" t="s">
        <v>897</v>
      </c>
      <c r="C187" s="202">
        <f t="shared" si="14"/>
        <v>-39</v>
      </c>
      <c r="E187" s="198">
        <v>118</v>
      </c>
      <c r="F187" s="199">
        <v>199</v>
      </c>
      <c r="G187" s="207">
        <f t="shared" si="15"/>
        <v>-40.7035175879397</v>
      </c>
      <c r="H187" s="204">
        <f t="shared" si="16"/>
        <v>0.57320509083843385</v>
      </c>
      <c r="I187" s="204">
        <f t="shared" si="17"/>
        <v>0.90693646887248203</v>
      </c>
      <c r="J187" s="198">
        <v>366</v>
      </c>
      <c r="K187" s="199">
        <v>600</v>
      </c>
      <c r="L187" s="207">
        <f t="shared" si="18"/>
        <v>-39</v>
      </c>
      <c r="M187" s="204">
        <f t="shared" si="19"/>
        <v>0.4362856121110979</v>
      </c>
      <c r="N187" s="205">
        <f t="shared" si="20"/>
        <v>0.65444312343888045</v>
      </c>
    </row>
    <row r="188" spans="1:14" hidden="1" outlineLevel="1">
      <c r="A188" s="196"/>
      <c r="B188" s="206" t="s">
        <v>896</v>
      </c>
      <c r="C188" s="202">
        <f t="shared" si="14"/>
        <v>-59.463986599664985</v>
      </c>
      <c r="E188" s="198">
        <v>39</v>
      </c>
      <c r="F188" s="199">
        <v>109</v>
      </c>
      <c r="G188" s="207">
        <f t="shared" si="15"/>
        <v>-64.22018348623854</v>
      </c>
      <c r="H188" s="204">
        <f t="shared" si="16"/>
        <v>0.18944914019236375</v>
      </c>
      <c r="I188" s="204">
        <f t="shared" si="17"/>
        <v>0.49676419651809317</v>
      </c>
      <c r="J188" s="198">
        <v>242</v>
      </c>
      <c r="K188" s="199">
        <v>597</v>
      </c>
      <c r="L188" s="207">
        <f t="shared" si="18"/>
        <v>-59.463986599664985</v>
      </c>
      <c r="M188" s="204">
        <f t="shared" si="19"/>
        <v>0.28847300035761114</v>
      </c>
      <c r="N188" s="205">
        <f t="shared" si="20"/>
        <v>0.65117090782168607</v>
      </c>
    </row>
    <row r="189" spans="1:14" hidden="1" outlineLevel="1">
      <c r="A189" s="196"/>
      <c r="B189" s="206" t="s">
        <v>898</v>
      </c>
      <c r="C189" s="202">
        <f t="shared" si="14"/>
        <v>-60.916442048517517</v>
      </c>
      <c r="E189" s="198">
        <v>27</v>
      </c>
      <c r="F189" s="199">
        <v>216</v>
      </c>
      <c r="G189" s="207">
        <f t="shared" si="15"/>
        <v>-87.5</v>
      </c>
      <c r="H189" s="204">
        <f t="shared" si="16"/>
        <v>0.13115709705625181</v>
      </c>
      <c r="I189" s="204">
        <f t="shared" si="17"/>
        <v>0.98441345365053323</v>
      </c>
      <c r="J189" s="198">
        <v>145</v>
      </c>
      <c r="K189" s="199">
        <v>371</v>
      </c>
      <c r="L189" s="207">
        <f t="shared" si="18"/>
        <v>-60.916442048517517</v>
      </c>
      <c r="M189" s="204">
        <f t="shared" si="19"/>
        <v>0.17284539277625463</v>
      </c>
      <c r="N189" s="205">
        <f t="shared" si="20"/>
        <v>0.40466399799304104</v>
      </c>
    </row>
    <row r="190" spans="1:14" hidden="1" outlineLevel="1">
      <c r="A190" s="196"/>
      <c r="B190" s="206" t="s">
        <v>899</v>
      </c>
      <c r="C190" s="202">
        <f t="shared" si="14"/>
        <v>-64.705882352941174</v>
      </c>
      <c r="E190" s="198">
        <v>21</v>
      </c>
      <c r="F190" s="199">
        <v>58</v>
      </c>
      <c r="G190" s="207">
        <f t="shared" si="15"/>
        <v>-63.793103448275865</v>
      </c>
      <c r="H190" s="204">
        <f t="shared" si="16"/>
        <v>0.10201107548819587</v>
      </c>
      <c r="I190" s="204">
        <f t="shared" si="17"/>
        <v>0.26433324218393944</v>
      </c>
      <c r="J190" s="198">
        <v>90</v>
      </c>
      <c r="K190" s="199">
        <v>255</v>
      </c>
      <c r="L190" s="207">
        <f t="shared" si="18"/>
        <v>-64.705882352941174</v>
      </c>
      <c r="M190" s="204">
        <f t="shared" si="19"/>
        <v>0.1072833472404339</v>
      </c>
      <c r="N190" s="205">
        <f t="shared" si="20"/>
        <v>0.27813832746152423</v>
      </c>
    </row>
    <row r="191" spans="1:14" hidden="1" outlineLevel="1">
      <c r="A191" s="196"/>
      <c r="B191" s="206" t="s">
        <v>1082</v>
      </c>
      <c r="C191" s="202" t="str">
        <f t="shared" si="14"/>
        <v/>
      </c>
      <c r="E191" s="198">
        <v>16</v>
      </c>
      <c r="F191" s="199">
        <v>0</v>
      </c>
      <c r="G191" s="207" t="str">
        <f t="shared" si="15"/>
        <v/>
      </c>
      <c r="H191" s="204">
        <f t="shared" si="16"/>
        <v>7.7722724181482558E-2</v>
      </c>
      <c r="I191" s="204" t="str">
        <f t="shared" si="17"/>
        <v/>
      </c>
      <c r="J191" s="198">
        <v>56</v>
      </c>
      <c r="K191" s="199">
        <v>0</v>
      </c>
      <c r="L191" s="207" t="str">
        <f t="shared" si="18"/>
        <v/>
      </c>
      <c r="M191" s="204">
        <f t="shared" si="19"/>
        <v>6.6754082727381092E-2</v>
      </c>
      <c r="N191" s="205" t="str">
        <f t="shared" si="20"/>
        <v/>
      </c>
    </row>
    <row r="192" spans="1:14" hidden="1" outlineLevel="1">
      <c r="A192" s="196"/>
      <c r="B192" s="206" t="s">
        <v>901</v>
      </c>
      <c r="C192" s="202">
        <f t="shared" si="14"/>
        <v>10.714285714285714</v>
      </c>
      <c r="E192" s="198">
        <v>3</v>
      </c>
      <c r="F192" s="199">
        <v>18</v>
      </c>
      <c r="G192" s="207">
        <f t="shared" si="15"/>
        <v>-83.333333333333343</v>
      </c>
      <c r="H192" s="204">
        <f t="shared" si="16"/>
        <v>1.4573010784027981E-2</v>
      </c>
      <c r="I192" s="204">
        <f t="shared" si="17"/>
        <v>8.2034454470877774E-2</v>
      </c>
      <c r="J192" s="198">
        <v>31</v>
      </c>
      <c r="K192" s="199">
        <v>28</v>
      </c>
      <c r="L192" s="207">
        <f t="shared" si="18"/>
        <v>10.714285714285714</v>
      </c>
      <c r="M192" s="204">
        <f t="shared" si="19"/>
        <v>3.6953152938371675E-2</v>
      </c>
      <c r="N192" s="205">
        <f t="shared" si="20"/>
        <v>3.0540679093814423E-2</v>
      </c>
    </row>
    <row r="193" spans="1:14" hidden="1" outlineLevel="1">
      <c r="A193" s="196"/>
      <c r="B193" s="206" t="s">
        <v>903</v>
      </c>
      <c r="C193" s="202">
        <f t="shared" si="14"/>
        <v>73.333333333333329</v>
      </c>
      <c r="E193" s="198">
        <v>13</v>
      </c>
      <c r="F193" s="199">
        <v>11</v>
      </c>
      <c r="G193" s="207">
        <f t="shared" si="15"/>
        <v>18.181818181818183</v>
      </c>
      <c r="H193" s="204">
        <f t="shared" si="16"/>
        <v>6.3149713397454579E-2</v>
      </c>
      <c r="I193" s="204">
        <f t="shared" si="17"/>
        <v>5.0132166621091961E-2</v>
      </c>
      <c r="J193" s="198">
        <v>26</v>
      </c>
      <c r="K193" s="199">
        <v>15</v>
      </c>
      <c r="L193" s="207">
        <f t="shared" si="18"/>
        <v>73.333333333333329</v>
      </c>
      <c r="M193" s="204">
        <f t="shared" si="19"/>
        <v>3.0992966980569796E-2</v>
      </c>
      <c r="N193" s="205">
        <f t="shared" si="20"/>
        <v>1.6361078085972012E-2</v>
      </c>
    </row>
    <row r="194" spans="1:14" hidden="1" outlineLevel="1">
      <c r="A194" s="196"/>
      <c r="B194" s="206" t="s">
        <v>902</v>
      </c>
      <c r="C194" s="202">
        <f t="shared" si="14"/>
        <v>-54.838709677419352</v>
      </c>
      <c r="E194" s="198">
        <v>0</v>
      </c>
      <c r="F194" s="199">
        <v>12</v>
      </c>
      <c r="G194" s="207">
        <f t="shared" si="15"/>
        <v>-100</v>
      </c>
      <c r="H194" s="204" t="str">
        <f t="shared" si="16"/>
        <v/>
      </c>
      <c r="I194" s="204">
        <f t="shared" si="17"/>
        <v>5.4689636313918509E-2</v>
      </c>
      <c r="J194" s="198">
        <v>14</v>
      </c>
      <c r="K194" s="199">
        <v>31</v>
      </c>
      <c r="L194" s="207">
        <f t="shared" si="18"/>
        <v>-54.838709677419352</v>
      </c>
      <c r="M194" s="204">
        <f t="shared" si="19"/>
        <v>1.6688520681845273E-2</v>
      </c>
      <c r="N194" s="205">
        <f t="shared" si="20"/>
        <v>3.3812894711008824E-2</v>
      </c>
    </row>
    <row r="195" spans="1:14" hidden="1" outlineLevel="1">
      <c r="A195" s="196"/>
      <c r="B195" s="206" t="s">
        <v>1149</v>
      </c>
      <c r="C195" s="202">
        <f t="shared" si="14"/>
        <v>-100</v>
      </c>
      <c r="E195" s="198">
        <v>0</v>
      </c>
      <c r="F195" s="199">
        <v>3</v>
      </c>
      <c r="G195" s="207">
        <f t="shared" si="15"/>
        <v>-100</v>
      </c>
      <c r="H195" s="204" t="str">
        <f t="shared" si="16"/>
        <v/>
      </c>
      <c r="I195" s="204">
        <f t="shared" si="17"/>
        <v>1.3672409078479627E-2</v>
      </c>
      <c r="J195" s="198">
        <v>0</v>
      </c>
      <c r="K195" s="199">
        <v>7</v>
      </c>
      <c r="L195" s="207">
        <f t="shared" si="18"/>
        <v>-100</v>
      </c>
      <c r="M195" s="204" t="str">
        <f t="shared" si="19"/>
        <v/>
      </c>
      <c r="N195" s="205">
        <f t="shared" si="20"/>
        <v>7.6351697734536057E-3</v>
      </c>
    </row>
    <row r="196" spans="1:14" collapsed="1">
      <c r="A196" s="196" t="s">
        <v>1231</v>
      </c>
      <c r="B196" s="195" t="s">
        <v>279</v>
      </c>
      <c r="C196" s="202">
        <f t="shared" si="14"/>
        <v>-14.514462809917356</v>
      </c>
      <c r="E196" s="198">
        <v>403</v>
      </c>
      <c r="F196" s="199">
        <v>416</v>
      </c>
      <c r="G196" s="207">
        <f t="shared" si="15"/>
        <v>-3.125</v>
      </c>
      <c r="H196" s="204">
        <f t="shared" si="16"/>
        <v>1.9576411153210922</v>
      </c>
      <c r="I196" s="204">
        <f t="shared" si="17"/>
        <v>1.8959073922158418</v>
      </c>
      <c r="J196" s="198">
        <v>1655</v>
      </c>
      <c r="K196" s="199">
        <v>1936</v>
      </c>
      <c r="L196" s="207">
        <f t="shared" si="18"/>
        <v>-14.514462809917356</v>
      </c>
      <c r="M196" s="204">
        <f t="shared" si="19"/>
        <v>1.9728215520324235</v>
      </c>
      <c r="N196" s="205">
        <f t="shared" si="20"/>
        <v>2.1116698116294543</v>
      </c>
    </row>
    <row r="197" spans="1:14" hidden="1" outlineLevel="1">
      <c r="A197" s="196"/>
      <c r="B197" s="206" t="s">
        <v>904</v>
      </c>
      <c r="C197" s="202">
        <f t="shared" si="14"/>
        <v>8.8744588744588757</v>
      </c>
      <c r="E197" s="198">
        <v>113</v>
      </c>
      <c r="F197" s="199">
        <v>108</v>
      </c>
      <c r="G197" s="207">
        <f t="shared" si="15"/>
        <v>4.6296296296296298</v>
      </c>
      <c r="H197" s="204">
        <f t="shared" si="16"/>
        <v>0.5489167395317206</v>
      </c>
      <c r="I197" s="204">
        <f t="shared" si="17"/>
        <v>0.49220672682526662</v>
      </c>
      <c r="J197" s="198">
        <v>503</v>
      </c>
      <c r="K197" s="199">
        <v>462</v>
      </c>
      <c r="L197" s="207">
        <f t="shared" si="18"/>
        <v>8.8744588744588757</v>
      </c>
      <c r="M197" s="204">
        <f t="shared" si="19"/>
        <v>0.59959470735486942</v>
      </c>
      <c r="N197" s="205">
        <f t="shared" si="20"/>
        <v>0.50392120504793803</v>
      </c>
    </row>
    <row r="198" spans="1:14" hidden="1" outlineLevel="1">
      <c r="A198" s="196"/>
      <c r="B198" s="206" t="s">
        <v>908</v>
      </c>
      <c r="C198" s="202">
        <f t="shared" si="14"/>
        <v>42.857142857142854</v>
      </c>
      <c r="E198" s="198">
        <v>64</v>
      </c>
      <c r="F198" s="199">
        <v>78</v>
      </c>
      <c r="G198" s="207">
        <f t="shared" si="15"/>
        <v>-17.948717948717949</v>
      </c>
      <c r="H198" s="204">
        <f t="shared" si="16"/>
        <v>0.31089089672593023</v>
      </c>
      <c r="I198" s="204">
        <f t="shared" si="17"/>
        <v>0.35548263604047031</v>
      </c>
      <c r="J198" s="198">
        <v>260</v>
      </c>
      <c r="K198" s="199">
        <v>182</v>
      </c>
      <c r="L198" s="207">
        <f t="shared" si="18"/>
        <v>42.857142857142854</v>
      </c>
      <c r="M198" s="204">
        <f t="shared" si="19"/>
        <v>0.30992966980569797</v>
      </c>
      <c r="N198" s="205">
        <f t="shared" si="20"/>
        <v>0.19851441410979376</v>
      </c>
    </row>
    <row r="199" spans="1:14" hidden="1" outlineLevel="1">
      <c r="A199" s="196"/>
      <c r="B199" s="206" t="s">
        <v>907</v>
      </c>
      <c r="C199" s="202">
        <f t="shared" si="14"/>
        <v>1.5686274509803921</v>
      </c>
      <c r="E199" s="198">
        <v>49</v>
      </c>
      <c r="F199" s="199">
        <v>23</v>
      </c>
      <c r="G199" s="207">
        <f t="shared" si="15"/>
        <v>113.04347826086956</v>
      </c>
      <c r="H199" s="204">
        <f t="shared" si="16"/>
        <v>0.23802584280579034</v>
      </c>
      <c r="I199" s="204">
        <f t="shared" si="17"/>
        <v>0.10482180293501049</v>
      </c>
      <c r="J199" s="198">
        <v>259</v>
      </c>
      <c r="K199" s="199">
        <v>255</v>
      </c>
      <c r="L199" s="207">
        <f t="shared" si="18"/>
        <v>1.5686274509803921</v>
      </c>
      <c r="M199" s="204">
        <f t="shared" si="19"/>
        <v>0.30873763261413756</v>
      </c>
      <c r="N199" s="205">
        <f t="shared" si="20"/>
        <v>0.27813832746152423</v>
      </c>
    </row>
    <row r="200" spans="1:14" hidden="1" outlineLevel="1">
      <c r="A200" s="196"/>
      <c r="B200" s="206" t="s">
        <v>905</v>
      </c>
      <c r="C200" s="202">
        <f t="shared" si="14"/>
        <v>-63.796477495107631</v>
      </c>
      <c r="E200" s="198">
        <v>43</v>
      </c>
      <c r="F200" s="199">
        <v>83</v>
      </c>
      <c r="G200" s="207">
        <f t="shared" si="15"/>
        <v>-48.192771084337352</v>
      </c>
      <c r="H200" s="204">
        <f t="shared" si="16"/>
        <v>0.20887982123773438</v>
      </c>
      <c r="I200" s="204">
        <f t="shared" si="17"/>
        <v>0.37826998450460309</v>
      </c>
      <c r="J200" s="198">
        <v>185</v>
      </c>
      <c r="K200" s="199">
        <v>511</v>
      </c>
      <c r="L200" s="207">
        <f t="shared" si="18"/>
        <v>-63.796477495107631</v>
      </c>
      <c r="M200" s="204">
        <f t="shared" si="19"/>
        <v>0.22052688043866969</v>
      </c>
      <c r="N200" s="205">
        <f t="shared" si="20"/>
        <v>0.55736739346211317</v>
      </c>
    </row>
    <row r="201" spans="1:14" hidden="1" outlineLevel="1">
      <c r="A201" s="196"/>
      <c r="B201" s="206" t="s">
        <v>906</v>
      </c>
      <c r="C201" s="202">
        <f t="shared" si="14"/>
        <v>16.7741935483871</v>
      </c>
      <c r="E201" s="198">
        <v>57</v>
      </c>
      <c r="F201" s="199">
        <v>41</v>
      </c>
      <c r="G201" s="207">
        <f t="shared" si="15"/>
        <v>39.024390243902438</v>
      </c>
      <c r="H201" s="204">
        <f t="shared" si="16"/>
        <v>0.27688720489653162</v>
      </c>
      <c r="I201" s="204">
        <f t="shared" si="17"/>
        <v>0.18685625740588824</v>
      </c>
      <c r="J201" s="198">
        <v>181</v>
      </c>
      <c r="K201" s="199">
        <v>155</v>
      </c>
      <c r="L201" s="207">
        <f t="shared" si="18"/>
        <v>16.7741935483871</v>
      </c>
      <c r="M201" s="204">
        <f t="shared" si="19"/>
        <v>0.21575873167242818</v>
      </c>
      <c r="N201" s="205">
        <f t="shared" si="20"/>
        <v>0.16906447355504411</v>
      </c>
    </row>
    <row r="202" spans="1:14" hidden="1" outlineLevel="1">
      <c r="A202" s="196"/>
      <c r="B202" s="206" t="s">
        <v>909</v>
      </c>
      <c r="C202" s="202">
        <f t="shared" ref="C202:C265" si="21">IF(K202=0,"",SUM(((J202-K202)/K202)*100))</f>
        <v>-34.939759036144579</v>
      </c>
      <c r="E202" s="198">
        <v>14</v>
      </c>
      <c r="F202" s="199">
        <v>29</v>
      </c>
      <c r="G202" s="207">
        <f t="shared" ref="G202:G265" si="22">IF(F202=0,"",SUM(((E202-F202)/F202)*100))</f>
        <v>-51.724137931034484</v>
      </c>
      <c r="H202" s="204">
        <f t="shared" ref="H202:H265" si="23">IF(E202=0,"",SUM((E202/CntPeriod)*100))</f>
        <v>6.8007383658797244E-2</v>
      </c>
      <c r="I202" s="204">
        <f t="shared" ref="I202:I265" si="24">IF(F202=0,"",SUM((F202/CntPeriodPrevYear)*100))</f>
        <v>0.13216662109196972</v>
      </c>
      <c r="J202" s="198">
        <v>108</v>
      </c>
      <c r="K202" s="199">
        <v>166</v>
      </c>
      <c r="L202" s="207">
        <f t="shared" ref="L202:L265" si="25">IF(K202=0,"",SUM(((J202-K202)/K202)*100))</f>
        <v>-34.939759036144579</v>
      </c>
      <c r="M202" s="204">
        <f t="shared" ref="M202:M265" si="26">IF(J202=0,"",SUM((J202/CntYearAck)*100))</f>
        <v>0.12874001668852067</v>
      </c>
      <c r="N202" s="205">
        <f t="shared" ref="N202:N265" si="27">IF(K202=0,"",SUM((K202/CntPrevYearAck)*100))</f>
        <v>0.18106259748475695</v>
      </c>
    </row>
    <row r="203" spans="1:14" hidden="1" outlineLevel="1">
      <c r="A203" s="196"/>
      <c r="B203" s="206" t="s">
        <v>910</v>
      </c>
      <c r="C203" s="202">
        <f t="shared" si="21"/>
        <v>25</v>
      </c>
      <c r="E203" s="198">
        <v>45</v>
      </c>
      <c r="F203" s="199">
        <v>41</v>
      </c>
      <c r="G203" s="207">
        <f t="shared" si="22"/>
        <v>9.7560975609756095</v>
      </c>
      <c r="H203" s="204">
        <f t="shared" si="23"/>
        <v>0.21859516176041971</v>
      </c>
      <c r="I203" s="204">
        <f t="shared" si="24"/>
        <v>0.18685625740588824</v>
      </c>
      <c r="J203" s="198">
        <v>105</v>
      </c>
      <c r="K203" s="199">
        <v>84</v>
      </c>
      <c r="L203" s="207">
        <f t="shared" si="25"/>
        <v>25</v>
      </c>
      <c r="M203" s="204">
        <f t="shared" si="26"/>
        <v>0.12516390511383954</v>
      </c>
      <c r="N203" s="205">
        <f t="shared" si="27"/>
        <v>9.1622037281443275E-2</v>
      </c>
    </row>
    <row r="204" spans="1:14" hidden="1" outlineLevel="1">
      <c r="A204" s="196"/>
      <c r="B204" s="206" t="s">
        <v>911</v>
      </c>
      <c r="C204" s="202">
        <f t="shared" si="21"/>
        <v>-75.892857142857139</v>
      </c>
      <c r="E204" s="198">
        <v>17</v>
      </c>
      <c r="F204" s="199">
        <v>13</v>
      </c>
      <c r="G204" s="207">
        <f t="shared" si="22"/>
        <v>30.76923076923077</v>
      </c>
      <c r="H204" s="204">
        <f t="shared" si="23"/>
        <v>8.2580394442825222E-2</v>
      </c>
      <c r="I204" s="204">
        <f t="shared" si="24"/>
        <v>5.9247106006745057E-2</v>
      </c>
      <c r="J204" s="198">
        <v>27</v>
      </c>
      <c r="K204" s="199">
        <v>112</v>
      </c>
      <c r="L204" s="207">
        <f t="shared" si="25"/>
        <v>-75.892857142857139</v>
      </c>
      <c r="M204" s="204">
        <f t="shared" si="26"/>
        <v>3.2185004172130167E-2</v>
      </c>
      <c r="N204" s="205">
        <f t="shared" si="27"/>
        <v>0.12216271637525769</v>
      </c>
    </row>
    <row r="205" spans="1:14" hidden="1" outlineLevel="1">
      <c r="A205" s="196"/>
      <c r="B205" s="206" t="s">
        <v>912</v>
      </c>
      <c r="C205" s="202">
        <f t="shared" si="21"/>
        <v>200</v>
      </c>
      <c r="E205" s="198">
        <v>1</v>
      </c>
      <c r="F205" s="199">
        <v>0</v>
      </c>
      <c r="G205" s="207" t="str">
        <f t="shared" si="22"/>
        <v/>
      </c>
      <c r="H205" s="204">
        <f t="shared" si="23"/>
        <v>4.8576702613426599E-3</v>
      </c>
      <c r="I205" s="204" t="str">
        <f t="shared" si="24"/>
        <v/>
      </c>
      <c r="J205" s="198">
        <v>27</v>
      </c>
      <c r="K205" s="199">
        <v>9</v>
      </c>
      <c r="L205" s="207">
        <f t="shared" si="25"/>
        <v>200</v>
      </c>
      <c r="M205" s="204">
        <f t="shared" si="26"/>
        <v>3.2185004172130167E-2</v>
      </c>
      <c r="N205" s="205">
        <f t="shared" si="27"/>
        <v>9.8166468515832068E-3</v>
      </c>
    </row>
    <row r="206" spans="1:14" collapsed="1">
      <c r="A206" s="196" t="s">
        <v>1232</v>
      </c>
      <c r="B206" s="195" t="s">
        <v>288</v>
      </c>
      <c r="C206" s="202">
        <f t="shared" si="21"/>
        <v>267.260579064588</v>
      </c>
      <c r="E206" s="198">
        <v>91</v>
      </c>
      <c r="F206" s="199">
        <v>175</v>
      </c>
      <c r="G206" s="207">
        <f t="shared" si="22"/>
        <v>-48</v>
      </c>
      <c r="H206" s="204">
        <f t="shared" si="23"/>
        <v>0.44204799378218207</v>
      </c>
      <c r="I206" s="204">
        <f t="shared" si="24"/>
        <v>0.79755719624464494</v>
      </c>
      <c r="J206" s="198">
        <v>1649</v>
      </c>
      <c r="K206" s="199">
        <v>449</v>
      </c>
      <c r="L206" s="207">
        <f t="shared" si="25"/>
        <v>267.260579064588</v>
      </c>
      <c r="M206" s="204">
        <f t="shared" si="26"/>
        <v>1.9656693288830611</v>
      </c>
      <c r="N206" s="205">
        <f t="shared" si="27"/>
        <v>0.48974160404009548</v>
      </c>
    </row>
    <row r="207" spans="1:14" hidden="1" outlineLevel="1">
      <c r="A207" s="196"/>
      <c r="B207" s="206" t="s">
        <v>1020</v>
      </c>
      <c r="C207" s="202" t="str">
        <f t="shared" si="21"/>
        <v/>
      </c>
      <c r="E207" s="198">
        <v>40</v>
      </c>
      <c r="F207" s="199">
        <v>0</v>
      </c>
      <c r="G207" s="207" t="str">
        <f t="shared" si="22"/>
        <v/>
      </c>
      <c r="H207" s="204">
        <f t="shared" si="23"/>
        <v>0.1943068104537064</v>
      </c>
      <c r="I207" s="204" t="str">
        <f t="shared" si="24"/>
        <v/>
      </c>
      <c r="J207" s="198">
        <v>690</v>
      </c>
      <c r="K207" s="199">
        <v>0</v>
      </c>
      <c r="L207" s="207" t="str">
        <f t="shared" si="25"/>
        <v/>
      </c>
      <c r="M207" s="204">
        <f t="shared" si="26"/>
        <v>0.82250566217665999</v>
      </c>
      <c r="N207" s="205" t="str">
        <f t="shared" si="27"/>
        <v/>
      </c>
    </row>
    <row r="208" spans="1:14" hidden="1" outlineLevel="1">
      <c r="A208" s="196"/>
      <c r="B208" s="206" t="s">
        <v>968</v>
      </c>
      <c r="C208" s="202">
        <f t="shared" si="21"/>
        <v>261.44578313253015</v>
      </c>
      <c r="E208" s="198">
        <v>4</v>
      </c>
      <c r="F208" s="199">
        <v>60</v>
      </c>
      <c r="G208" s="207">
        <f t="shared" si="22"/>
        <v>-93.333333333333329</v>
      </c>
      <c r="H208" s="204">
        <f t="shared" si="23"/>
        <v>1.943068104537064E-2</v>
      </c>
      <c r="I208" s="204">
        <f t="shared" si="24"/>
        <v>0.27344818156959255</v>
      </c>
      <c r="J208" s="198">
        <v>300</v>
      </c>
      <c r="K208" s="199">
        <v>83</v>
      </c>
      <c r="L208" s="207">
        <f t="shared" si="25"/>
        <v>261.44578313253015</v>
      </c>
      <c r="M208" s="204">
        <f t="shared" si="26"/>
        <v>0.35761115746811301</v>
      </c>
      <c r="N208" s="205">
        <f t="shared" si="27"/>
        <v>9.0531298742378474E-2</v>
      </c>
    </row>
    <row r="209" spans="1:14" hidden="1" outlineLevel="1">
      <c r="A209" s="196"/>
      <c r="B209" s="206" t="s">
        <v>970</v>
      </c>
      <c r="C209" s="202">
        <f t="shared" si="21"/>
        <v>314.28571428571428</v>
      </c>
      <c r="E209" s="198">
        <v>13</v>
      </c>
      <c r="F209" s="199">
        <v>24</v>
      </c>
      <c r="G209" s="207">
        <f t="shared" si="22"/>
        <v>-45.833333333333329</v>
      </c>
      <c r="H209" s="204">
        <f t="shared" si="23"/>
        <v>6.3149713397454579E-2</v>
      </c>
      <c r="I209" s="204">
        <f t="shared" si="24"/>
        <v>0.10937927262783702</v>
      </c>
      <c r="J209" s="198">
        <v>232</v>
      </c>
      <c r="K209" s="199">
        <v>56</v>
      </c>
      <c r="L209" s="207">
        <f t="shared" si="25"/>
        <v>314.28571428571428</v>
      </c>
      <c r="M209" s="204">
        <f t="shared" si="26"/>
        <v>0.2765526284420074</v>
      </c>
      <c r="N209" s="205">
        <f t="shared" si="27"/>
        <v>6.1081358187628845E-2</v>
      </c>
    </row>
    <row r="210" spans="1:14" hidden="1" outlineLevel="1">
      <c r="A210" s="196"/>
      <c r="B210" s="206" t="s">
        <v>967</v>
      </c>
      <c r="C210" s="202">
        <f t="shared" si="21"/>
        <v>22.950819672131146</v>
      </c>
      <c r="E210" s="198">
        <v>19</v>
      </c>
      <c r="F210" s="199">
        <v>57</v>
      </c>
      <c r="G210" s="207">
        <f t="shared" si="22"/>
        <v>-66.666666666666657</v>
      </c>
      <c r="H210" s="204">
        <f t="shared" si="23"/>
        <v>9.2295734965510537E-2</v>
      </c>
      <c r="I210" s="204">
        <f t="shared" si="24"/>
        <v>0.25977577249111294</v>
      </c>
      <c r="J210" s="198">
        <v>225</v>
      </c>
      <c r="K210" s="199">
        <v>183</v>
      </c>
      <c r="L210" s="207">
        <f t="shared" si="25"/>
        <v>22.950819672131146</v>
      </c>
      <c r="M210" s="204">
        <f t="shared" si="26"/>
        <v>0.26820836810108478</v>
      </c>
      <c r="N210" s="205">
        <f t="shared" si="27"/>
        <v>0.19960515264885853</v>
      </c>
    </row>
    <row r="211" spans="1:14" hidden="1" outlineLevel="1">
      <c r="A211" s="196"/>
      <c r="B211" s="206" t="s">
        <v>971</v>
      </c>
      <c r="C211" s="202">
        <f t="shared" si="21"/>
        <v>43.103448275862064</v>
      </c>
      <c r="E211" s="198">
        <v>7</v>
      </c>
      <c r="F211" s="199">
        <v>11</v>
      </c>
      <c r="G211" s="207">
        <f t="shared" si="22"/>
        <v>-36.363636363636367</v>
      </c>
      <c r="H211" s="204">
        <f t="shared" si="23"/>
        <v>3.4003691829398622E-2</v>
      </c>
      <c r="I211" s="204">
        <f t="shared" si="24"/>
        <v>5.0132166621091961E-2</v>
      </c>
      <c r="J211" s="198">
        <v>83</v>
      </c>
      <c r="K211" s="199">
        <v>58</v>
      </c>
      <c r="L211" s="207">
        <f t="shared" si="25"/>
        <v>43.103448275862064</v>
      </c>
      <c r="M211" s="204">
        <f t="shared" si="26"/>
        <v>9.8939086899511253E-2</v>
      </c>
      <c r="N211" s="205">
        <f t="shared" si="27"/>
        <v>6.3262835265758446E-2</v>
      </c>
    </row>
    <row r="212" spans="1:14" hidden="1" outlineLevel="1">
      <c r="A212" s="196"/>
      <c r="B212" s="206" t="s">
        <v>969</v>
      </c>
      <c r="C212" s="202">
        <f t="shared" si="21"/>
        <v>69.387755102040813</v>
      </c>
      <c r="E212" s="198">
        <v>5</v>
      </c>
      <c r="F212" s="199">
        <v>15</v>
      </c>
      <c r="G212" s="207">
        <f t="shared" si="22"/>
        <v>-66.666666666666657</v>
      </c>
      <c r="H212" s="204">
        <f t="shared" si="23"/>
        <v>2.42883513067133E-2</v>
      </c>
      <c r="I212" s="204">
        <f t="shared" si="24"/>
        <v>6.8362045392398138E-2</v>
      </c>
      <c r="J212" s="198">
        <v>83</v>
      </c>
      <c r="K212" s="199">
        <v>49</v>
      </c>
      <c r="L212" s="207">
        <f t="shared" si="25"/>
        <v>69.387755102040813</v>
      </c>
      <c r="M212" s="204">
        <f t="shared" si="26"/>
        <v>9.8939086899511253E-2</v>
      </c>
      <c r="N212" s="205">
        <f t="shared" si="27"/>
        <v>5.3446188414175241E-2</v>
      </c>
    </row>
    <row r="213" spans="1:14" hidden="1" outlineLevel="1">
      <c r="A213" s="196"/>
      <c r="B213" s="206" t="s">
        <v>972</v>
      </c>
      <c r="C213" s="202">
        <f t="shared" si="21"/>
        <v>181.81818181818181</v>
      </c>
      <c r="E213" s="198">
        <v>3</v>
      </c>
      <c r="F213" s="199">
        <v>4</v>
      </c>
      <c r="G213" s="207">
        <f t="shared" si="22"/>
        <v>-25</v>
      </c>
      <c r="H213" s="204">
        <f t="shared" si="23"/>
        <v>1.4573010784027981E-2</v>
      </c>
      <c r="I213" s="204">
        <f t="shared" si="24"/>
        <v>1.822987877130617E-2</v>
      </c>
      <c r="J213" s="198">
        <v>31</v>
      </c>
      <c r="K213" s="199">
        <v>11</v>
      </c>
      <c r="L213" s="207">
        <f t="shared" si="25"/>
        <v>181.81818181818181</v>
      </c>
      <c r="M213" s="204">
        <f t="shared" si="26"/>
        <v>3.6953152938371675E-2</v>
      </c>
      <c r="N213" s="205">
        <f t="shared" si="27"/>
        <v>1.1998123929712808E-2</v>
      </c>
    </row>
    <row r="214" spans="1:14" hidden="1" outlineLevel="1">
      <c r="A214" s="196"/>
      <c r="B214" s="206" t="s">
        <v>973</v>
      </c>
      <c r="C214" s="202">
        <f t="shared" si="21"/>
        <v>-28.571428571428569</v>
      </c>
      <c r="E214" s="198">
        <v>0</v>
      </c>
      <c r="F214" s="199">
        <v>4</v>
      </c>
      <c r="G214" s="207">
        <f t="shared" si="22"/>
        <v>-100</v>
      </c>
      <c r="H214" s="204" t="str">
        <f t="shared" si="23"/>
        <v/>
      </c>
      <c r="I214" s="204">
        <f t="shared" si="24"/>
        <v>1.822987877130617E-2</v>
      </c>
      <c r="J214" s="198">
        <v>5</v>
      </c>
      <c r="K214" s="199">
        <v>7</v>
      </c>
      <c r="L214" s="207">
        <f t="shared" si="25"/>
        <v>-28.571428571428569</v>
      </c>
      <c r="M214" s="204">
        <f t="shared" si="26"/>
        <v>5.9601859578018827E-3</v>
      </c>
      <c r="N214" s="205">
        <f t="shared" si="27"/>
        <v>7.6351697734536057E-3</v>
      </c>
    </row>
    <row r="215" spans="1:14" hidden="1" outlineLevel="1">
      <c r="A215" s="196"/>
      <c r="B215" s="206" t="s">
        <v>974</v>
      </c>
      <c r="C215" s="202">
        <f t="shared" si="21"/>
        <v>-100</v>
      </c>
      <c r="E215" s="198">
        <v>0</v>
      </c>
      <c r="F215" s="199">
        <v>0</v>
      </c>
      <c r="G215" s="207" t="str">
        <f t="shared" si="22"/>
        <v/>
      </c>
      <c r="H215" s="204" t="str">
        <f t="shared" si="23"/>
        <v/>
      </c>
      <c r="I215" s="204" t="str">
        <f t="shared" si="24"/>
        <v/>
      </c>
      <c r="J215" s="198">
        <v>0</v>
      </c>
      <c r="K215" s="199">
        <v>2</v>
      </c>
      <c r="L215" s="207">
        <f t="shared" si="25"/>
        <v>-100</v>
      </c>
      <c r="M215" s="204" t="str">
        <f t="shared" si="26"/>
        <v/>
      </c>
      <c r="N215" s="205">
        <f t="shared" si="27"/>
        <v>2.1814770781296016E-3</v>
      </c>
    </row>
    <row r="216" spans="1:14" collapsed="1">
      <c r="A216" s="196" t="s">
        <v>1185</v>
      </c>
      <c r="B216" s="195" t="s">
        <v>293</v>
      </c>
      <c r="C216" s="202">
        <f t="shared" si="21"/>
        <v>-22.75390625</v>
      </c>
      <c r="E216" s="198">
        <v>332</v>
      </c>
      <c r="F216" s="199">
        <v>654</v>
      </c>
      <c r="G216" s="207">
        <f t="shared" si="22"/>
        <v>-49.235474006116206</v>
      </c>
      <c r="H216" s="204">
        <f t="shared" si="23"/>
        <v>1.6127465267657632</v>
      </c>
      <c r="I216" s="204">
        <f t="shared" si="24"/>
        <v>2.9805851791085591</v>
      </c>
      <c r="J216" s="198">
        <v>1582</v>
      </c>
      <c r="K216" s="199">
        <v>2048</v>
      </c>
      <c r="L216" s="207">
        <f t="shared" si="25"/>
        <v>-22.75390625</v>
      </c>
      <c r="M216" s="204">
        <f t="shared" si="26"/>
        <v>1.8858028370485158</v>
      </c>
      <c r="N216" s="205">
        <f t="shared" si="27"/>
        <v>2.233832528004712</v>
      </c>
    </row>
    <row r="217" spans="1:14" hidden="1" outlineLevel="1">
      <c r="A217" s="196"/>
      <c r="B217" s="206" t="s">
        <v>914</v>
      </c>
      <c r="C217" s="202">
        <f t="shared" si="21"/>
        <v>-0.70224719101123589</v>
      </c>
      <c r="E217" s="198">
        <v>121</v>
      </c>
      <c r="F217" s="199">
        <v>233</v>
      </c>
      <c r="G217" s="207">
        <f t="shared" si="22"/>
        <v>-48.068669527896994</v>
      </c>
      <c r="H217" s="204">
        <f t="shared" si="23"/>
        <v>0.5877781016224618</v>
      </c>
      <c r="I217" s="204">
        <f t="shared" si="24"/>
        <v>1.0618904384285845</v>
      </c>
      <c r="J217" s="198">
        <v>707</v>
      </c>
      <c r="K217" s="199">
        <v>712</v>
      </c>
      <c r="L217" s="207">
        <f t="shared" si="25"/>
        <v>-0.70224719101123589</v>
      </c>
      <c r="M217" s="204">
        <f t="shared" si="26"/>
        <v>0.8427702944331863</v>
      </c>
      <c r="N217" s="205">
        <f t="shared" si="27"/>
        <v>0.77660583981413811</v>
      </c>
    </row>
    <row r="218" spans="1:14" hidden="1" outlineLevel="1">
      <c r="A218" s="196"/>
      <c r="B218" s="206" t="s">
        <v>913</v>
      </c>
      <c r="C218" s="202">
        <f t="shared" si="21"/>
        <v>-53.568498769483185</v>
      </c>
      <c r="E218" s="198">
        <v>144</v>
      </c>
      <c r="F218" s="199">
        <v>391</v>
      </c>
      <c r="G218" s="207">
        <f t="shared" si="22"/>
        <v>-63.171355498721226</v>
      </c>
      <c r="H218" s="204">
        <f t="shared" si="23"/>
        <v>0.69950451763334309</v>
      </c>
      <c r="I218" s="204">
        <f t="shared" si="24"/>
        <v>1.7819706498951779</v>
      </c>
      <c r="J218" s="198">
        <v>566</v>
      </c>
      <c r="K218" s="199">
        <v>1219</v>
      </c>
      <c r="L218" s="207">
        <f t="shared" si="25"/>
        <v>-53.568498769483185</v>
      </c>
      <c r="M218" s="204">
        <f t="shared" si="26"/>
        <v>0.67469305042317318</v>
      </c>
      <c r="N218" s="205">
        <f t="shared" si="27"/>
        <v>1.3296102791199922</v>
      </c>
    </row>
    <row r="219" spans="1:14" hidden="1" outlineLevel="1">
      <c r="A219" s="196"/>
      <c r="B219" s="206" t="s">
        <v>917</v>
      </c>
      <c r="C219" s="202">
        <f t="shared" si="21"/>
        <v>353.84615384615381</v>
      </c>
      <c r="E219" s="198">
        <v>27</v>
      </c>
      <c r="F219" s="199">
        <v>8</v>
      </c>
      <c r="G219" s="207">
        <f t="shared" si="22"/>
        <v>237.5</v>
      </c>
      <c r="H219" s="204">
        <f t="shared" si="23"/>
        <v>0.13115709705625181</v>
      </c>
      <c r="I219" s="204">
        <f t="shared" si="24"/>
        <v>3.6459757542612339E-2</v>
      </c>
      <c r="J219" s="198">
        <v>118</v>
      </c>
      <c r="K219" s="199">
        <v>26</v>
      </c>
      <c r="L219" s="207">
        <f t="shared" si="25"/>
        <v>353.84615384615381</v>
      </c>
      <c r="M219" s="204">
        <f t="shared" si="26"/>
        <v>0.14066038860412444</v>
      </c>
      <c r="N219" s="205">
        <f t="shared" si="27"/>
        <v>2.8359202015684818E-2</v>
      </c>
    </row>
    <row r="220" spans="1:14" hidden="1" outlineLevel="1">
      <c r="A220" s="196"/>
      <c r="B220" s="206" t="s">
        <v>1044</v>
      </c>
      <c r="C220" s="202" t="str">
        <f t="shared" si="21"/>
        <v/>
      </c>
      <c r="E220" s="198">
        <v>19</v>
      </c>
      <c r="F220" s="199">
        <v>0</v>
      </c>
      <c r="G220" s="207" t="str">
        <f t="shared" si="22"/>
        <v/>
      </c>
      <c r="H220" s="204">
        <f t="shared" si="23"/>
        <v>9.2295734965510537E-2</v>
      </c>
      <c r="I220" s="204" t="str">
        <f t="shared" si="24"/>
        <v/>
      </c>
      <c r="J220" s="198">
        <v>83</v>
      </c>
      <c r="K220" s="199">
        <v>0</v>
      </c>
      <c r="L220" s="207" t="str">
        <f t="shared" si="25"/>
        <v/>
      </c>
      <c r="M220" s="204">
        <f t="shared" si="26"/>
        <v>9.8939086899511253E-2</v>
      </c>
      <c r="N220" s="205" t="str">
        <f t="shared" si="27"/>
        <v/>
      </c>
    </row>
    <row r="221" spans="1:14" hidden="1" outlineLevel="1">
      <c r="A221" s="196"/>
      <c r="B221" s="206" t="s">
        <v>916</v>
      </c>
      <c r="C221" s="202">
        <f t="shared" si="21"/>
        <v>105</v>
      </c>
      <c r="E221" s="198">
        <v>14</v>
      </c>
      <c r="F221" s="199">
        <v>10</v>
      </c>
      <c r="G221" s="207">
        <f t="shared" si="22"/>
        <v>40</v>
      </c>
      <c r="H221" s="204">
        <f t="shared" si="23"/>
        <v>6.8007383658797244E-2</v>
      </c>
      <c r="I221" s="204">
        <f t="shared" si="24"/>
        <v>4.5574696928265428E-2</v>
      </c>
      <c r="J221" s="198">
        <v>41</v>
      </c>
      <c r="K221" s="199">
        <v>20</v>
      </c>
      <c r="L221" s="207">
        <f t="shared" si="25"/>
        <v>105</v>
      </c>
      <c r="M221" s="204">
        <f t="shared" si="26"/>
        <v>4.8873524853975447E-2</v>
      </c>
      <c r="N221" s="205">
        <f t="shared" si="27"/>
        <v>2.1814770781296015E-2</v>
      </c>
    </row>
    <row r="222" spans="1:14" hidden="1" outlineLevel="1">
      <c r="A222" s="196"/>
      <c r="B222" s="206" t="s">
        <v>918</v>
      </c>
      <c r="C222" s="202" t="str">
        <f t="shared" si="21"/>
        <v/>
      </c>
      <c r="E222" s="198">
        <v>3</v>
      </c>
      <c r="F222" s="199">
        <v>0</v>
      </c>
      <c r="G222" s="207" t="str">
        <f t="shared" si="22"/>
        <v/>
      </c>
      <c r="H222" s="204">
        <f t="shared" si="23"/>
        <v>1.4573010784027981E-2</v>
      </c>
      <c r="I222" s="204" t="str">
        <f t="shared" si="24"/>
        <v/>
      </c>
      <c r="J222" s="198">
        <v>28</v>
      </c>
      <c r="K222" s="199">
        <v>0</v>
      </c>
      <c r="L222" s="207" t="str">
        <f t="shared" si="25"/>
        <v/>
      </c>
      <c r="M222" s="204">
        <f t="shared" si="26"/>
        <v>3.3377041363690546E-2</v>
      </c>
      <c r="N222" s="205" t="str">
        <f t="shared" si="27"/>
        <v/>
      </c>
    </row>
    <row r="223" spans="1:14" hidden="1" outlineLevel="1">
      <c r="A223" s="196"/>
      <c r="B223" s="206" t="s">
        <v>1151</v>
      </c>
      <c r="C223" s="202" t="str">
        <f t="shared" si="21"/>
        <v/>
      </c>
      <c r="E223" s="198">
        <v>0</v>
      </c>
      <c r="F223" s="199">
        <v>0</v>
      </c>
      <c r="G223" s="207" t="str">
        <f t="shared" si="22"/>
        <v/>
      </c>
      <c r="H223" s="204" t="str">
        <f t="shared" si="23"/>
        <v/>
      </c>
      <c r="I223" s="204" t="str">
        <f t="shared" si="24"/>
        <v/>
      </c>
      <c r="J223" s="198">
        <v>23</v>
      </c>
      <c r="K223" s="199">
        <v>0</v>
      </c>
      <c r="L223" s="207" t="str">
        <f t="shared" si="25"/>
        <v/>
      </c>
      <c r="M223" s="204">
        <f t="shared" si="26"/>
        <v>2.7416855405888663E-2</v>
      </c>
      <c r="N223" s="205" t="str">
        <f t="shared" si="27"/>
        <v/>
      </c>
    </row>
    <row r="224" spans="1:14" hidden="1" outlineLevel="1">
      <c r="A224" s="196"/>
      <c r="B224" s="206" t="s">
        <v>915</v>
      </c>
      <c r="C224" s="202">
        <f t="shared" si="21"/>
        <v>-77.464788732394368</v>
      </c>
      <c r="E224" s="198">
        <v>4</v>
      </c>
      <c r="F224" s="199">
        <v>12</v>
      </c>
      <c r="G224" s="207">
        <f t="shared" si="22"/>
        <v>-66.666666666666657</v>
      </c>
      <c r="H224" s="204">
        <f t="shared" si="23"/>
        <v>1.943068104537064E-2</v>
      </c>
      <c r="I224" s="204">
        <f t="shared" si="24"/>
        <v>5.4689636313918509E-2</v>
      </c>
      <c r="J224" s="198">
        <v>16</v>
      </c>
      <c r="K224" s="199">
        <v>71</v>
      </c>
      <c r="L224" s="207">
        <f t="shared" si="25"/>
        <v>-77.464788732394368</v>
      </c>
      <c r="M224" s="204">
        <f t="shared" si="26"/>
        <v>1.9072595064966027E-2</v>
      </c>
      <c r="N224" s="205">
        <f t="shared" si="27"/>
        <v>7.7442436273600854E-2</v>
      </c>
    </row>
    <row r="225" spans="1:14" collapsed="1">
      <c r="A225" s="196" t="s">
        <v>1233</v>
      </c>
      <c r="B225" s="195" t="s">
        <v>296</v>
      </c>
      <c r="C225" s="202">
        <f t="shared" si="21"/>
        <v>16.648879402347919</v>
      </c>
      <c r="E225" s="198">
        <v>323</v>
      </c>
      <c r="F225" s="199">
        <v>231</v>
      </c>
      <c r="G225" s="207">
        <f t="shared" si="22"/>
        <v>39.82683982683983</v>
      </c>
      <c r="H225" s="204">
        <f t="shared" si="23"/>
        <v>1.5690274944136793</v>
      </c>
      <c r="I225" s="204">
        <f t="shared" si="24"/>
        <v>1.0527754990429314</v>
      </c>
      <c r="J225" s="198">
        <v>1093</v>
      </c>
      <c r="K225" s="199">
        <v>937</v>
      </c>
      <c r="L225" s="207">
        <f t="shared" si="25"/>
        <v>16.648879402347919</v>
      </c>
      <c r="M225" s="204">
        <f t="shared" si="26"/>
        <v>1.3028966503754917</v>
      </c>
      <c r="N225" s="205">
        <f t="shared" si="27"/>
        <v>1.0220220111037184</v>
      </c>
    </row>
    <row r="226" spans="1:14" hidden="1" outlineLevel="1">
      <c r="A226" s="196"/>
      <c r="B226" s="206" t="s">
        <v>950</v>
      </c>
      <c r="C226" s="202">
        <f t="shared" si="21"/>
        <v>57.004830917874393</v>
      </c>
      <c r="E226" s="198">
        <v>99</v>
      </c>
      <c r="F226" s="199">
        <v>37</v>
      </c>
      <c r="G226" s="207">
        <f t="shared" si="22"/>
        <v>167.56756756756758</v>
      </c>
      <c r="H226" s="204">
        <f t="shared" si="23"/>
        <v>0.48090935587292333</v>
      </c>
      <c r="I226" s="204">
        <f t="shared" si="24"/>
        <v>0.16862637863458207</v>
      </c>
      <c r="J226" s="198">
        <v>325</v>
      </c>
      <c r="K226" s="199">
        <v>207</v>
      </c>
      <c r="L226" s="207">
        <f t="shared" si="25"/>
        <v>57.004830917874393</v>
      </c>
      <c r="M226" s="204">
        <f t="shared" si="26"/>
        <v>0.3874120872571224</v>
      </c>
      <c r="N226" s="205">
        <f t="shared" si="27"/>
        <v>0.22578287758641377</v>
      </c>
    </row>
    <row r="227" spans="1:14" hidden="1" outlineLevel="1">
      <c r="A227" s="196"/>
      <c r="B227" s="206" t="s">
        <v>949</v>
      </c>
      <c r="C227" s="202">
        <f t="shared" si="21"/>
        <v>-18.412698412698415</v>
      </c>
      <c r="E227" s="198">
        <v>56</v>
      </c>
      <c r="F227" s="199">
        <v>40</v>
      </c>
      <c r="G227" s="207">
        <f t="shared" si="22"/>
        <v>40</v>
      </c>
      <c r="H227" s="204">
        <f t="shared" si="23"/>
        <v>0.27202953463518897</v>
      </c>
      <c r="I227" s="204">
        <f t="shared" si="24"/>
        <v>0.18229878771306171</v>
      </c>
      <c r="J227" s="198">
        <v>257</v>
      </c>
      <c r="K227" s="199">
        <v>315</v>
      </c>
      <c r="L227" s="207">
        <f t="shared" si="25"/>
        <v>-18.412698412698415</v>
      </c>
      <c r="M227" s="204">
        <f t="shared" si="26"/>
        <v>0.30635355823101679</v>
      </c>
      <c r="N227" s="205">
        <f t="shared" si="27"/>
        <v>0.34358263980541226</v>
      </c>
    </row>
    <row r="228" spans="1:14" hidden="1" outlineLevel="1">
      <c r="A228" s="196"/>
      <c r="B228" s="206" t="s">
        <v>951</v>
      </c>
      <c r="C228" s="202">
        <f t="shared" si="21"/>
        <v>59.349593495934961</v>
      </c>
      <c r="E228" s="198">
        <v>64</v>
      </c>
      <c r="F228" s="199">
        <v>26</v>
      </c>
      <c r="G228" s="207">
        <f t="shared" si="22"/>
        <v>146.15384615384613</v>
      </c>
      <c r="H228" s="204">
        <f t="shared" si="23"/>
        <v>0.31089089672593023</v>
      </c>
      <c r="I228" s="204">
        <f t="shared" si="24"/>
        <v>0.11849421201349011</v>
      </c>
      <c r="J228" s="198">
        <v>196</v>
      </c>
      <c r="K228" s="199">
        <v>123</v>
      </c>
      <c r="L228" s="207">
        <f t="shared" si="25"/>
        <v>59.349593495934961</v>
      </c>
      <c r="M228" s="204">
        <f t="shared" si="26"/>
        <v>0.23363928954583382</v>
      </c>
      <c r="N228" s="205">
        <f t="shared" si="27"/>
        <v>0.1341608403049705</v>
      </c>
    </row>
    <row r="229" spans="1:14" hidden="1" outlineLevel="1">
      <c r="A229" s="196"/>
      <c r="B229" s="206">
        <v>911</v>
      </c>
      <c r="C229" s="202">
        <f t="shared" si="21"/>
        <v>9.3023255813953494</v>
      </c>
      <c r="E229" s="198">
        <v>75</v>
      </c>
      <c r="F229" s="199">
        <v>76</v>
      </c>
      <c r="G229" s="207">
        <f t="shared" si="22"/>
        <v>-1.3157894736842104</v>
      </c>
      <c r="H229" s="204">
        <f t="shared" si="23"/>
        <v>0.3643252696006995</v>
      </c>
      <c r="I229" s="204">
        <f t="shared" si="24"/>
        <v>0.34636769665481726</v>
      </c>
      <c r="J229" s="198">
        <v>188</v>
      </c>
      <c r="K229" s="199">
        <v>172</v>
      </c>
      <c r="L229" s="207">
        <f t="shared" si="25"/>
        <v>9.3023255813953494</v>
      </c>
      <c r="M229" s="204">
        <f t="shared" si="26"/>
        <v>0.22410299201335082</v>
      </c>
      <c r="N229" s="205">
        <f t="shared" si="27"/>
        <v>0.18760702871914572</v>
      </c>
    </row>
    <row r="230" spans="1:14" hidden="1" outlineLevel="1">
      <c r="A230" s="196"/>
      <c r="B230" s="206" t="s">
        <v>952</v>
      </c>
      <c r="C230" s="202">
        <f t="shared" si="21"/>
        <v>23.52941176470588</v>
      </c>
      <c r="E230" s="198">
        <v>20</v>
      </c>
      <c r="F230" s="199">
        <v>28</v>
      </c>
      <c r="G230" s="207">
        <f t="shared" si="22"/>
        <v>-28.571428571428569</v>
      </c>
      <c r="H230" s="204">
        <f t="shared" si="23"/>
        <v>9.7153405226853201E-2</v>
      </c>
      <c r="I230" s="204">
        <f t="shared" si="24"/>
        <v>0.12760915139914319</v>
      </c>
      <c r="J230" s="198">
        <v>84</v>
      </c>
      <c r="K230" s="199">
        <v>68</v>
      </c>
      <c r="L230" s="207">
        <f t="shared" si="25"/>
        <v>23.52941176470588</v>
      </c>
      <c r="M230" s="204">
        <f t="shared" si="26"/>
        <v>0.10013112409107165</v>
      </c>
      <c r="N230" s="205">
        <f t="shared" si="27"/>
        <v>7.4170220656406452E-2</v>
      </c>
    </row>
    <row r="231" spans="1:14" hidden="1" outlineLevel="1">
      <c r="A231" s="196"/>
      <c r="B231" s="206">
        <v>718</v>
      </c>
      <c r="C231" s="202">
        <f t="shared" si="21"/>
        <v>-17.307692307692307</v>
      </c>
      <c r="E231" s="198">
        <v>9</v>
      </c>
      <c r="F231" s="199">
        <v>24</v>
      </c>
      <c r="G231" s="207">
        <f t="shared" si="22"/>
        <v>-62.5</v>
      </c>
      <c r="H231" s="204">
        <f t="shared" si="23"/>
        <v>4.3719032352083943E-2</v>
      </c>
      <c r="I231" s="204">
        <f t="shared" si="24"/>
        <v>0.10937927262783702</v>
      </c>
      <c r="J231" s="198">
        <v>43</v>
      </c>
      <c r="K231" s="199">
        <v>52</v>
      </c>
      <c r="L231" s="207">
        <f t="shared" si="25"/>
        <v>-17.307692307692307</v>
      </c>
      <c r="M231" s="204">
        <f t="shared" si="26"/>
        <v>5.1257599237096205E-2</v>
      </c>
      <c r="N231" s="205">
        <f t="shared" si="27"/>
        <v>5.6718404031369636E-2</v>
      </c>
    </row>
    <row r="232" spans="1:14" collapsed="1">
      <c r="A232" s="196" t="s">
        <v>1234</v>
      </c>
      <c r="B232" s="195" t="s">
        <v>274</v>
      </c>
      <c r="C232" s="202">
        <f t="shared" si="21"/>
        <v>23.995271867612296</v>
      </c>
      <c r="E232" s="198">
        <v>203</v>
      </c>
      <c r="F232" s="199">
        <v>260</v>
      </c>
      <c r="G232" s="207">
        <f t="shared" si="22"/>
        <v>-21.923076923076923</v>
      </c>
      <c r="H232" s="204">
        <f t="shared" si="23"/>
        <v>0.98610706305256002</v>
      </c>
      <c r="I232" s="204">
        <f t="shared" si="24"/>
        <v>1.1849421201349011</v>
      </c>
      <c r="J232" s="198">
        <v>1049</v>
      </c>
      <c r="K232" s="199">
        <v>846</v>
      </c>
      <c r="L232" s="207">
        <f t="shared" si="25"/>
        <v>23.995271867612296</v>
      </c>
      <c r="M232" s="204">
        <f t="shared" si="26"/>
        <v>1.2504470139468351</v>
      </c>
      <c r="N232" s="205">
        <f t="shared" si="27"/>
        <v>0.92276480404882144</v>
      </c>
    </row>
    <row r="233" spans="1:14" hidden="1" outlineLevel="1">
      <c r="A233" s="196"/>
      <c r="B233" s="206" t="s">
        <v>928</v>
      </c>
      <c r="C233" s="202">
        <f t="shared" si="21"/>
        <v>385.55555555555554</v>
      </c>
      <c r="E233" s="198">
        <v>63</v>
      </c>
      <c r="F233" s="199">
        <v>13</v>
      </c>
      <c r="G233" s="207">
        <f t="shared" si="22"/>
        <v>384.61538461538464</v>
      </c>
      <c r="H233" s="204">
        <f t="shared" si="23"/>
        <v>0.30603322646458758</v>
      </c>
      <c r="I233" s="204">
        <f t="shared" si="24"/>
        <v>5.9247106006745057E-2</v>
      </c>
      <c r="J233" s="198">
        <v>437</v>
      </c>
      <c r="K233" s="199">
        <v>90</v>
      </c>
      <c r="L233" s="207">
        <f t="shared" si="25"/>
        <v>385.55555555555554</v>
      </c>
      <c r="M233" s="204">
        <f t="shared" si="26"/>
        <v>0.52092025271188469</v>
      </c>
      <c r="N233" s="205">
        <f t="shared" si="27"/>
        <v>9.8166468515832064E-2</v>
      </c>
    </row>
    <row r="234" spans="1:14" hidden="1" outlineLevel="1">
      <c r="A234" s="196"/>
      <c r="B234" s="206" t="s">
        <v>926</v>
      </c>
      <c r="C234" s="202">
        <f t="shared" si="21"/>
        <v>54.285714285714285</v>
      </c>
      <c r="E234" s="198">
        <v>90</v>
      </c>
      <c r="F234" s="199">
        <v>46</v>
      </c>
      <c r="G234" s="207">
        <f t="shared" si="22"/>
        <v>95.652173913043484</v>
      </c>
      <c r="H234" s="204">
        <f t="shared" si="23"/>
        <v>0.43719032352083942</v>
      </c>
      <c r="I234" s="204">
        <f t="shared" si="24"/>
        <v>0.20964360587002098</v>
      </c>
      <c r="J234" s="198">
        <v>324</v>
      </c>
      <c r="K234" s="199">
        <v>210</v>
      </c>
      <c r="L234" s="207">
        <f t="shared" si="25"/>
        <v>54.285714285714285</v>
      </c>
      <c r="M234" s="204">
        <f t="shared" si="26"/>
        <v>0.38622005006556204</v>
      </c>
      <c r="N234" s="205">
        <f t="shared" si="27"/>
        <v>0.22905509320360817</v>
      </c>
    </row>
    <row r="235" spans="1:14" hidden="1" outlineLevel="1">
      <c r="A235" s="196"/>
      <c r="B235" s="206" t="s">
        <v>927</v>
      </c>
      <c r="C235" s="202">
        <f t="shared" si="21"/>
        <v>-39.502762430939228</v>
      </c>
      <c r="E235" s="198">
        <v>31</v>
      </c>
      <c r="F235" s="199">
        <v>127</v>
      </c>
      <c r="G235" s="207">
        <f t="shared" si="22"/>
        <v>-75.590551181102356</v>
      </c>
      <c r="H235" s="204">
        <f t="shared" si="23"/>
        <v>0.15058777810162247</v>
      </c>
      <c r="I235" s="204">
        <f t="shared" si="24"/>
        <v>0.57879865098897099</v>
      </c>
      <c r="J235" s="198">
        <v>219</v>
      </c>
      <c r="K235" s="199">
        <v>362</v>
      </c>
      <c r="L235" s="207">
        <f t="shared" si="25"/>
        <v>-39.502762430939228</v>
      </c>
      <c r="M235" s="204">
        <f t="shared" si="26"/>
        <v>0.26105614495172252</v>
      </c>
      <c r="N235" s="205">
        <f t="shared" si="27"/>
        <v>0.39484735114145791</v>
      </c>
    </row>
    <row r="236" spans="1:14" hidden="1" outlineLevel="1">
      <c r="A236" s="196"/>
      <c r="B236" s="206" t="s">
        <v>930</v>
      </c>
      <c r="C236" s="202">
        <f t="shared" si="21"/>
        <v>-21.428571428571427</v>
      </c>
      <c r="E236" s="198">
        <v>9</v>
      </c>
      <c r="F236" s="199">
        <v>11</v>
      </c>
      <c r="G236" s="207">
        <f t="shared" si="22"/>
        <v>-18.181818181818183</v>
      </c>
      <c r="H236" s="204">
        <f t="shared" si="23"/>
        <v>4.3719032352083943E-2</v>
      </c>
      <c r="I236" s="204">
        <f t="shared" si="24"/>
        <v>5.0132166621091961E-2</v>
      </c>
      <c r="J236" s="198">
        <v>22</v>
      </c>
      <c r="K236" s="199">
        <v>28</v>
      </c>
      <c r="L236" s="207">
        <f t="shared" si="25"/>
        <v>-21.428571428571427</v>
      </c>
      <c r="M236" s="204">
        <f t="shared" si="26"/>
        <v>2.6224818214328285E-2</v>
      </c>
      <c r="N236" s="205">
        <f t="shared" si="27"/>
        <v>3.0540679093814423E-2</v>
      </c>
    </row>
    <row r="237" spans="1:14" hidden="1" outlineLevel="1">
      <c r="A237" s="196"/>
      <c r="B237" s="206" t="s">
        <v>934</v>
      </c>
      <c r="C237" s="202">
        <f t="shared" si="21"/>
        <v>250</v>
      </c>
      <c r="E237" s="198">
        <v>7</v>
      </c>
      <c r="F237" s="199">
        <v>0</v>
      </c>
      <c r="G237" s="207" t="str">
        <f t="shared" si="22"/>
        <v/>
      </c>
      <c r="H237" s="204">
        <f t="shared" si="23"/>
        <v>3.4003691829398622E-2</v>
      </c>
      <c r="I237" s="204" t="str">
        <f t="shared" si="24"/>
        <v/>
      </c>
      <c r="J237" s="198">
        <v>21</v>
      </c>
      <c r="K237" s="199">
        <v>6</v>
      </c>
      <c r="L237" s="207">
        <f t="shared" si="25"/>
        <v>250</v>
      </c>
      <c r="M237" s="204">
        <f t="shared" si="26"/>
        <v>2.5032781022767913E-2</v>
      </c>
      <c r="N237" s="205">
        <f t="shared" si="27"/>
        <v>6.5444312343888051E-3</v>
      </c>
    </row>
    <row r="238" spans="1:14" hidden="1" outlineLevel="1">
      <c r="A238" s="196"/>
      <c r="B238" s="206" t="s">
        <v>931</v>
      </c>
      <c r="C238" s="202" t="str">
        <f t="shared" si="21"/>
        <v/>
      </c>
      <c r="E238" s="198">
        <v>3</v>
      </c>
      <c r="F238" s="199">
        <v>0</v>
      </c>
      <c r="G238" s="207" t="str">
        <f t="shared" si="22"/>
        <v/>
      </c>
      <c r="H238" s="204">
        <f t="shared" si="23"/>
        <v>1.4573010784027981E-2</v>
      </c>
      <c r="I238" s="204" t="str">
        <f t="shared" si="24"/>
        <v/>
      </c>
      <c r="J238" s="198">
        <v>19</v>
      </c>
      <c r="K238" s="199">
        <v>0</v>
      </c>
      <c r="L238" s="207" t="str">
        <f t="shared" si="25"/>
        <v/>
      </c>
      <c r="M238" s="204">
        <f t="shared" si="26"/>
        <v>2.2648706639647156E-2</v>
      </c>
      <c r="N238" s="205" t="str">
        <f t="shared" si="27"/>
        <v/>
      </c>
    </row>
    <row r="239" spans="1:14" hidden="1" outlineLevel="1">
      <c r="A239" s="196"/>
      <c r="B239" s="206" t="s">
        <v>1152</v>
      </c>
      <c r="C239" s="202" t="str">
        <f t="shared" si="21"/>
        <v/>
      </c>
      <c r="E239" s="198">
        <v>0</v>
      </c>
      <c r="F239" s="199">
        <v>0</v>
      </c>
      <c r="G239" s="207" t="str">
        <f t="shared" si="22"/>
        <v/>
      </c>
      <c r="H239" s="204" t="str">
        <f t="shared" si="23"/>
        <v/>
      </c>
      <c r="I239" s="204" t="str">
        <f t="shared" si="24"/>
        <v/>
      </c>
      <c r="J239" s="198">
        <v>7</v>
      </c>
      <c r="K239" s="199">
        <v>0</v>
      </c>
      <c r="L239" s="207" t="str">
        <f t="shared" si="25"/>
        <v/>
      </c>
      <c r="M239" s="204">
        <f t="shared" si="26"/>
        <v>8.3442603409226365E-3</v>
      </c>
      <c r="N239" s="205" t="str">
        <f t="shared" si="27"/>
        <v/>
      </c>
    </row>
    <row r="240" spans="1:14" hidden="1" outlineLevel="1">
      <c r="A240" s="196"/>
      <c r="B240" s="206" t="s">
        <v>929</v>
      </c>
      <c r="C240" s="202">
        <f t="shared" si="21"/>
        <v>-100</v>
      </c>
      <c r="E240" s="198">
        <v>0</v>
      </c>
      <c r="F240" s="199">
        <v>14</v>
      </c>
      <c r="G240" s="207">
        <f t="shared" si="22"/>
        <v>-100</v>
      </c>
      <c r="H240" s="204" t="str">
        <f t="shared" si="23"/>
        <v/>
      </c>
      <c r="I240" s="204">
        <f t="shared" si="24"/>
        <v>6.3804575699571597E-2</v>
      </c>
      <c r="J240" s="198">
        <v>0</v>
      </c>
      <c r="K240" s="199">
        <v>75</v>
      </c>
      <c r="L240" s="207">
        <f t="shared" si="25"/>
        <v>-100</v>
      </c>
      <c r="M240" s="204" t="str">
        <f t="shared" si="26"/>
        <v/>
      </c>
      <c r="N240" s="205">
        <f t="shared" si="27"/>
        <v>8.1805390429860056E-2</v>
      </c>
    </row>
    <row r="241" spans="1:14" hidden="1" outlineLevel="1">
      <c r="A241" s="196"/>
      <c r="B241" s="206" t="s">
        <v>932</v>
      </c>
      <c r="C241" s="202">
        <f t="shared" si="21"/>
        <v>-100</v>
      </c>
      <c r="E241" s="198">
        <v>0</v>
      </c>
      <c r="F241" s="199">
        <v>21</v>
      </c>
      <c r="G241" s="207">
        <f t="shared" si="22"/>
        <v>-100</v>
      </c>
      <c r="H241" s="204" t="str">
        <f t="shared" si="23"/>
        <v/>
      </c>
      <c r="I241" s="204">
        <f t="shared" si="24"/>
        <v>9.5706863549357396E-2</v>
      </c>
      <c r="J241" s="198">
        <v>0</v>
      </c>
      <c r="K241" s="199">
        <v>27</v>
      </c>
      <c r="L241" s="207">
        <f t="shared" si="25"/>
        <v>-100</v>
      </c>
      <c r="M241" s="204" t="str">
        <f t="shared" si="26"/>
        <v/>
      </c>
      <c r="N241" s="205">
        <f t="shared" si="27"/>
        <v>2.9449940554749622E-2</v>
      </c>
    </row>
    <row r="242" spans="1:14" hidden="1" outlineLevel="1">
      <c r="A242" s="196"/>
      <c r="B242" s="206" t="s">
        <v>1186</v>
      </c>
      <c r="C242" s="202">
        <f t="shared" si="21"/>
        <v>-100</v>
      </c>
      <c r="E242" s="198">
        <v>0</v>
      </c>
      <c r="F242" s="199">
        <v>25</v>
      </c>
      <c r="G242" s="207">
        <f t="shared" si="22"/>
        <v>-100</v>
      </c>
      <c r="H242" s="204" t="str">
        <f t="shared" si="23"/>
        <v/>
      </c>
      <c r="I242" s="204">
        <f t="shared" si="24"/>
        <v>0.11393674232066356</v>
      </c>
      <c r="J242" s="198">
        <v>0</v>
      </c>
      <c r="K242" s="199">
        <v>26</v>
      </c>
      <c r="L242" s="207">
        <f t="shared" si="25"/>
        <v>-100</v>
      </c>
      <c r="M242" s="204" t="str">
        <f t="shared" si="26"/>
        <v/>
      </c>
      <c r="N242" s="205">
        <f t="shared" si="27"/>
        <v>2.8359202015684818E-2</v>
      </c>
    </row>
    <row r="243" spans="1:14" hidden="1" outlineLevel="1">
      <c r="A243" s="196"/>
      <c r="B243" s="206" t="s">
        <v>933</v>
      </c>
      <c r="C243" s="202">
        <f t="shared" si="21"/>
        <v>-100</v>
      </c>
      <c r="E243" s="198">
        <v>0</v>
      </c>
      <c r="F243" s="199">
        <v>3</v>
      </c>
      <c r="G243" s="207">
        <f t="shared" si="22"/>
        <v>-100</v>
      </c>
      <c r="H243" s="204" t="str">
        <f t="shared" si="23"/>
        <v/>
      </c>
      <c r="I243" s="204">
        <f t="shared" si="24"/>
        <v>1.3672409078479627E-2</v>
      </c>
      <c r="J243" s="198">
        <v>0</v>
      </c>
      <c r="K243" s="199">
        <v>22</v>
      </c>
      <c r="L243" s="207">
        <f t="shared" si="25"/>
        <v>-100</v>
      </c>
      <c r="M243" s="204" t="str">
        <f t="shared" si="26"/>
        <v/>
      </c>
      <c r="N243" s="205">
        <f t="shared" si="27"/>
        <v>2.3996247859425616E-2</v>
      </c>
    </row>
    <row r="244" spans="1:14" collapsed="1">
      <c r="A244" s="196" t="s">
        <v>1235</v>
      </c>
      <c r="B244" s="195" t="s">
        <v>275</v>
      </c>
      <c r="C244" s="202">
        <f t="shared" si="21"/>
        <v>-1.2345679012345678</v>
      </c>
      <c r="E244" s="198">
        <v>155</v>
      </c>
      <c r="F244" s="199">
        <v>276</v>
      </c>
      <c r="G244" s="207">
        <f t="shared" si="22"/>
        <v>-43.840579710144929</v>
      </c>
      <c r="H244" s="204">
        <f t="shared" si="23"/>
        <v>0.75293889050811236</v>
      </c>
      <c r="I244" s="204">
        <f t="shared" si="24"/>
        <v>1.257861635220126</v>
      </c>
      <c r="J244" s="198">
        <v>1040</v>
      </c>
      <c r="K244" s="199">
        <v>1053</v>
      </c>
      <c r="L244" s="207">
        <f t="shared" si="25"/>
        <v>-1.2345679012345678</v>
      </c>
      <c r="M244" s="204">
        <f t="shared" si="26"/>
        <v>1.2397186792227919</v>
      </c>
      <c r="N244" s="205">
        <f t="shared" si="27"/>
        <v>1.1485476816352351</v>
      </c>
    </row>
    <row r="245" spans="1:14" hidden="1" outlineLevel="1">
      <c r="A245" s="196"/>
      <c r="B245" s="206" t="s">
        <v>946</v>
      </c>
      <c r="C245" s="202">
        <f t="shared" si="21"/>
        <v>-16.168717047451668</v>
      </c>
      <c r="E245" s="198">
        <v>76</v>
      </c>
      <c r="F245" s="199">
        <v>125</v>
      </c>
      <c r="G245" s="207">
        <f t="shared" si="22"/>
        <v>-39.200000000000003</v>
      </c>
      <c r="H245" s="204">
        <f t="shared" si="23"/>
        <v>0.36918293986204215</v>
      </c>
      <c r="I245" s="204">
        <f t="shared" si="24"/>
        <v>0.56968371160331788</v>
      </c>
      <c r="J245" s="198">
        <v>477</v>
      </c>
      <c r="K245" s="199">
        <v>569</v>
      </c>
      <c r="L245" s="207">
        <f t="shared" si="25"/>
        <v>-16.168717047451668</v>
      </c>
      <c r="M245" s="204">
        <f t="shared" si="26"/>
        <v>0.56860174037429967</v>
      </c>
      <c r="N245" s="205">
        <f t="shared" si="27"/>
        <v>0.62063022872787166</v>
      </c>
    </row>
    <row r="246" spans="1:14" hidden="1" outlineLevel="1">
      <c r="A246" s="196"/>
      <c r="B246" s="206" t="s">
        <v>947</v>
      </c>
      <c r="C246" s="202">
        <f t="shared" si="21"/>
        <v>-10.401891252955082</v>
      </c>
      <c r="E246" s="198">
        <v>64</v>
      </c>
      <c r="F246" s="199">
        <v>123</v>
      </c>
      <c r="G246" s="207">
        <f t="shared" si="22"/>
        <v>-47.967479674796749</v>
      </c>
      <c r="H246" s="204">
        <f t="shared" si="23"/>
        <v>0.31089089672593023</v>
      </c>
      <c r="I246" s="204">
        <f t="shared" si="24"/>
        <v>0.56056877221766477</v>
      </c>
      <c r="J246" s="198">
        <v>379</v>
      </c>
      <c r="K246" s="199">
        <v>423</v>
      </c>
      <c r="L246" s="207">
        <f t="shared" si="25"/>
        <v>-10.401891252955082</v>
      </c>
      <c r="M246" s="204">
        <f t="shared" si="26"/>
        <v>0.45178209560138277</v>
      </c>
      <c r="N246" s="205">
        <f t="shared" si="27"/>
        <v>0.46138240202441072</v>
      </c>
    </row>
    <row r="247" spans="1:14" hidden="1" outlineLevel="1">
      <c r="A247" s="196"/>
      <c r="B247" s="206" t="s">
        <v>948</v>
      </c>
      <c r="C247" s="202">
        <f t="shared" si="21"/>
        <v>201.63934426229505</v>
      </c>
      <c r="E247" s="198">
        <v>15</v>
      </c>
      <c r="F247" s="199">
        <v>28</v>
      </c>
      <c r="G247" s="207">
        <f t="shared" si="22"/>
        <v>-46.428571428571431</v>
      </c>
      <c r="H247" s="204">
        <f t="shared" si="23"/>
        <v>7.2865053920139894E-2</v>
      </c>
      <c r="I247" s="204">
        <f t="shared" si="24"/>
        <v>0.12760915139914319</v>
      </c>
      <c r="J247" s="198">
        <v>184</v>
      </c>
      <c r="K247" s="199">
        <v>61</v>
      </c>
      <c r="L247" s="207">
        <f t="shared" si="25"/>
        <v>201.63934426229505</v>
      </c>
      <c r="M247" s="204">
        <f t="shared" si="26"/>
        <v>0.21933484324710931</v>
      </c>
      <c r="N247" s="205">
        <f t="shared" si="27"/>
        <v>6.6535050882952848E-2</v>
      </c>
    </row>
    <row r="248" spans="1:14" collapsed="1">
      <c r="A248" s="196" t="s">
        <v>1236</v>
      </c>
      <c r="B248" s="195" t="s">
        <v>298</v>
      </c>
      <c r="C248" s="202">
        <f t="shared" si="21"/>
        <v>-37.595552466990966</v>
      </c>
      <c r="E248" s="198">
        <v>212</v>
      </c>
      <c r="F248" s="199">
        <v>448</v>
      </c>
      <c r="G248" s="207">
        <f t="shared" si="22"/>
        <v>-52.678571428571431</v>
      </c>
      <c r="H248" s="204">
        <f t="shared" si="23"/>
        <v>1.0298260954046439</v>
      </c>
      <c r="I248" s="204">
        <f t="shared" si="24"/>
        <v>2.0417464223862911</v>
      </c>
      <c r="J248" s="198">
        <v>898</v>
      </c>
      <c r="K248" s="199">
        <v>1439</v>
      </c>
      <c r="L248" s="207">
        <f t="shared" si="25"/>
        <v>-37.595552466990966</v>
      </c>
      <c r="M248" s="204">
        <f t="shared" si="26"/>
        <v>1.0704493980212182</v>
      </c>
      <c r="N248" s="205">
        <f t="shared" si="27"/>
        <v>1.5695727577142482</v>
      </c>
    </row>
    <row r="249" spans="1:14" hidden="1" outlineLevel="1">
      <c r="A249" s="196"/>
      <c r="B249" s="206" t="s">
        <v>922</v>
      </c>
      <c r="C249" s="202">
        <f t="shared" si="21"/>
        <v>58.364312267657994</v>
      </c>
      <c r="E249" s="198">
        <v>78</v>
      </c>
      <c r="F249" s="199">
        <v>43</v>
      </c>
      <c r="G249" s="207">
        <f t="shared" si="22"/>
        <v>81.395348837209298</v>
      </c>
      <c r="H249" s="204">
        <f t="shared" si="23"/>
        <v>0.3788982803847275</v>
      </c>
      <c r="I249" s="204">
        <f t="shared" si="24"/>
        <v>0.19597119679154135</v>
      </c>
      <c r="J249" s="198">
        <v>426</v>
      </c>
      <c r="K249" s="199">
        <v>269</v>
      </c>
      <c r="L249" s="207">
        <f t="shared" si="25"/>
        <v>58.364312267657994</v>
      </c>
      <c r="M249" s="204">
        <f t="shared" si="26"/>
        <v>0.50780784360472053</v>
      </c>
      <c r="N249" s="205">
        <f t="shared" si="27"/>
        <v>0.29340866700843143</v>
      </c>
    </row>
    <row r="250" spans="1:14" hidden="1" outlineLevel="1">
      <c r="A250" s="196"/>
      <c r="B250" s="206" t="s">
        <v>923</v>
      </c>
      <c r="C250" s="202">
        <f t="shared" si="21"/>
        <v>15.432098765432098</v>
      </c>
      <c r="E250" s="198">
        <v>41</v>
      </c>
      <c r="F250" s="199">
        <v>34</v>
      </c>
      <c r="G250" s="207">
        <f t="shared" si="22"/>
        <v>20.588235294117645</v>
      </c>
      <c r="H250" s="204">
        <f t="shared" si="23"/>
        <v>0.19916448071504905</v>
      </c>
      <c r="I250" s="204">
        <f t="shared" si="24"/>
        <v>0.15495396955610247</v>
      </c>
      <c r="J250" s="198">
        <v>187</v>
      </c>
      <c r="K250" s="199">
        <v>162</v>
      </c>
      <c r="L250" s="207">
        <f t="shared" si="25"/>
        <v>15.432098765432098</v>
      </c>
      <c r="M250" s="204">
        <f t="shared" si="26"/>
        <v>0.22291095482179041</v>
      </c>
      <c r="N250" s="205">
        <f t="shared" si="27"/>
        <v>0.17669964332849772</v>
      </c>
    </row>
    <row r="251" spans="1:14" hidden="1" outlineLevel="1">
      <c r="A251" s="196"/>
      <c r="B251" s="206" t="s">
        <v>924</v>
      </c>
      <c r="C251" s="202">
        <f t="shared" si="21"/>
        <v>-41.17647058823529</v>
      </c>
      <c r="E251" s="198">
        <v>45</v>
      </c>
      <c r="F251" s="199">
        <v>38</v>
      </c>
      <c r="G251" s="207">
        <f t="shared" si="22"/>
        <v>18.421052631578945</v>
      </c>
      <c r="H251" s="204">
        <f t="shared" si="23"/>
        <v>0.21859516176041971</v>
      </c>
      <c r="I251" s="204">
        <f t="shared" si="24"/>
        <v>0.17318384832740863</v>
      </c>
      <c r="J251" s="198">
        <v>80</v>
      </c>
      <c r="K251" s="199">
        <v>136</v>
      </c>
      <c r="L251" s="207">
        <f t="shared" si="25"/>
        <v>-41.17647058823529</v>
      </c>
      <c r="M251" s="204">
        <f t="shared" si="26"/>
        <v>9.5362975324830124E-2</v>
      </c>
      <c r="N251" s="205">
        <f t="shared" si="27"/>
        <v>0.1483404413128129</v>
      </c>
    </row>
    <row r="252" spans="1:14" hidden="1" outlineLevel="1">
      <c r="A252" s="196"/>
      <c r="B252" s="206" t="s">
        <v>919</v>
      </c>
      <c r="C252" s="202">
        <f t="shared" si="21"/>
        <v>-78.819444444444443</v>
      </c>
      <c r="E252" s="198">
        <v>8</v>
      </c>
      <c r="F252" s="199">
        <v>139</v>
      </c>
      <c r="G252" s="207">
        <f t="shared" si="22"/>
        <v>-94.24460431654677</v>
      </c>
      <c r="H252" s="204">
        <f t="shared" si="23"/>
        <v>3.8861362090741279E-2</v>
      </c>
      <c r="I252" s="204">
        <f t="shared" si="24"/>
        <v>0.63348828730288942</v>
      </c>
      <c r="J252" s="198">
        <v>61</v>
      </c>
      <c r="K252" s="199">
        <v>288</v>
      </c>
      <c r="L252" s="207">
        <f t="shared" si="25"/>
        <v>-78.819444444444443</v>
      </c>
      <c r="M252" s="204">
        <f t="shared" si="26"/>
        <v>7.2714268685182978E-2</v>
      </c>
      <c r="N252" s="205">
        <f t="shared" si="27"/>
        <v>0.31413269925066262</v>
      </c>
    </row>
    <row r="253" spans="1:14" hidden="1" outlineLevel="1">
      <c r="A253" s="196"/>
      <c r="B253" s="206" t="s">
        <v>921</v>
      </c>
      <c r="C253" s="202">
        <f t="shared" si="21"/>
        <v>-81.639344262295083</v>
      </c>
      <c r="E253" s="198">
        <v>11</v>
      </c>
      <c r="F253" s="199">
        <v>60</v>
      </c>
      <c r="G253" s="207">
        <f t="shared" si="22"/>
        <v>-81.666666666666671</v>
      </c>
      <c r="H253" s="204">
        <f t="shared" si="23"/>
        <v>5.3434372874769258E-2</v>
      </c>
      <c r="I253" s="204">
        <f t="shared" si="24"/>
        <v>0.27344818156959255</v>
      </c>
      <c r="J253" s="198">
        <v>56</v>
      </c>
      <c r="K253" s="199">
        <v>305</v>
      </c>
      <c r="L253" s="207">
        <f t="shared" si="25"/>
        <v>-81.639344262295083</v>
      </c>
      <c r="M253" s="204">
        <f t="shared" si="26"/>
        <v>6.6754082727381092E-2</v>
      </c>
      <c r="N253" s="205">
        <f t="shared" si="27"/>
        <v>0.33267525441476425</v>
      </c>
    </row>
    <row r="254" spans="1:14" hidden="1" outlineLevel="1">
      <c r="A254" s="196"/>
      <c r="B254" s="206" t="s">
        <v>920</v>
      </c>
      <c r="C254" s="202">
        <f t="shared" si="21"/>
        <v>-81.012658227848107</v>
      </c>
      <c r="E254" s="198">
        <v>7</v>
      </c>
      <c r="F254" s="199">
        <v>133</v>
      </c>
      <c r="G254" s="207">
        <f t="shared" si="22"/>
        <v>-94.73684210526315</v>
      </c>
      <c r="H254" s="204">
        <f t="shared" si="23"/>
        <v>3.4003691829398622E-2</v>
      </c>
      <c r="I254" s="204">
        <f t="shared" si="24"/>
        <v>0.60614346914593009</v>
      </c>
      <c r="J254" s="198">
        <v>45</v>
      </c>
      <c r="K254" s="199">
        <v>237</v>
      </c>
      <c r="L254" s="207">
        <f t="shared" si="25"/>
        <v>-81.012658227848107</v>
      </c>
      <c r="M254" s="204">
        <f t="shared" si="26"/>
        <v>5.3641673620216948E-2</v>
      </c>
      <c r="N254" s="205">
        <f t="shared" si="27"/>
        <v>0.25850503375835782</v>
      </c>
    </row>
    <row r="255" spans="1:14" hidden="1" outlineLevel="1">
      <c r="A255" s="196"/>
      <c r="B255" s="206" t="s">
        <v>925</v>
      </c>
      <c r="C255" s="202">
        <f t="shared" si="21"/>
        <v>2.3809523809523809</v>
      </c>
      <c r="E255" s="198">
        <v>22</v>
      </c>
      <c r="F255" s="199">
        <v>1</v>
      </c>
      <c r="G255" s="207">
        <f t="shared" si="22"/>
        <v>2100</v>
      </c>
      <c r="H255" s="204">
        <f t="shared" si="23"/>
        <v>0.10686874574953852</v>
      </c>
      <c r="I255" s="204">
        <f t="shared" si="24"/>
        <v>4.5574696928265424E-3</v>
      </c>
      <c r="J255" s="198">
        <v>43</v>
      </c>
      <c r="K255" s="199">
        <v>42</v>
      </c>
      <c r="L255" s="207">
        <f t="shared" si="25"/>
        <v>2.3809523809523809</v>
      </c>
      <c r="M255" s="204">
        <f t="shared" si="26"/>
        <v>5.1257599237096205E-2</v>
      </c>
      <c r="N255" s="205">
        <f t="shared" si="27"/>
        <v>4.5811018640721637E-2</v>
      </c>
    </row>
    <row r="256" spans="1:14" collapsed="1">
      <c r="A256" s="196" t="s">
        <v>1237</v>
      </c>
      <c r="B256" s="195" t="s">
        <v>300</v>
      </c>
      <c r="C256" s="202">
        <f t="shared" si="21"/>
        <v>19.302949061662197</v>
      </c>
      <c r="E256" s="198">
        <v>237</v>
      </c>
      <c r="F256" s="199">
        <v>159</v>
      </c>
      <c r="G256" s="207">
        <f t="shared" si="22"/>
        <v>49.056603773584904</v>
      </c>
      <c r="H256" s="204">
        <f t="shared" si="23"/>
        <v>1.1512678519382105</v>
      </c>
      <c r="I256" s="204">
        <f t="shared" si="24"/>
        <v>0.72463768115942029</v>
      </c>
      <c r="J256" s="198">
        <v>890</v>
      </c>
      <c r="K256" s="199">
        <v>746</v>
      </c>
      <c r="L256" s="207">
        <f t="shared" si="25"/>
        <v>19.302949061662197</v>
      </c>
      <c r="M256" s="204">
        <f t="shared" si="26"/>
        <v>1.0609131004887351</v>
      </c>
      <c r="N256" s="205">
        <f t="shared" si="27"/>
        <v>0.8136909501423415</v>
      </c>
    </row>
    <row r="257" spans="1:14" hidden="1" outlineLevel="1">
      <c r="A257" s="196"/>
      <c r="B257" s="206" t="s">
        <v>958</v>
      </c>
      <c r="C257" s="202">
        <f t="shared" si="21"/>
        <v>1.9047619047619049</v>
      </c>
      <c r="E257" s="198">
        <v>168</v>
      </c>
      <c r="F257" s="199">
        <v>121</v>
      </c>
      <c r="G257" s="207">
        <f t="shared" si="22"/>
        <v>38.84297520661157</v>
      </c>
      <c r="H257" s="204">
        <f t="shared" si="23"/>
        <v>0.81608860390556692</v>
      </c>
      <c r="I257" s="204">
        <f t="shared" si="24"/>
        <v>0.55145383283201166</v>
      </c>
      <c r="J257" s="198">
        <v>642</v>
      </c>
      <c r="K257" s="199">
        <v>630</v>
      </c>
      <c r="L257" s="207">
        <f t="shared" si="25"/>
        <v>1.9047619047619049</v>
      </c>
      <c r="M257" s="204">
        <f t="shared" si="26"/>
        <v>0.76528787698176182</v>
      </c>
      <c r="N257" s="205">
        <f t="shared" si="27"/>
        <v>0.68716527961082452</v>
      </c>
    </row>
    <row r="258" spans="1:14" hidden="1" outlineLevel="1">
      <c r="A258" s="196"/>
      <c r="B258" s="206" t="s">
        <v>959</v>
      </c>
      <c r="C258" s="202">
        <f t="shared" si="21"/>
        <v>107.54716981132076</v>
      </c>
      <c r="E258" s="198">
        <v>38</v>
      </c>
      <c r="F258" s="199">
        <v>24</v>
      </c>
      <c r="G258" s="207">
        <f t="shared" si="22"/>
        <v>58.333333333333336</v>
      </c>
      <c r="H258" s="204">
        <f t="shared" si="23"/>
        <v>0.18459146993102107</v>
      </c>
      <c r="I258" s="204">
        <f t="shared" si="24"/>
        <v>0.10937927262783702</v>
      </c>
      <c r="J258" s="198">
        <v>110</v>
      </c>
      <c r="K258" s="199">
        <v>53</v>
      </c>
      <c r="L258" s="207">
        <f t="shared" si="25"/>
        <v>107.54716981132076</v>
      </c>
      <c r="M258" s="204">
        <f t="shared" si="26"/>
        <v>0.13112409107164144</v>
      </c>
      <c r="N258" s="205">
        <f t="shared" si="27"/>
        <v>5.7809142570434437E-2</v>
      </c>
    </row>
    <row r="259" spans="1:14" hidden="1" outlineLevel="1">
      <c r="A259" s="196"/>
      <c r="B259" s="206" t="s">
        <v>960</v>
      </c>
      <c r="C259" s="202">
        <f t="shared" si="21"/>
        <v>41.269841269841265</v>
      </c>
      <c r="E259" s="198">
        <v>21</v>
      </c>
      <c r="F259" s="199">
        <v>14</v>
      </c>
      <c r="G259" s="207">
        <f t="shared" si="22"/>
        <v>50</v>
      </c>
      <c r="H259" s="204">
        <f t="shared" si="23"/>
        <v>0.10201107548819587</v>
      </c>
      <c r="I259" s="204">
        <f t="shared" si="24"/>
        <v>6.3804575699571597E-2</v>
      </c>
      <c r="J259" s="198">
        <v>89</v>
      </c>
      <c r="K259" s="199">
        <v>63</v>
      </c>
      <c r="L259" s="207">
        <f t="shared" si="25"/>
        <v>41.269841269841265</v>
      </c>
      <c r="M259" s="204">
        <f t="shared" si="26"/>
        <v>0.10609131004887352</v>
      </c>
      <c r="N259" s="205">
        <f t="shared" si="27"/>
        <v>6.8716527961082449E-2</v>
      </c>
    </row>
    <row r="260" spans="1:14" hidden="1" outlineLevel="1">
      <c r="A260" s="196"/>
      <c r="B260" s="206" t="s">
        <v>961</v>
      </c>
      <c r="C260" s="202" t="str">
        <f t="shared" si="21"/>
        <v/>
      </c>
      <c r="E260" s="198">
        <v>10</v>
      </c>
      <c r="F260" s="199">
        <v>0</v>
      </c>
      <c r="G260" s="207" t="str">
        <f t="shared" si="22"/>
        <v/>
      </c>
      <c r="H260" s="204">
        <f t="shared" si="23"/>
        <v>4.8576702613426601E-2</v>
      </c>
      <c r="I260" s="204" t="str">
        <f t="shared" si="24"/>
        <v/>
      </c>
      <c r="J260" s="198">
        <v>49</v>
      </c>
      <c r="K260" s="199">
        <v>0</v>
      </c>
      <c r="L260" s="207" t="str">
        <f t="shared" si="25"/>
        <v/>
      </c>
      <c r="M260" s="204">
        <f t="shared" si="26"/>
        <v>5.8409822386458456E-2</v>
      </c>
      <c r="N260" s="205" t="str">
        <f t="shared" si="27"/>
        <v/>
      </c>
    </row>
    <row r="261" spans="1:14" collapsed="1">
      <c r="A261" s="196" t="s">
        <v>1238</v>
      </c>
      <c r="B261" s="195" t="s">
        <v>294</v>
      </c>
      <c r="C261" s="202">
        <f t="shared" si="21"/>
        <v>-46.328928046989724</v>
      </c>
      <c r="E261" s="198">
        <v>133</v>
      </c>
      <c r="F261" s="199">
        <v>341</v>
      </c>
      <c r="G261" s="207">
        <f t="shared" si="22"/>
        <v>-60.997067448680355</v>
      </c>
      <c r="H261" s="204">
        <f t="shared" si="23"/>
        <v>0.64607014475857372</v>
      </c>
      <c r="I261" s="204">
        <f t="shared" si="24"/>
        <v>1.5540971652538511</v>
      </c>
      <c r="J261" s="198">
        <v>731</v>
      </c>
      <c r="K261" s="199">
        <v>1362</v>
      </c>
      <c r="L261" s="207">
        <f t="shared" si="25"/>
        <v>-46.328928046989724</v>
      </c>
      <c r="M261" s="204">
        <f t="shared" si="26"/>
        <v>0.87137918703063533</v>
      </c>
      <c r="N261" s="205">
        <f t="shared" si="27"/>
        <v>1.4855858902062586</v>
      </c>
    </row>
    <row r="262" spans="1:14" hidden="1" outlineLevel="1">
      <c r="A262" s="196"/>
      <c r="B262" s="206" t="s">
        <v>935</v>
      </c>
      <c r="C262" s="202">
        <f t="shared" si="21"/>
        <v>-55.327342747111686</v>
      </c>
      <c r="E262" s="198">
        <v>77</v>
      </c>
      <c r="F262" s="199">
        <v>183</v>
      </c>
      <c r="G262" s="207">
        <f t="shared" si="22"/>
        <v>-57.923497267759558</v>
      </c>
      <c r="H262" s="204">
        <f t="shared" si="23"/>
        <v>0.3740406101233848</v>
      </c>
      <c r="I262" s="204">
        <f t="shared" si="24"/>
        <v>0.83401695378725726</v>
      </c>
      <c r="J262" s="198">
        <v>348</v>
      </c>
      <c r="K262" s="199">
        <v>779</v>
      </c>
      <c r="L262" s="207">
        <f t="shared" si="25"/>
        <v>-55.327342747111686</v>
      </c>
      <c r="M262" s="204">
        <f t="shared" si="26"/>
        <v>0.41482894266301107</v>
      </c>
      <c r="N262" s="205">
        <f t="shared" si="27"/>
        <v>0.84968532193147972</v>
      </c>
    </row>
    <row r="263" spans="1:14" hidden="1" outlineLevel="1">
      <c r="A263" s="196"/>
      <c r="B263" s="206" t="s">
        <v>936</v>
      </c>
      <c r="C263" s="202">
        <f t="shared" si="21"/>
        <v>-44.887780548628427</v>
      </c>
      <c r="E263" s="198">
        <v>45</v>
      </c>
      <c r="F263" s="199">
        <v>114</v>
      </c>
      <c r="G263" s="207">
        <f t="shared" si="22"/>
        <v>-60.526315789473685</v>
      </c>
      <c r="H263" s="204">
        <f t="shared" si="23"/>
        <v>0.21859516176041971</v>
      </c>
      <c r="I263" s="204">
        <f t="shared" si="24"/>
        <v>0.51955154498222589</v>
      </c>
      <c r="J263" s="198">
        <v>221</v>
      </c>
      <c r="K263" s="199">
        <v>401</v>
      </c>
      <c r="L263" s="207">
        <f t="shared" si="25"/>
        <v>-44.887780548628427</v>
      </c>
      <c r="M263" s="204">
        <f t="shared" si="26"/>
        <v>0.26344021933484324</v>
      </c>
      <c r="N263" s="205">
        <f t="shared" si="27"/>
        <v>0.43738615416498516</v>
      </c>
    </row>
    <row r="264" spans="1:14" hidden="1" outlineLevel="1">
      <c r="A264" s="196"/>
      <c r="B264" s="206" t="s">
        <v>939</v>
      </c>
      <c r="C264" s="202">
        <f t="shared" si="21"/>
        <v>413.33333333333337</v>
      </c>
      <c r="E264" s="198">
        <v>3</v>
      </c>
      <c r="F264" s="199">
        <v>0</v>
      </c>
      <c r="G264" s="207" t="str">
        <f t="shared" si="22"/>
        <v/>
      </c>
      <c r="H264" s="204">
        <f t="shared" si="23"/>
        <v>1.4573010784027981E-2</v>
      </c>
      <c r="I264" s="204" t="str">
        <f t="shared" si="24"/>
        <v/>
      </c>
      <c r="J264" s="198">
        <v>77</v>
      </c>
      <c r="K264" s="199">
        <v>15</v>
      </c>
      <c r="L264" s="207">
        <f t="shared" si="25"/>
        <v>413.33333333333337</v>
      </c>
      <c r="M264" s="204">
        <f t="shared" si="26"/>
        <v>9.1786863750149009E-2</v>
      </c>
      <c r="N264" s="205">
        <f t="shared" si="27"/>
        <v>1.6361078085972012E-2</v>
      </c>
    </row>
    <row r="265" spans="1:14" hidden="1" outlineLevel="1">
      <c r="A265" s="196"/>
      <c r="B265" s="206" t="s">
        <v>937</v>
      </c>
      <c r="C265" s="202">
        <f t="shared" si="21"/>
        <v>-20.238095238095237</v>
      </c>
      <c r="E265" s="198">
        <v>3</v>
      </c>
      <c r="F265" s="199">
        <v>27</v>
      </c>
      <c r="G265" s="207">
        <f t="shared" si="22"/>
        <v>-88.888888888888886</v>
      </c>
      <c r="H265" s="204">
        <f t="shared" si="23"/>
        <v>1.4573010784027981E-2</v>
      </c>
      <c r="I265" s="204">
        <f t="shared" si="24"/>
        <v>0.12305168170631665</v>
      </c>
      <c r="J265" s="198">
        <v>67</v>
      </c>
      <c r="K265" s="199">
        <v>84</v>
      </c>
      <c r="L265" s="207">
        <f t="shared" si="25"/>
        <v>-20.238095238095237</v>
      </c>
      <c r="M265" s="204">
        <f t="shared" si="26"/>
        <v>7.9866491834545236E-2</v>
      </c>
      <c r="N265" s="205">
        <f t="shared" si="27"/>
        <v>9.1622037281443275E-2</v>
      </c>
    </row>
    <row r="266" spans="1:14" hidden="1" outlineLevel="1">
      <c r="A266" s="196"/>
      <c r="B266" s="206" t="s">
        <v>942</v>
      </c>
      <c r="C266" s="202">
        <f t="shared" ref="C266:C329" si="28">IF(K266=0,"",SUM(((J266-K266)/K266)*100))</f>
        <v>0</v>
      </c>
      <c r="E266" s="198">
        <v>4</v>
      </c>
      <c r="F266" s="199">
        <v>5</v>
      </c>
      <c r="G266" s="207">
        <f t="shared" ref="G266:G329" si="29">IF(F266=0,"",SUM(((E266-F266)/F266)*100))</f>
        <v>-20</v>
      </c>
      <c r="H266" s="204">
        <f t="shared" ref="H266:H329" si="30">IF(E266=0,"",SUM((E266/CntPeriod)*100))</f>
        <v>1.943068104537064E-2</v>
      </c>
      <c r="I266" s="204">
        <f t="shared" ref="I266:I329" si="31">IF(F266=0,"",SUM((F266/CntPeriodPrevYear)*100))</f>
        <v>2.2787348464132714E-2</v>
      </c>
      <c r="J266" s="198">
        <v>9</v>
      </c>
      <c r="K266" s="199">
        <v>9</v>
      </c>
      <c r="L266" s="207">
        <f t="shared" ref="L266:L329" si="32">IF(K266=0,"",SUM(((J266-K266)/K266)*100))</f>
        <v>0</v>
      </c>
      <c r="M266" s="204">
        <f t="shared" ref="M266:M329" si="33">IF(J266=0,"",SUM((J266/CntYearAck)*100))</f>
        <v>1.072833472404339E-2</v>
      </c>
      <c r="N266" s="205">
        <f t="shared" ref="N266:N329" si="34">IF(K266=0,"",SUM((K266/CntPrevYearAck)*100))</f>
        <v>9.8166468515832068E-3</v>
      </c>
    </row>
    <row r="267" spans="1:14" hidden="1" outlineLevel="1">
      <c r="A267" s="196"/>
      <c r="B267" s="206" t="s">
        <v>941</v>
      </c>
      <c r="C267" s="202">
        <f t="shared" si="28"/>
        <v>-40</v>
      </c>
      <c r="E267" s="198">
        <v>1</v>
      </c>
      <c r="F267" s="199">
        <v>0</v>
      </c>
      <c r="G267" s="207" t="str">
        <f t="shared" si="29"/>
        <v/>
      </c>
      <c r="H267" s="204">
        <f t="shared" si="30"/>
        <v>4.8576702613426599E-3</v>
      </c>
      <c r="I267" s="204" t="str">
        <f t="shared" si="31"/>
        <v/>
      </c>
      <c r="J267" s="198">
        <v>9</v>
      </c>
      <c r="K267" s="199">
        <v>15</v>
      </c>
      <c r="L267" s="207">
        <f t="shared" si="32"/>
        <v>-40</v>
      </c>
      <c r="M267" s="204">
        <f t="shared" si="33"/>
        <v>1.072833472404339E-2</v>
      </c>
      <c r="N267" s="205">
        <f t="shared" si="34"/>
        <v>1.6361078085972012E-2</v>
      </c>
    </row>
    <row r="268" spans="1:14" hidden="1" outlineLevel="1">
      <c r="A268" s="196"/>
      <c r="B268" s="206" t="s">
        <v>938</v>
      </c>
      <c r="C268" s="202">
        <f t="shared" si="28"/>
        <v>-100</v>
      </c>
      <c r="E268" s="198">
        <v>0</v>
      </c>
      <c r="F268" s="199">
        <v>11</v>
      </c>
      <c r="G268" s="207">
        <f t="shared" si="29"/>
        <v>-100</v>
      </c>
      <c r="H268" s="204" t="str">
        <f t="shared" si="30"/>
        <v/>
      </c>
      <c r="I268" s="204">
        <f t="shared" si="31"/>
        <v>5.0132166621091961E-2</v>
      </c>
      <c r="J268" s="198">
        <v>0</v>
      </c>
      <c r="K268" s="199">
        <v>45</v>
      </c>
      <c r="L268" s="207">
        <f t="shared" si="32"/>
        <v>-100</v>
      </c>
      <c r="M268" s="204" t="str">
        <f t="shared" si="33"/>
        <v/>
      </c>
      <c r="N268" s="205">
        <f t="shared" si="34"/>
        <v>4.9083234257916032E-2</v>
      </c>
    </row>
    <row r="269" spans="1:14" hidden="1" outlineLevel="1">
      <c r="A269" s="196"/>
      <c r="B269" s="206" t="s">
        <v>940</v>
      </c>
      <c r="C269" s="202">
        <f t="shared" si="28"/>
        <v>-100</v>
      </c>
      <c r="E269" s="198">
        <v>0</v>
      </c>
      <c r="F269" s="199">
        <v>1</v>
      </c>
      <c r="G269" s="207">
        <f t="shared" si="29"/>
        <v>-100</v>
      </c>
      <c r="H269" s="204" t="str">
        <f t="shared" si="30"/>
        <v/>
      </c>
      <c r="I269" s="204">
        <f t="shared" si="31"/>
        <v>4.5574696928265424E-3</v>
      </c>
      <c r="J269" s="198">
        <v>0</v>
      </c>
      <c r="K269" s="199">
        <v>14</v>
      </c>
      <c r="L269" s="207">
        <f t="shared" si="32"/>
        <v>-100</v>
      </c>
      <c r="M269" s="204" t="str">
        <f t="shared" si="33"/>
        <v/>
      </c>
      <c r="N269" s="205">
        <f t="shared" si="34"/>
        <v>1.5270339546907211E-2</v>
      </c>
    </row>
    <row r="270" spans="1:14" collapsed="1">
      <c r="A270" s="196" t="s">
        <v>1239</v>
      </c>
      <c r="B270" s="195" t="s">
        <v>1109</v>
      </c>
      <c r="C270" s="202" t="str">
        <f t="shared" si="28"/>
        <v/>
      </c>
      <c r="E270" s="198">
        <v>256</v>
      </c>
      <c r="F270" s="199">
        <v>0</v>
      </c>
      <c r="G270" s="207" t="str">
        <f t="shared" si="29"/>
        <v/>
      </c>
      <c r="H270" s="204">
        <f t="shared" si="30"/>
        <v>1.2435635869037209</v>
      </c>
      <c r="I270" s="204" t="str">
        <f t="shared" si="31"/>
        <v/>
      </c>
      <c r="J270" s="198">
        <v>704</v>
      </c>
      <c r="K270" s="199">
        <v>0</v>
      </c>
      <c r="L270" s="207" t="str">
        <f t="shared" si="32"/>
        <v/>
      </c>
      <c r="M270" s="204">
        <f t="shared" si="33"/>
        <v>0.83919418285850511</v>
      </c>
      <c r="N270" s="205" t="str">
        <f t="shared" si="34"/>
        <v/>
      </c>
    </row>
    <row r="271" spans="1:14" hidden="1" outlineLevel="1">
      <c r="A271" s="196"/>
      <c r="B271" s="206" t="s">
        <v>1110</v>
      </c>
      <c r="C271" s="202" t="str">
        <f t="shared" si="28"/>
        <v/>
      </c>
      <c r="E271" s="198">
        <v>106</v>
      </c>
      <c r="F271" s="199">
        <v>0</v>
      </c>
      <c r="G271" s="207" t="str">
        <f t="shared" si="29"/>
        <v/>
      </c>
      <c r="H271" s="204">
        <f t="shared" si="30"/>
        <v>0.51491304770232194</v>
      </c>
      <c r="I271" s="204" t="str">
        <f t="shared" si="31"/>
        <v/>
      </c>
      <c r="J271" s="198">
        <v>307</v>
      </c>
      <c r="K271" s="199">
        <v>0</v>
      </c>
      <c r="L271" s="207" t="str">
        <f t="shared" si="32"/>
        <v/>
      </c>
      <c r="M271" s="204">
        <f t="shared" si="33"/>
        <v>0.36595541780903562</v>
      </c>
      <c r="N271" s="205" t="str">
        <f t="shared" si="34"/>
        <v/>
      </c>
    </row>
    <row r="272" spans="1:14" hidden="1" outlineLevel="1">
      <c r="A272" s="196"/>
      <c r="B272" s="206" t="s">
        <v>1111</v>
      </c>
      <c r="C272" s="202" t="str">
        <f t="shared" si="28"/>
        <v/>
      </c>
      <c r="E272" s="198">
        <v>86</v>
      </c>
      <c r="F272" s="199">
        <v>0</v>
      </c>
      <c r="G272" s="207" t="str">
        <f t="shared" si="29"/>
        <v/>
      </c>
      <c r="H272" s="204">
        <f t="shared" si="30"/>
        <v>0.41775964247546876</v>
      </c>
      <c r="I272" s="204" t="str">
        <f t="shared" si="31"/>
        <v/>
      </c>
      <c r="J272" s="198">
        <v>261</v>
      </c>
      <c r="K272" s="199">
        <v>0</v>
      </c>
      <c r="L272" s="207" t="str">
        <f t="shared" si="32"/>
        <v/>
      </c>
      <c r="M272" s="204">
        <f t="shared" si="33"/>
        <v>0.31112170699725833</v>
      </c>
      <c r="N272" s="205" t="str">
        <f t="shared" si="34"/>
        <v/>
      </c>
    </row>
    <row r="273" spans="1:14" hidden="1" outlineLevel="1">
      <c r="A273" s="196"/>
      <c r="B273" s="206" t="s">
        <v>921</v>
      </c>
      <c r="C273" s="202" t="str">
        <f t="shared" si="28"/>
        <v/>
      </c>
      <c r="E273" s="198">
        <v>62</v>
      </c>
      <c r="F273" s="199">
        <v>0</v>
      </c>
      <c r="G273" s="207" t="str">
        <f t="shared" si="29"/>
        <v/>
      </c>
      <c r="H273" s="204">
        <f t="shared" si="30"/>
        <v>0.30117555620324493</v>
      </c>
      <c r="I273" s="204" t="str">
        <f t="shared" si="31"/>
        <v/>
      </c>
      <c r="J273" s="198">
        <v>109</v>
      </c>
      <c r="K273" s="199">
        <v>0</v>
      </c>
      <c r="L273" s="207" t="str">
        <f t="shared" si="32"/>
        <v/>
      </c>
      <c r="M273" s="204">
        <f t="shared" si="33"/>
        <v>0.12993205388008106</v>
      </c>
      <c r="N273" s="205" t="str">
        <f t="shared" si="34"/>
        <v/>
      </c>
    </row>
    <row r="274" spans="1:14" hidden="1" outlineLevel="1">
      <c r="A274" s="196"/>
      <c r="B274" s="206" t="s">
        <v>924</v>
      </c>
      <c r="C274" s="202" t="str">
        <f t="shared" si="28"/>
        <v/>
      </c>
      <c r="E274" s="198">
        <v>2</v>
      </c>
      <c r="F274" s="199">
        <v>0</v>
      </c>
      <c r="G274" s="207" t="str">
        <f t="shared" si="29"/>
        <v/>
      </c>
      <c r="H274" s="204">
        <f t="shared" si="30"/>
        <v>9.7153405226853198E-3</v>
      </c>
      <c r="I274" s="204" t="str">
        <f t="shared" si="31"/>
        <v/>
      </c>
      <c r="J274" s="198">
        <v>27</v>
      </c>
      <c r="K274" s="199">
        <v>0</v>
      </c>
      <c r="L274" s="207" t="str">
        <f t="shared" si="32"/>
        <v/>
      </c>
      <c r="M274" s="204">
        <f t="shared" si="33"/>
        <v>3.2185004172130167E-2</v>
      </c>
      <c r="N274" s="205" t="str">
        <f t="shared" si="34"/>
        <v/>
      </c>
    </row>
    <row r="275" spans="1:14" collapsed="1">
      <c r="A275" s="196" t="s">
        <v>1240</v>
      </c>
      <c r="B275" s="195" t="s">
        <v>290</v>
      </c>
      <c r="C275" s="202">
        <f t="shared" si="28"/>
        <v>-16.077953714981732</v>
      </c>
      <c r="E275" s="198">
        <v>169</v>
      </c>
      <c r="F275" s="199">
        <v>165</v>
      </c>
      <c r="G275" s="207">
        <f t="shared" si="29"/>
        <v>2.4242424242424243</v>
      </c>
      <c r="H275" s="204">
        <f t="shared" si="30"/>
        <v>0.82094627416690946</v>
      </c>
      <c r="I275" s="204">
        <f t="shared" si="31"/>
        <v>0.7519824993163795</v>
      </c>
      <c r="J275" s="198">
        <v>689</v>
      </c>
      <c r="K275" s="199">
        <v>821</v>
      </c>
      <c r="L275" s="207">
        <f t="shared" si="32"/>
        <v>-16.077953714981732</v>
      </c>
      <c r="M275" s="204">
        <f t="shared" si="33"/>
        <v>0.82131362498509952</v>
      </c>
      <c r="N275" s="205">
        <f t="shared" si="34"/>
        <v>0.89549634057220151</v>
      </c>
    </row>
    <row r="276" spans="1:14" hidden="1" outlineLevel="1">
      <c r="A276" s="196"/>
      <c r="B276" s="206" t="s">
        <v>953</v>
      </c>
      <c r="C276" s="202">
        <f t="shared" si="28"/>
        <v>3.3457249070631967</v>
      </c>
      <c r="E276" s="198">
        <v>141</v>
      </c>
      <c r="F276" s="199">
        <v>113</v>
      </c>
      <c r="G276" s="207">
        <f t="shared" si="29"/>
        <v>24.778761061946902</v>
      </c>
      <c r="H276" s="204">
        <f t="shared" si="30"/>
        <v>0.68493150684931503</v>
      </c>
      <c r="I276" s="204">
        <f t="shared" si="31"/>
        <v>0.51499407528939933</v>
      </c>
      <c r="J276" s="198">
        <v>556</v>
      </c>
      <c r="K276" s="199">
        <v>538</v>
      </c>
      <c r="L276" s="207">
        <f t="shared" si="32"/>
        <v>3.3457249070631967</v>
      </c>
      <c r="M276" s="204">
        <f t="shared" si="33"/>
        <v>0.66277267850756938</v>
      </c>
      <c r="N276" s="205">
        <f t="shared" si="34"/>
        <v>0.58681733401686287</v>
      </c>
    </row>
    <row r="277" spans="1:14" hidden="1" outlineLevel="1">
      <c r="A277" s="196"/>
      <c r="B277" s="206" t="s">
        <v>954</v>
      </c>
      <c r="C277" s="202">
        <f t="shared" si="28"/>
        <v>-42.543859649122808</v>
      </c>
      <c r="E277" s="198">
        <v>28</v>
      </c>
      <c r="F277" s="199">
        <v>40</v>
      </c>
      <c r="G277" s="207">
        <f t="shared" si="29"/>
        <v>-30</v>
      </c>
      <c r="H277" s="204">
        <f t="shared" si="30"/>
        <v>0.13601476731759449</v>
      </c>
      <c r="I277" s="204">
        <f t="shared" si="31"/>
        <v>0.18229878771306171</v>
      </c>
      <c r="J277" s="198">
        <v>131</v>
      </c>
      <c r="K277" s="199">
        <v>228</v>
      </c>
      <c r="L277" s="207">
        <f t="shared" si="32"/>
        <v>-42.543859649122808</v>
      </c>
      <c r="M277" s="204">
        <f t="shared" si="33"/>
        <v>0.15615687209440934</v>
      </c>
      <c r="N277" s="205">
        <f t="shared" si="34"/>
        <v>0.24868838690677458</v>
      </c>
    </row>
    <row r="278" spans="1:14" hidden="1" outlineLevel="1">
      <c r="A278" s="196"/>
      <c r="B278" s="206" t="s">
        <v>955</v>
      </c>
      <c r="C278" s="202">
        <f t="shared" si="28"/>
        <v>-96.36363636363636</v>
      </c>
      <c r="E278" s="198">
        <v>0</v>
      </c>
      <c r="F278" s="199">
        <v>12</v>
      </c>
      <c r="G278" s="207">
        <f t="shared" si="29"/>
        <v>-100</v>
      </c>
      <c r="H278" s="204" t="str">
        <f t="shared" si="30"/>
        <v/>
      </c>
      <c r="I278" s="204">
        <f t="shared" si="31"/>
        <v>5.4689636313918509E-2</v>
      </c>
      <c r="J278" s="198">
        <v>2</v>
      </c>
      <c r="K278" s="199">
        <v>55</v>
      </c>
      <c r="L278" s="207">
        <f t="shared" si="32"/>
        <v>-96.36363636363636</v>
      </c>
      <c r="M278" s="204">
        <f t="shared" si="33"/>
        <v>2.3840743831207534E-3</v>
      </c>
      <c r="N278" s="205">
        <f t="shared" si="34"/>
        <v>5.9990619648564045E-2</v>
      </c>
    </row>
    <row r="279" spans="1:14" collapsed="1">
      <c r="A279" s="196" t="s">
        <v>1187</v>
      </c>
      <c r="B279" s="195" t="s">
        <v>286</v>
      </c>
      <c r="C279" s="202">
        <f t="shared" si="28"/>
        <v>82.072829131652654</v>
      </c>
      <c r="E279" s="198">
        <v>196</v>
      </c>
      <c r="F279" s="199">
        <v>93</v>
      </c>
      <c r="G279" s="207">
        <f t="shared" si="29"/>
        <v>110.75268817204301</v>
      </c>
      <c r="H279" s="204">
        <f t="shared" si="30"/>
        <v>0.95210337122316135</v>
      </c>
      <c r="I279" s="204">
        <f t="shared" si="31"/>
        <v>0.42384468143286852</v>
      </c>
      <c r="J279" s="198">
        <v>650</v>
      </c>
      <c r="K279" s="199">
        <v>357</v>
      </c>
      <c r="L279" s="207">
        <f t="shared" si="32"/>
        <v>82.072829131652654</v>
      </c>
      <c r="M279" s="204">
        <f t="shared" si="33"/>
        <v>0.77482417451424479</v>
      </c>
      <c r="N279" s="205">
        <f t="shared" si="34"/>
        <v>0.38939365844613388</v>
      </c>
    </row>
    <row r="280" spans="1:14" hidden="1" outlineLevel="1">
      <c r="A280" s="196"/>
      <c r="B280" s="206" t="s">
        <v>980</v>
      </c>
      <c r="C280" s="202">
        <f t="shared" si="28"/>
        <v>80.536912751677846</v>
      </c>
      <c r="E280" s="198">
        <v>87</v>
      </c>
      <c r="F280" s="199">
        <v>44</v>
      </c>
      <c r="G280" s="207">
        <f t="shared" si="29"/>
        <v>97.727272727272734</v>
      </c>
      <c r="H280" s="204">
        <f t="shared" si="30"/>
        <v>0.42261731273681141</v>
      </c>
      <c r="I280" s="204">
        <f t="shared" si="31"/>
        <v>0.20052866648436785</v>
      </c>
      <c r="J280" s="198">
        <v>269</v>
      </c>
      <c r="K280" s="199">
        <v>149</v>
      </c>
      <c r="L280" s="207">
        <f t="shared" si="32"/>
        <v>80.536912751677846</v>
      </c>
      <c r="M280" s="204">
        <f t="shared" si="33"/>
        <v>0.3206580045297413</v>
      </c>
      <c r="N280" s="205">
        <f t="shared" si="34"/>
        <v>0.16252004232065531</v>
      </c>
    </row>
    <row r="281" spans="1:14" hidden="1" outlineLevel="1">
      <c r="A281" s="196"/>
      <c r="B281" s="206" t="s">
        <v>286</v>
      </c>
      <c r="C281" s="202">
        <f t="shared" si="28"/>
        <v>13.690476190476192</v>
      </c>
      <c r="E281" s="198">
        <v>50</v>
      </c>
      <c r="F281" s="199">
        <v>36</v>
      </c>
      <c r="G281" s="207">
        <f t="shared" si="29"/>
        <v>38.888888888888893</v>
      </c>
      <c r="H281" s="204">
        <f t="shared" si="30"/>
        <v>0.24288351306713299</v>
      </c>
      <c r="I281" s="204">
        <f t="shared" si="31"/>
        <v>0.16406890894175555</v>
      </c>
      <c r="J281" s="198">
        <v>191</v>
      </c>
      <c r="K281" s="199">
        <v>168</v>
      </c>
      <c r="L281" s="207">
        <f t="shared" si="32"/>
        <v>13.690476190476192</v>
      </c>
      <c r="M281" s="204">
        <f t="shared" si="33"/>
        <v>0.22767910358803192</v>
      </c>
      <c r="N281" s="205">
        <f t="shared" si="34"/>
        <v>0.18324407456288655</v>
      </c>
    </row>
    <row r="282" spans="1:14" hidden="1" outlineLevel="1">
      <c r="A282" s="196"/>
      <c r="B282" s="206" t="s">
        <v>1066</v>
      </c>
      <c r="C282" s="202" t="str">
        <f t="shared" si="28"/>
        <v/>
      </c>
      <c r="E282" s="198">
        <v>33</v>
      </c>
      <c r="F282" s="199">
        <v>0</v>
      </c>
      <c r="G282" s="207" t="str">
        <f t="shared" si="29"/>
        <v/>
      </c>
      <c r="H282" s="204">
        <f t="shared" si="30"/>
        <v>0.16030311862430779</v>
      </c>
      <c r="I282" s="204" t="str">
        <f t="shared" si="31"/>
        <v/>
      </c>
      <c r="J282" s="198">
        <v>100</v>
      </c>
      <c r="K282" s="199">
        <v>0</v>
      </c>
      <c r="L282" s="207" t="str">
        <f t="shared" si="32"/>
        <v/>
      </c>
      <c r="M282" s="204">
        <f t="shared" si="33"/>
        <v>0.11920371915603767</v>
      </c>
      <c r="N282" s="205" t="str">
        <f t="shared" si="34"/>
        <v/>
      </c>
    </row>
    <row r="283" spans="1:14" hidden="1" outlineLevel="1">
      <c r="A283" s="196"/>
      <c r="B283" s="206" t="s">
        <v>982</v>
      </c>
      <c r="C283" s="202">
        <f t="shared" si="28"/>
        <v>387.5</v>
      </c>
      <c r="E283" s="198">
        <v>14</v>
      </c>
      <c r="F283" s="199">
        <v>7</v>
      </c>
      <c r="G283" s="207">
        <f t="shared" si="29"/>
        <v>100</v>
      </c>
      <c r="H283" s="204">
        <f t="shared" si="30"/>
        <v>6.8007383658797244E-2</v>
      </c>
      <c r="I283" s="204">
        <f t="shared" si="31"/>
        <v>3.1902287849785799E-2</v>
      </c>
      <c r="J283" s="198">
        <v>78</v>
      </c>
      <c r="K283" s="199">
        <v>16</v>
      </c>
      <c r="L283" s="207">
        <f t="shared" si="32"/>
        <v>387.5</v>
      </c>
      <c r="M283" s="204">
        <f t="shared" si="33"/>
        <v>9.297890094170938E-2</v>
      </c>
      <c r="N283" s="205">
        <f t="shared" si="34"/>
        <v>1.7451816625036812E-2</v>
      </c>
    </row>
    <row r="284" spans="1:14" hidden="1" outlineLevel="1">
      <c r="A284" s="196"/>
      <c r="B284" s="206" t="s">
        <v>1241</v>
      </c>
      <c r="C284" s="202" t="str">
        <f t="shared" si="28"/>
        <v/>
      </c>
      <c r="E284" s="198">
        <v>12</v>
      </c>
      <c r="F284" s="199">
        <v>0</v>
      </c>
      <c r="G284" s="207" t="str">
        <f t="shared" si="29"/>
        <v/>
      </c>
      <c r="H284" s="204">
        <f t="shared" si="30"/>
        <v>5.8292043136111922E-2</v>
      </c>
      <c r="I284" s="204" t="str">
        <f t="shared" si="31"/>
        <v/>
      </c>
      <c r="J284" s="198">
        <v>12</v>
      </c>
      <c r="K284" s="199">
        <v>0</v>
      </c>
      <c r="L284" s="207" t="str">
        <f t="shared" si="32"/>
        <v/>
      </c>
      <c r="M284" s="204">
        <f t="shared" si="33"/>
        <v>1.4304446298724519E-2</v>
      </c>
      <c r="N284" s="205" t="str">
        <f t="shared" si="34"/>
        <v/>
      </c>
    </row>
    <row r="285" spans="1:14" hidden="1" outlineLevel="1">
      <c r="A285" s="196"/>
      <c r="B285" s="206" t="s">
        <v>981</v>
      </c>
      <c r="C285" s="202">
        <f t="shared" si="28"/>
        <v>-100</v>
      </c>
      <c r="E285" s="198">
        <v>0</v>
      </c>
      <c r="F285" s="199">
        <v>6</v>
      </c>
      <c r="G285" s="207">
        <f t="shared" si="29"/>
        <v>-100</v>
      </c>
      <c r="H285" s="204" t="str">
        <f t="shared" si="30"/>
        <v/>
      </c>
      <c r="I285" s="204">
        <f t="shared" si="31"/>
        <v>2.7344818156959255E-2</v>
      </c>
      <c r="J285" s="198">
        <v>0</v>
      </c>
      <c r="K285" s="199">
        <v>22</v>
      </c>
      <c r="L285" s="207">
        <f t="shared" si="32"/>
        <v>-100</v>
      </c>
      <c r="M285" s="204" t="str">
        <f t="shared" si="33"/>
        <v/>
      </c>
      <c r="N285" s="205">
        <f t="shared" si="34"/>
        <v>2.3996247859425616E-2</v>
      </c>
    </row>
    <row r="286" spans="1:14" hidden="1" outlineLevel="1">
      <c r="A286" s="196"/>
      <c r="B286" s="206" t="s">
        <v>983</v>
      </c>
      <c r="C286" s="202">
        <f t="shared" si="28"/>
        <v>-100</v>
      </c>
      <c r="E286" s="198">
        <v>0</v>
      </c>
      <c r="F286" s="199">
        <v>0</v>
      </c>
      <c r="G286" s="207" t="str">
        <f t="shared" si="29"/>
        <v/>
      </c>
      <c r="H286" s="204" t="str">
        <f t="shared" si="30"/>
        <v/>
      </c>
      <c r="I286" s="204" t="str">
        <f t="shared" si="31"/>
        <v/>
      </c>
      <c r="J286" s="198">
        <v>0</v>
      </c>
      <c r="K286" s="199">
        <v>2</v>
      </c>
      <c r="L286" s="207">
        <f t="shared" si="32"/>
        <v>-100</v>
      </c>
      <c r="M286" s="204" t="str">
        <f t="shared" si="33"/>
        <v/>
      </c>
      <c r="N286" s="205">
        <f t="shared" si="34"/>
        <v>2.1814770781296016E-3</v>
      </c>
    </row>
    <row r="287" spans="1:14" collapsed="1">
      <c r="A287" s="196" t="s">
        <v>1242</v>
      </c>
      <c r="B287" s="195" t="s">
        <v>334</v>
      </c>
      <c r="C287" s="202">
        <f t="shared" si="28"/>
        <v>-61.870929544108947</v>
      </c>
      <c r="E287" s="198">
        <v>120</v>
      </c>
      <c r="F287" s="199">
        <v>498</v>
      </c>
      <c r="G287" s="207">
        <f t="shared" si="29"/>
        <v>-75.903614457831324</v>
      </c>
      <c r="H287" s="204">
        <f t="shared" si="30"/>
        <v>0.58292043136111915</v>
      </c>
      <c r="I287" s="204">
        <f t="shared" si="31"/>
        <v>2.269619907027618</v>
      </c>
      <c r="J287" s="198">
        <v>644</v>
      </c>
      <c r="K287" s="199">
        <v>1689</v>
      </c>
      <c r="L287" s="207">
        <f t="shared" si="32"/>
        <v>-61.870929544108947</v>
      </c>
      <c r="M287" s="204">
        <f t="shared" si="33"/>
        <v>0.76767195136488264</v>
      </c>
      <c r="N287" s="205">
        <f t="shared" si="34"/>
        <v>1.8422573924804484</v>
      </c>
    </row>
    <row r="288" spans="1:14" hidden="1" outlineLevel="1">
      <c r="A288" s="196"/>
      <c r="B288" s="206">
        <v>2</v>
      </c>
      <c r="C288" s="202">
        <f t="shared" si="28"/>
        <v>-61.757719714964367</v>
      </c>
      <c r="E288" s="198">
        <v>120</v>
      </c>
      <c r="F288" s="199">
        <v>496</v>
      </c>
      <c r="G288" s="207">
        <f t="shared" si="29"/>
        <v>-75.806451612903231</v>
      </c>
      <c r="H288" s="204">
        <f t="shared" si="30"/>
        <v>0.58292043136111915</v>
      </c>
      <c r="I288" s="204">
        <f t="shared" si="31"/>
        <v>2.2605049676419653</v>
      </c>
      <c r="J288" s="198">
        <v>644</v>
      </c>
      <c r="K288" s="199">
        <v>1684</v>
      </c>
      <c r="L288" s="207">
        <f t="shared" si="32"/>
        <v>-61.757719714964367</v>
      </c>
      <c r="M288" s="204">
        <f t="shared" si="33"/>
        <v>0.76767195136488264</v>
      </c>
      <c r="N288" s="205">
        <f t="shared" si="34"/>
        <v>1.8368036997851243</v>
      </c>
    </row>
    <row r="289" spans="1:14" hidden="1" outlineLevel="1">
      <c r="A289" s="196"/>
      <c r="B289" s="206">
        <v>1</v>
      </c>
      <c r="C289" s="202">
        <f t="shared" si="28"/>
        <v>-100</v>
      </c>
      <c r="E289" s="198">
        <v>0</v>
      </c>
      <c r="F289" s="199">
        <v>2</v>
      </c>
      <c r="G289" s="207">
        <f t="shared" si="29"/>
        <v>-100</v>
      </c>
      <c r="H289" s="204" t="str">
        <f t="shared" si="30"/>
        <v/>
      </c>
      <c r="I289" s="204">
        <f t="shared" si="31"/>
        <v>9.1149393856530848E-3</v>
      </c>
      <c r="J289" s="198">
        <v>0</v>
      </c>
      <c r="K289" s="199">
        <v>5</v>
      </c>
      <c r="L289" s="207">
        <f t="shared" si="32"/>
        <v>-100</v>
      </c>
      <c r="M289" s="204" t="str">
        <f t="shared" si="33"/>
        <v/>
      </c>
      <c r="N289" s="205">
        <f t="shared" si="34"/>
        <v>5.4536926953240037E-3</v>
      </c>
    </row>
    <row r="290" spans="1:14" collapsed="1">
      <c r="A290" s="196" t="s">
        <v>1243</v>
      </c>
      <c r="B290" s="195" t="s">
        <v>276</v>
      </c>
      <c r="C290" s="202">
        <f t="shared" si="28"/>
        <v>-32.752992383025024</v>
      </c>
      <c r="E290" s="198">
        <v>202</v>
      </c>
      <c r="F290" s="199">
        <v>386</v>
      </c>
      <c r="G290" s="207">
        <f t="shared" si="29"/>
        <v>-47.668393782383419</v>
      </c>
      <c r="H290" s="204">
        <f t="shared" si="30"/>
        <v>0.98124939279121726</v>
      </c>
      <c r="I290" s="204">
        <f t="shared" si="31"/>
        <v>1.7591833014310454</v>
      </c>
      <c r="J290" s="198">
        <v>618</v>
      </c>
      <c r="K290" s="199">
        <v>919</v>
      </c>
      <c r="L290" s="207">
        <f t="shared" si="32"/>
        <v>-32.752992383025024</v>
      </c>
      <c r="M290" s="204">
        <f t="shared" si="33"/>
        <v>0.73667898438431278</v>
      </c>
      <c r="N290" s="205">
        <f t="shared" si="34"/>
        <v>1.0023887174005519</v>
      </c>
    </row>
    <row r="291" spans="1:14" hidden="1" outlineLevel="1">
      <c r="A291" s="196"/>
      <c r="B291" s="206" t="s">
        <v>943</v>
      </c>
      <c r="C291" s="202">
        <f t="shared" si="28"/>
        <v>-36.50075414781297</v>
      </c>
      <c r="E291" s="198">
        <v>184</v>
      </c>
      <c r="F291" s="199">
        <v>315</v>
      </c>
      <c r="G291" s="207">
        <f t="shared" si="29"/>
        <v>-41.587301587301589</v>
      </c>
      <c r="H291" s="204">
        <f t="shared" si="30"/>
        <v>0.89381132808704944</v>
      </c>
      <c r="I291" s="204">
        <f t="shared" si="31"/>
        <v>1.4356029532403609</v>
      </c>
      <c r="J291" s="198">
        <v>421</v>
      </c>
      <c r="K291" s="199">
        <v>663</v>
      </c>
      <c r="L291" s="207">
        <f t="shared" si="32"/>
        <v>-36.50075414781297</v>
      </c>
      <c r="M291" s="204">
        <f t="shared" si="33"/>
        <v>0.50184765764691863</v>
      </c>
      <c r="N291" s="205">
        <f t="shared" si="34"/>
        <v>0.72315965139996297</v>
      </c>
    </row>
    <row r="292" spans="1:14" hidden="1" outlineLevel="1">
      <c r="A292" s="196"/>
      <c r="B292" s="206" t="s">
        <v>944</v>
      </c>
      <c r="C292" s="202">
        <f t="shared" si="28"/>
        <v>10300</v>
      </c>
      <c r="E292" s="198">
        <v>5</v>
      </c>
      <c r="F292" s="199">
        <v>0</v>
      </c>
      <c r="G292" s="207" t="str">
        <f t="shared" si="29"/>
        <v/>
      </c>
      <c r="H292" s="204">
        <f t="shared" si="30"/>
        <v>2.42883513067133E-2</v>
      </c>
      <c r="I292" s="204" t="str">
        <f t="shared" si="31"/>
        <v/>
      </c>
      <c r="J292" s="198">
        <v>104</v>
      </c>
      <c r="K292" s="199">
        <v>1</v>
      </c>
      <c r="L292" s="207">
        <f t="shared" si="32"/>
        <v>10300</v>
      </c>
      <c r="M292" s="204">
        <f t="shared" si="33"/>
        <v>0.12397186792227918</v>
      </c>
      <c r="N292" s="205">
        <f t="shared" si="34"/>
        <v>1.0907385390648008E-3</v>
      </c>
    </row>
    <row r="293" spans="1:14" hidden="1" outlineLevel="1">
      <c r="A293" s="196"/>
      <c r="B293" s="206">
        <v>500</v>
      </c>
      <c r="C293" s="202">
        <f t="shared" si="28"/>
        <v>-62.240663900414937</v>
      </c>
      <c r="E293" s="198">
        <v>12</v>
      </c>
      <c r="F293" s="199">
        <v>71</v>
      </c>
      <c r="G293" s="207">
        <f t="shared" si="29"/>
        <v>-83.098591549295776</v>
      </c>
      <c r="H293" s="204">
        <f t="shared" si="30"/>
        <v>5.8292043136111922E-2</v>
      </c>
      <c r="I293" s="204">
        <f t="shared" si="31"/>
        <v>0.32358034819068454</v>
      </c>
      <c r="J293" s="198">
        <v>91</v>
      </c>
      <c r="K293" s="199">
        <v>241</v>
      </c>
      <c r="L293" s="207">
        <f t="shared" si="32"/>
        <v>-62.240663900414937</v>
      </c>
      <c r="M293" s="204">
        <f t="shared" si="33"/>
        <v>0.10847538443199428</v>
      </c>
      <c r="N293" s="205">
        <f t="shared" si="34"/>
        <v>0.26286798791461702</v>
      </c>
    </row>
    <row r="294" spans="1:14" hidden="1" outlineLevel="1">
      <c r="A294" s="196"/>
      <c r="B294" s="206" t="s">
        <v>945</v>
      </c>
      <c r="C294" s="202">
        <f t="shared" si="28"/>
        <v>-85.714285714285708</v>
      </c>
      <c r="E294" s="198">
        <v>1</v>
      </c>
      <c r="F294" s="199">
        <v>0</v>
      </c>
      <c r="G294" s="207" t="str">
        <f t="shared" si="29"/>
        <v/>
      </c>
      <c r="H294" s="204">
        <f t="shared" si="30"/>
        <v>4.8576702613426599E-3</v>
      </c>
      <c r="I294" s="204" t="str">
        <f t="shared" si="31"/>
        <v/>
      </c>
      <c r="J294" s="198">
        <v>2</v>
      </c>
      <c r="K294" s="199">
        <v>14</v>
      </c>
      <c r="L294" s="207">
        <f t="shared" si="32"/>
        <v>-85.714285714285708</v>
      </c>
      <c r="M294" s="204">
        <f t="shared" si="33"/>
        <v>2.3840743831207534E-3</v>
      </c>
      <c r="N294" s="205">
        <f t="shared" si="34"/>
        <v>1.5270339546907211E-2</v>
      </c>
    </row>
    <row r="295" spans="1:14" collapsed="1">
      <c r="A295" s="196" t="s">
        <v>1244</v>
      </c>
      <c r="B295" s="195" t="s">
        <v>956</v>
      </c>
      <c r="C295" s="202">
        <f t="shared" si="28"/>
        <v>-12.386706948640484</v>
      </c>
      <c r="E295" s="198">
        <v>143</v>
      </c>
      <c r="F295" s="199">
        <v>211</v>
      </c>
      <c r="G295" s="207">
        <f t="shared" si="29"/>
        <v>-32.227488151658768</v>
      </c>
      <c r="H295" s="204">
        <f t="shared" si="30"/>
        <v>0.69464684737200044</v>
      </c>
      <c r="I295" s="204">
        <f t="shared" si="31"/>
        <v>0.96162610518640057</v>
      </c>
      <c r="J295" s="198">
        <v>580</v>
      </c>
      <c r="K295" s="199">
        <v>662</v>
      </c>
      <c r="L295" s="207">
        <f t="shared" si="32"/>
        <v>-12.386706948640484</v>
      </c>
      <c r="M295" s="204">
        <f t="shared" si="33"/>
        <v>0.69138157110501852</v>
      </c>
      <c r="N295" s="205">
        <f t="shared" si="34"/>
        <v>0.72206891286089814</v>
      </c>
    </row>
    <row r="296" spans="1:14" hidden="1" outlineLevel="1">
      <c r="A296" s="196"/>
      <c r="B296" s="206" t="s">
        <v>957</v>
      </c>
      <c r="C296" s="202">
        <f t="shared" si="28"/>
        <v>-12.386706948640484</v>
      </c>
      <c r="E296" s="198">
        <v>143</v>
      </c>
      <c r="F296" s="199">
        <v>211</v>
      </c>
      <c r="G296" s="207">
        <f t="shared" si="29"/>
        <v>-32.227488151658768</v>
      </c>
      <c r="H296" s="204">
        <f t="shared" si="30"/>
        <v>0.69464684737200044</v>
      </c>
      <c r="I296" s="204">
        <f t="shared" si="31"/>
        <v>0.96162610518640057</v>
      </c>
      <c r="J296" s="198">
        <v>580</v>
      </c>
      <c r="K296" s="199">
        <v>662</v>
      </c>
      <c r="L296" s="207">
        <f t="shared" si="32"/>
        <v>-12.386706948640484</v>
      </c>
      <c r="M296" s="204">
        <f t="shared" si="33"/>
        <v>0.69138157110501852</v>
      </c>
      <c r="N296" s="205">
        <f t="shared" si="34"/>
        <v>0.72206891286089814</v>
      </c>
    </row>
    <row r="297" spans="1:14" collapsed="1">
      <c r="A297" s="196" t="s">
        <v>1188</v>
      </c>
      <c r="B297" s="195" t="s">
        <v>301</v>
      </c>
      <c r="C297" s="202">
        <f t="shared" si="28"/>
        <v>-54.772393538913363</v>
      </c>
      <c r="E297" s="198">
        <v>84</v>
      </c>
      <c r="F297" s="199">
        <v>165</v>
      </c>
      <c r="G297" s="207">
        <f t="shared" si="29"/>
        <v>-49.090909090909093</v>
      </c>
      <c r="H297" s="204">
        <f t="shared" si="30"/>
        <v>0.40804430195278346</v>
      </c>
      <c r="I297" s="204">
        <f t="shared" si="31"/>
        <v>0.7519824993163795</v>
      </c>
      <c r="J297" s="198">
        <v>308</v>
      </c>
      <c r="K297" s="199">
        <v>681</v>
      </c>
      <c r="L297" s="207">
        <f t="shared" si="32"/>
        <v>-54.772393538913363</v>
      </c>
      <c r="M297" s="204">
        <f t="shared" si="33"/>
        <v>0.36714745500059603</v>
      </c>
      <c r="N297" s="205">
        <f t="shared" si="34"/>
        <v>0.74279294510312932</v>
      </c>
    </row>
    <row r="298" spans="1:14" hidden="1" outlineLevel="1">
      <c r="A298" s="196"/>
      <c r="B298" s="206" t="s">
        <v>962</v>
      </c>
      <c r="C298" s="202">
        <f t="shared" si="28"/>
        <v>-58.035714285714292</v>
      </c>
      <c r="E298" s="198">
        <v>15</v>
      </c>
      <c r="F298" s="199">
        <v>45</v>
      </c>
      <c r="G298" s="207">
        <f t="shared" si="29"/>
        <v>-66.666666666666657</v>
      </c>
      <c r="H298" s="204">
        <f t="shared" si="30"/>
        <v>7.2865053920139894E-2</v>
      </c>
      <c r="I298" s="204">
        <f t="shared" si="31"/>
        <v>0.20508613617719443</v>
      </c>
      <c r="J298" s="198">
        <v>94</v>
      </c>
      <c r="K298" s="199">
        <v>224</v>
      </c>
      <c r="L298" s="207">
        <f t="shared" si="32"/>
        <v>-58.035714285714292</v>
      </c>
      <c r="M298" s="204">
        <f t="shared" si="33"/>
        <v>0.11205149600667541</v>
      </c>
      <c r="N298" s="205">
        <f t="shared" si="34"/>
        <v>0.24432543275051538</v>
      </c>
    </row>
    <row r="299" spans="1:14" hidden="1" outlineLevel="1">
      <c r="A299" s="196"/>
      <c r="B299" s="206" t="s">
        <v>965</v>
      </c>
      <c r="C299" s="202">
        <f t="shared" si="28"/>
        <v>-13.793103448275861</v>
      </c>
      <c r="E299" s="198">
        <v>13</v>
      </c>
      <c r="F299" s="199">
        <v>27</v>
      </c>
      <c r="G299" s="207">
        <f t="shared" si="29"/>
        <v>-51.851851851851848</v>
      </c>
      <c r="H299" s="204">
        <f t="shared" si="30"/>
        <v>6.3149713397454579E-2</v>
      </c>
      <c r="I299" s="204">
        <f t="shared" si="31"/>
        <v>0.12305168170631665</v>
      </c>
      <c r="J299" s="198">
        <v>75</v>
      </c>
      <c r="K299" s="199">
        <v>87</v>
      </c>
      <c r="L299" s="207">
        <f t="shared" si="32"/>
        <v>-13.793103448275861</v>
      </c>
      <c r="M299" s="204">
        <f t="shared" si="33"/>
        <v>8.9402789367028251E-2</v>
      </c>
      <c r="N299" s="205">
        <f t="shared" si="34"/>
        <v>9.4894252898637663E-2</v>
      </c>
    </row>
    <row r="300" spans="1:14" hidden="1" outlineLevel="1">
      <c r="A300" s="196"/>
      <c r="B300" s="206" t="s">
        <v>963</v>
      </c>
      <c r="C300" s="202">
        <f t="shared" si="28"/>
        <v>-64.467005076142129</v>
      </c>
      <c r="E300" s="198">
        <v>21</v>
      </c>
      <c r="F300" s="199">
        <v>52</v>
      </c>
      <c r="G300" s="207">
        <f t="shared" si="29"/>
        <v>-59.615384615384613</v>
      </c>
      <c r="H300" s="204">
        <f t="shared" si="30"/>
        <v>0.10201107548819587</v>
      </c>
      <c r="I300" s="204">
        <f t="shared" si="31"/>
        <v>0.23698842402698023</v>
      </c>
      <c r="J300" s="198">
        <v>70</v>
      </c>
      <c r="K300" s="199">
        <v>197</v>
      </c>
      <c r="L300" s="207">
        <f t="shared" si="32"/>
        <v>-64.467005076142129</v>
      </c>
      <c r="M300" s="204">
        <f t="shared" si="33"/>
        <v>8.3442603409226365E-2</v>
      </c>
      <c r="N300" s="205">
        <f t="shared" si="34"/>
        <v>0.21487549219576574</v>
      </c>
    </row>
    <row r="301" spans="1:14" hidden="1" outlineLevel="1">
      <c r="A301" s="196"/>
      <c r="B301" s="206" t="s">
        <v>964</v>
      </c>
      <c r="C301" s="202">
        <f t="shared" si="28"/>
        <v>-57.664233576642332</v>
      </c>
      <c r="E301" s="198">
        <v>32</v>
      </c>
      <c r="F301" s="199">
        <v>22</v>
      </c>
      <c r="G301" s="207">
        <f t="shared" si="29"/>
        <v>45.454545454545453</v>
      </c>
      <c r="H301" s="204">
        <f t="shared" si="30"/>
        <v>0.15544544836296512</v>
      </c>
      <c r="I301" s="204">
        <f t="shared" si="31"/>
        <v>0.10026433324218392</v>
      </c>
      <c r="J301" s="198">
        <v>58</v>
      </c>
      <c r="K301" s="199">
        <v>137</v>
      </c>
      <c r="L301" s="207">
        <f t="shared" si="32"/>
        <v>-57.664233576642332</v>
      </c>
      <c r="M301" s="204">
        <f t="shared" si="33"/>
        <v>6.9138157110501849E-2</v>
      </c>
      <c r="N301" s="205">
        <f t="shared" si="34"/>
        <v>0.1494311798518777</v>
      </c>
    </row>
    <row r="302" spans="1:14" hidden="1" outlineLevel="1">
      <c r="A302" s="196"/>
      <c r="B302" s="206" t="s">
        <v>966</v>
      </c>
      <c r="C302" s="202">
        <f t="shared" si="28"/>
        <v>-69.444444444444443</v>
      </c>
      <c r="E302" s="198">
        <v>3</v>
      </c>
      <c r="F302" s="199">
        <v>19</v>
      </c>
      <c r="G302" s="207">
        <f t="shared" si="29"/>
        <v>-84.210526315789465</v>
      </c>
      <c r="H302" s="204">
        <f t="shared" si="30"/>
        <v>1.4573010784027981E-2</v>
      </c>
      <c r="I302" s="204">
        <f t="shared" si="31"/>
        <v>8.6591924163704315E-2</v>
      </c>
      <c r="J302" s="198">
        <v>11</v>
      </c>
      <c r="K302" s="199">
        <v>36</v>
      </c>
      <c r="L302" s="207">
        <f t="shared" si="32"/>
        <v>-69.444444444444443</v>
      </c>
      <c r="M302" s="204">
        <f t="shared" si="33"/>
        <v>1.3112409107164142E-2</v>
      </c>
      <c r="N302" s="205">
        <f t="shared" si="34"/>
        <v>3.9266587406332827E-2</v>
      </c>
    </row>
    <row r="303" spans="1:14" collapsed="1">
      <c r="A303" s="196" t="s">
        <v>1245</v>
      </c>
      <c r="B303" s="195" t="s">
        <v>531</v>
      </c>
      <c r="C303" s="202" t="str">
        <f t="shared" si="28"/>
        <v/>
      </c>
      <c r="E303" s="198">
        <v>63</v>
      </c>
      <c r="F303" s="199">
        <v>0</v>
      </c>
      <c r="G303" s="207" t="str">
        <f t="shared" si="29"/>
        <v/>
      </c>
      <c r="H303" s="204">
        <f t="shared" si="30"/>
        <v>0.30603322646458758</v>
      </c>
      <c r="I303" s="204" t="str">
        <f t="shared" si="31"/>
        <v/>
      </c>
      <c r="J303" s="198">
        <v>270</v>
      </c>
      <c r="K303" s="199">
        <v>0</v>
      </c>
      <c r="L303" s="207" t="str">
        <f t="shared" si="32"/>
        <v/>
      </c>
      <c r="M303" s="204">
        <f t="shared" si="33"/>
        <v>0.32185004172130172</v>
      </c>
      <c r="N303" s="205" t="str">
        <f t="shared" si="34"/>
        <v/>
      </c>
    </row>
    <row r="304" spans="1:14" hidden="1" outlineLevel="1">
      <c r="A304" s="196"/>
      <c r="B304" s="206" t="s">
        <v>1067</v>
      </c>
      <c r="C304" s="202" t="str">
        <f t="shared" si="28"/>
        <v/>
      </c>
      <c r="E304" s="198">
        <v>60</v>
      </c>
      <c r="F304" s="199">
        <v>0</v>
      </c>
      <c r="G304" s="207" t="str">
        <f t="shared" si="29"/>
        <v/>
      </c>
      <c r="H304" s="204">
        <f t="shared" si="30"/>
        <v>0.29146021568055958</v>
      </c>
      <c r="I304" s="204" t="str">
        <f t="shared" si="31"/>
        <v/>
      </c>
      <c r="J304" s="198">
        <v>232</v>
      </c>
      <c r="K304" s="199">
        <v>0</v>
      </c>
      <c r="L304" s="207" t="str">
        <f t="shared" si="32"/>
        <v/>
      </c>
      <c r="M304" s="204">
        <f t="shared" si="33"/>
        <v>0.2765526284420074</v>
      </c>
      <c r="N304" s="205" t="str">
        <f t="shared" si="34"/>
        <v/>
      </c>
    </row>
    <row r="305" spans="1:14" hidden="1" outlineLevel="1">
      <c r="A305" s="196"/>
      <c r="B305" s="206" t="s">
        <v>1112</v>
      </c>
      <c r="C305" s="202" t="str">
        <f t="shared" si="28"/>
        <v/>
      </c>
      <c r="E305" s="198">
        <v>3</v>
      </c>
      <c r="F305" s="199">
        <v>0</v>
      </c>
      <c r="G305" s="207" t="str">
        <f t="shared" si="29"/>
        <v/>
      </c>
      <c r="H305" s="204">
        <f t="shared" si="30"/>
        <v>1.4573010784027981E-2</v>
      </c>
      <c r="I305" s="204" t="str">
        <f t="shared" si="31"/>
        <v/>
      </c>
      <c r="J305" s="198">
        <v>32</v>
      </c>
      <c r="K305" s="199">
        <v>0</v>
      </c>
      <c r="L305" s="207" t="str">
        <f t="shared" si="32"/>
        <v/>
      </c>
      <c r="M305" s="204">
        <f t="shared" si="33"/>
        <v>3.8145190129932054E-2</v>
      </c>
      <c r="N305" s="205" t="str">
        <f t="shared" si="34"/>
        <v/>
      </c>
    </row>
    <row r="306" spans="1:14" hidden="1" outlineLevel="1">
      <c r="A306" s="196"/>
      <c r="B306" s="206" t="s">
        <v>1056</v>
      </c>
      <c r="C306" s="202" t="str">
        <f t="shared" si="28"/>
        <v/>
      </c>
      <c r="E306" s="198">
        <v>0</v>
      </c>
      <c r="F306" s="199">
        <v>0</v>
      </c>
      <c r="G306" s="207" t="str">
        <f t="shared" si="29"/>
        <v/>
      </c>
      <c r="H306" s="204" t="str">
        <f t="shared" si="30"/>
        <v/>
      </c>
      <c r="I306" s="204" t="str">
        <f t="shared" si="31"/>
        <v/>
      </c>
      <c r="J306" s="198">
        <v>6</v>
      </c>
      <c r="K306" s="199">
        <v>0</v>
      </c>
      <c r="L306" s="207" t="str">
        <f t="shared" si="32"/>
        <v/>
      </c>
      <c r="M306" s="204">
        <f t="shared" si="33"/>
        <v>7.1522231493622596E-3</v>
      </c>
      <c r="N306" s="205" t="str">
        <f t="shared" si="34"/>
        <v/>
      </c>
    </row>
    <row r="307" spans="1:14" collapsed="1">
      <c r="A307" s="196" t="s">
        <v>1246</v>
      </c>
      <c r="B307" s="195" t="s">
        <v>291</v>
      </c>
      <c r="C307" s="202">
        <f t="shared" si="28"/>
        <v>-3.225806451612903</v>
      </c>
      <c r="E307" s="198">
        <v>72</v>
      </c>
      <c r="F307" s="199">
        <v>33</v>
      </c>
      <c r="G307" s="207">
        <f t="shared" si="29"/>
        <v>118.18181818181819</v>
      </c>
      <c r="H307" s="204">
        <f t="shared" si="30"/>
        <v>0.34975225881667155</v>
      </c>
      <c r="I307" s="204">
        <f t="shared" si="31"/>
        <v>0.15039649986327591</v>
      </c>
      <c r="J307" s="198">
        <v>210</v>
      </c>
      <c r="K307" s="199">
        <v>217</v>
      </c>
      <c r="L307" s="207">
        <f t="shared" si="32"/>
        <v>-3.225806451612903</v>
      </c>
      <c r="M307" s="204">
        <f t="shared" si="33"/>
        <v>0.25032781022767908</v>
      </c>
      <c r="N307" s="205">
        <f t="shared" si="34"/>
        <v>0.23669026297706178</v>
      </c>
    </row>
    <row r="308" spans="1:14" hidden="1" outlineLevel="1">
      <c r="A308" s="196"/>
      <c r="B308" s="206" t="s">
        <v>985</v>
      </c>
      <c r="C308" s="202">
        <f t="shared" si="28"/>
        <v>-9.375</v>
      </c>
      <c r="E308" s="198">
        <v>25</v>
      </c>
      <c r="F308" s="199">
        <v>16</v>
      </c>
      <c r="G308" s="207">
        <f t="shared" si="29"/>
        <v>56.25</v>
      </c>
      <c r="H308" s="204">
        <f t="shared" si="30"/>
        <v>0.12144175653356649</v>
      </c>
      <c r="I308" s="204">
        <f t="shared" si="31"/>
        <v>7.2919515085224679E-2</v>
      </c>
      <c r="J308" s="198">
        <v>87</v>
      </c>
      <c r="K308" s="199">
        <v>96</v>
      </c>
      <c r="L308" s="207">
        <f t="shared" si="32"/>
        <v>-9.375</v>
      </c>
      <c r="M308" s="204">
        <f t="shared" si="33"/>
        <v>0.10370723566575277</v>
      </c>
      <c r="N308" s="205">
        <f t="shared" si="34"/>
        <v>0.10471089975022088</v>
      </c>
    </row>
    <row r="309" spans="1:14" hidden="1" outlineLevel="1">
      <c r="A309" s="196"/>
      <c r="B309" s="206" t="s">
        <v>984</v>
      </c>
      <c r="C309" s="202">
        <f t="shared" si="28"/>
        <v>-32.231404958677686</v>
      </c>
      <c r="E309" s="198">
        <v>7</v>
      </c>
      <c r="F309" s="199">
        <v>17</v>
      </c>
      <c r="G309" s="207">
        <f t="shared" si="29"/>
        <v>-58.82352941176471</v>
      </c>
      <c r="H309" s="204">
        <f t="shared" si="30"/>
        <v>3.4003691829398622E-2</v>
      </c>
      <c r="I309" s="204">
        <f t="shared" si="31"/>
        <v>7.7476984778051233E-2</v>
      </c>
      <c r="J309" s="198">
        <v>82</v>
      </c>
      <c r="K309" s="199">
        <v>121</v>
      </c>
      <c r="L309" s="207">
        <f t="shared" si="32"/>
        <v>-32.231404958677686</v>
      </c>
      <c r="M309" s="204">
        <f t="shared" si="33"/>
        <v>9.7747049707950895E-2</v>
      </c>
      <c r="N309" s="205">
        <f t="shared" si="34"/>
        <v>0.1319793632268409</v>
      </c>
    </row>
    <row r="310" spans="1:14" hidden="1" outlineLevel="1">
      <c r="A310" s="196"/>
      <c r="B310" s="206" t="s">
        <v>1189</v>
      </c>
      <c r="C310" s="202" t="str">
        <f t="shared" si="28"/>
        <v/>
      </c>
      <c r="E310" s="198">
        <v>40</v>
      </c>
      <c r="F310" s="199">
        <v>0</v>
      </c>
      <c r="G310" s="207" t="str">
        <f t="shared" si="29"/>
        <v/>
      </c>
      <c r="H310" s="204">
        <f t="shared" si="30"/>
        <v>0.1943068104537064</v>
      </c>
      <c r="I310" s="204" t="str">
        <f t="shared" si="31"/>
        <v/>
      </c>
      <c r="J310" s="198">
        <v>41</v>
      </c>
      <c r="K310" s="199">
        <v>0</v>
      </c>
      <c r="L310" s="207" t="str">
        <f t="shared" si="32"/>
        <v/>
      </c>
      <c r="M310" s="204">
        <f t="shared" si="33"/>
        <v>4.8873524853975447E-2</v>
      </c>
      <c r="N310" s="205" t="str">
        <f t="shared" si="34"/>
        <v/>
      </c>
    </row>
    <row r="311" spans="1:14" collapsed="1">
      <c r="A311" s="196" t="s">
        <v>1247</v>
      </c>
      <c r="B311" s="195" t="s">
        <v>278</v>
      </c>
      <c r="C311" s="202">
        <f t="shared" si="28"/>
        <v>-54.444444444444443</v>
      </c>
      <c r="E311" s="198">
        <v>53</v>
      </c>
      <c r="F311" s="199">
        <v>119</v>
      </c>
      <c r="G311" s="207">
        <f t="shared" si="29"/>
        <v>-55.462184873949582</v>
      </c>
      <c r="H311" s="204">
        <f t="shared" si="30"/>
        <v>0.25745652385116097</v>
      </c>
      <c r="I311" s="204">
        <f t="shared" si="31"/>
        <v>0.54233889344635855</v>
      </c>
      <c r="J311" s="198">
        <v>205</v>
      </c>
      <c r="K311" s="199">
        <v>450</v>
      </c>
      <c r="L311" s="207">
        <f t="shared" si="32"/>
        <v>-54.444444444444443</v>
      </c>
      <c r="M311" s="204">
        <f t="shared" si="33"/>
        <v>0.24436762426987721</v>
      </c>
      <c r="N311" s="205">
        <f t="shared" si="34"/>
        <v>0.49083234257916036</v>
      </c>
    </row>
    <row r="312" spans="1:14" hidden="1" outlineLevel="1">
      <c r="A312" s="196"/>
      <c r="B312" s="206" t="s">
        <v>976</v>
      </c>
      <c r="C312" s="202">
        <f t="shared" si="28"/>
        <v>85.483870967741936</v>
      </c>
      <c r="E312" s="198">
        <v>35</v>
      </c>
      <c r="F312" s="199">
        <v>17</v>
      </c>
      <c r="G312" s="207">
        <f t="shared" si="29"/>
        <v>105.88235294117648</v>
      </c>
      <c r="H312" s="204">
        <f t="shared" si="30"/>
        <v>0.1700184591469931</v>
      </c>
      <c r="I312" s="204">
        <f t="shared" si="31"/>
        <v>7.7476984778051233E-2</v>
      </c>
      <c r="J312" s="198">
        <v>115</v>
      </c>
      <c r="K312" s="199">
        <v>62</v>
      </c>
      <c r="L312" s="207">
        <f t="shared" si="32"/>
        <v>85.483870967741936</v>
      </c>
      <c r="M312" s="204">
        <f t="shared" si="33"/>
        <v>0.13708427702944331</v>
      </c>
      <c r="N312" s="205">
        <f t="shared" si="34"/>
        <v>6.7625789422017649E-2</v>
      </c>
    </row>
    <row r="313" spans="1:14" hidden="1" outlineLevel="1">
      <c r="A313" s="196"/>
      <c r="B313" s="206" t="s">
        <v>975</v>
      </c>
      <c r="C313" s="202">
        <f t="shared" si="28"/>
        <v>-87.2</v>
      </c>
      <c r="E313" s="198">
        <v>11</v>
      </c>
      <c r="F313" s="199">
        <v>81</v>
      </c>
      <c r="G313" s="207">
        <f t="shared" si="29"/>
        <v>-86.419753086419746</v>
      </c>
      <c r="H313" s="204">
        <f t="shared" si="30"/>
        <v>5.3434372874769258E-2</v>
      </c>
      <c r="I313" s="204">
        <f t="shared" si="31"/>
        <v>0.36915504511894992</v>
      </c>
      <c r="J313" s="198">
        <v>32</v>
      </c>
      <c r="K313" s="199">
        <v>250</v>
      </c>
      <c r="L313" s="207">
        <f t="shared" si="32"/>
        <v>-87.2</v>
      </c>
      <c r="M313" s="204">
        <f t="shared" si="33"/>
        <v>3.8145190129932054E-2</v>
      </c>
      <c r="N313" s="205">
        <f t="shared" si="34"/>
        <v>0.2726846347662002</v>
      </c>
    </row>
    <row r="314" spans="1:14" hidden="1" outlineLevel="1">
      <c r="A314" s="196"/>
      <c r="B314" s="206" t="s">
        <v>979</v>
      </c>
      <c r="C314" s="202">
        <f t="shared" si="28"/>
        <v>-6.0606060606060606</v>
      </c>
      <c r="E314" s="198">
        <v>5</v>
      </c>
      <c r="F314" s="199">
        <v>0</v>
      </c>
      <c r="G314" s="207" t="str">
        <f t="shared" si="29"/>
        <v/>
      </c>
      <c r="H314" s="204">
        <f t="shared" si="30"/>
        <v>2.42883513067133E-2</v>
      </c>
      <c r="I314" s="204" t="str">
        <f t="shared" si="31"/>
        <v/>
      </c>
      <c r="J314" s="198">
        <v>31</v>
      </c>
      <c r="K314" s="199">
        <v>33</v>
      </c>
      <c r="L314" s="207">
        <f t="shared" si="32"/>
        <v>-6.0606060606060606</v>
      </c>
      <c r="M314" s="204">
        <f t="shared" si="33"/>
        <v>3.6953152938371675E-2</v>
      </c>
      <c r="N314" s="205">
        <f t="shared" si="34"/>
        <v>3.5994371789138425E-2</v>
      </c>
    </row>
    <row r="315" spans="1:14" hidden="1" outlineLevel="1">
      <c r="A315" s="196"/>
      <c r="B315" s="206" t="s">
        <v>977</v>
      </c>
      <c r="C315" s="202">
        <f t="shared" si="28"/>
        <v>-52.173913043478258</v>
      </c>
      <c r="E315" s="198">
        <v>2</v>
      </c>
      <c r="F315" s="199">
        <v>10</v>
      </c>
      <c r="G315" s="207">
        <f t="shared" si="29"/>
        <v>-80</v>
      </c>
      <c r="H315" s="204">
        <f t="shared" si="30"/>
        <v>9.7153405226853198E-3</v>
      </c>
      <c r="I315" s="204">
        <f t="shared" si="31"/>
        <v>4.5574696928265428E-2</v>
      </c>
      <c r="J315" s="198">
        <v>22</v>
      </c>
      <c r="K315" s="199">
        <v>46</v>
      </c>
      <c r="L315" s="207">
        <f t="shared" si="32"/>
        <v>-52.173913043478258</v>
      </c>
      <c r="M315" s="204">
        <f t="shared" si="33"/>
        <v>2.6224818214328285E-2</v>
      </c>
      <c r="N315" s="205">
        <f t="shared" si="34"/>
        <v>5.0173972796980833E-2</v>
      </c>
    </row>
    <row r="316" spans="1:14" hidden="1" outlineLevel="1">
      <c r="A316" s="196"/>
      <c r="B316" s="206" t="s">
        <v>978</v>
      </c>
      <c r="C316" s="202">
        <f t="shared" si="28"/>
        <v>-91.525423728813564</v>
      </c>
      <c r="E316" s="198">
        <v>0</v>
      </c>
      <c r="F316" s="199">
        <v>11</v>
      </c>
      <c r="G316" s="207">
        <f t="shared" si="29"/>
        <v>-100</v>
      </c>
      <c r="H316" s="204" t="str">
        <f t="shared" si="30"/>
        <v/>
      </c>
      <c r="I316" s="204">
        <f t="shared" si="31"/>
        <v>5.0132166621091961E-2</v>
      </c>
      <c r="J316" s="198">
        <v>5</v>
      </c>
      <c r="K316" s="199">
        <v>59</v>
      </c>
      <c r="L316" s="207">
        <f t="shared" si="32"/>
        <v>-91.525423728813564</v>
      </c>
      <c r="M316" s="204">
        <f t="shared" si="33"/>
        <v>5.9601859578018827E-3</v>
      </c>
      <c r="N316" s="205">
        <f t="shared" si="34"/>
        <v>6.4353573804823247E-2</v>
      </c>
    </row>
    <row r="317" spans="1:14" collapsed="1">
      <c r="A317" s="196" t="s">
        <v>1248</v>
      </c>
      <c r="B317" s="195" t="s">
        <v>269</v>
      </c>
      <c r="C317" s="202">
        <f t="shared" si="28"/>
        <v>381.48148148148147</v>
      </c>
      <c r="E317" s="198">
        <v>36</v>
      </c>
      <c r="F317" s="199">
        <v>1</v>
      </c>
      <c r="G317" s="207">
        <f t="shared" si="29"/>
        <v>3500</v>
      </c>
      <c r="H317" s="204">
        <f t="shared" si="30"/>
        <v>0.17487612940833577</v>
      </c>
      <c r="I317" s="204">
        <f t="shared" si="31"/>
        <v>4.5574696928265424E-3</v>
      </c>
      <c r="J317" s="198">
        <v>130</v>
      </c>
      <c r="K317" s="199">
        <v>27</v>
      </c>
      <c r="L317" s="207">
        <f t="shared" si="32"/>
        <v>381.48148148148147</v>
      </c>
      <c r="M317" s="204">
        <f t="shared" si="33"/>
        <v>0.15496483490284899</v>
      </c>
      <c r="N317" s="205">
        <f t="shared" si="34"/>
        <v>2.9449940554749622E-2</v>
      </c>
    </row>
    <row r="318" spans="1:14" hidden="1" outlineLevel="1">
      <c r="A318" s="196"/>
      <c r="B318" s="206" t="s">
        <v>1154</v>
      </c>
      <c r="C318" s="202" t="str">
        <f t="shared" si="28"/>
        <v/>
      </c>
      <c r="E318" s="198">
        <v>34</v>
      </c>
      <c r="F318" s="199">
        <v>0</v>
      </c>
      <c r="G318" s="207" t="str">
        <f t="shared" si="29"/>
        <v/>
      </c>
      <c r="H318" s="204">
        <f t="shared" si="30"/>
        <v>0.16516078888565044</v>
      </c>
      <c r="I318" s="204" t="str">
        <f t="shared" si="31"/>
        <v/>
      </c>
      <c r="J318" s="198">
        <v>65</v>
      </c>
      <c r="K318" s="199">
        <v>0</v>
      </c>
      <c r="L318" s="207" t="str">
        <f t="shared" si="32"/>
        <v/>
      </c>
      <c r="M318" s="204">
        <f t="shared" si="33"/>
        <v>7.7482417451424493E-2</v>
      </c>
      <c r="N318" s="205" t="str">
        <f t="shared" si="34"/>
        <v/>
      </c>
    </row>
    <row r="319" spans="1:14" hidden="1" outlineLevel="1">
      <c r="A319" s="196"/>
      <c r="B319" s="206" t="s">
        <v>999</v>
      </c>
      <c r="C319" s="202">
        <f t="shared" si="28"/>
        <v>88.888888888888886</v>
      </c>
      <c r="E319" s="198">
        <v>1</v>
      </c>
      <c r="F319" s="199">
        <v>0</v>
      </c>
      <c r="G319" s="207" t="str">
        <f t="shared" si="29"/>
        <v/>
      </c>
      <c r="H319" s="204">
        <f t="shared" si="30"/>
        <v>4.8576702613426599E-3</v>
      </c>
      <c r="I319" s="204" t="str">
        <f t="shared" si="31"/>
        <v/>
      </c>
      <c r="J319" s="198">
        <v>34</v>
      </c>
      <c r="K319" s="199">
        <v>18</v>
      </c>
      <c r="L319" s="207">
        <f t="shared" si="32"/>
        <v>88.888888888888886</v>
      </c>
      <c r="M319" s="204">
        <f t="shared" si="33"/>
        <v>4.0529264513052804E-2</v>
      </c>
      <c r="N319" s="205">
        <f t="shared" si="34"/>
        <v>1.9633293703166414E-2</v>
      </c>
    </row>
    <row r="320" spans="1:14" hidden="1" outlineLevel="1">
      <c r="A320" s="196"/>
      <c r="B320" s="206" t="s">
        <v>1153</v>
      </c>
      <c r="C320" s="202">
        <f t="shared" si="28"/>
        <v>244.44444444444446</v>
      </c>
      <c r="E320" s="198">
        <v>1</v>
      </c>
      <c r="F320" s="199">
        <v>1</v>
      </c>
      <c r="G320" s="207">
        <f t="shared" si="29"/>
        <v>0</v>
      </c>
      <c r="H320" s="204">
        <f t="shared" si="30"/>
        <v>4.8576702613426599E-3</v>
      </c>
      <c r="I320" s="204">
        <f t="shared" si="31"/>
        <v>4.5574696928265424E-3</v>
      </c>
      <c r="J320" s="198">
        <v>31</v>
      </c>
      <c r="K320" s="199">
        <v>9</v>
      </c>
      <c r="L320" s="207">
        <f t="shared" si="32"/>
        <v>244.44444444444446</v>
      </c>
      <c r="M320" s="204">
        <f t="shared" si="33"/>
        <v>3.6953152938371675E-2</v>
      </c>
      <c r="N320" s="205">
        <f t="shared" si="34"/>
        <v>9.8166468515832068E-3</v>
      </c>
    </row>
    <row r="321" spans="1:14" collapsed="1">
      <c r="A321" s="196" t="s">
        <v>1249</v>
      </c>
      <c r="B321" s="195" t="s">
        <v>307</v>
      </c>
      <c r="C321" s="202">
        <f t="shared" si="28"/>
        <v>-26.34730538922156</v>
      </c>
      <c r="E321" s="198">
        <v>7</v>
      </c>
      <c r="F321" s="199">
        <v>55</v>
      </c>
      <c r="G321" s="207">
        <f t="shared" si="29"/>
        <v>-87.272727272727266</v>
      </c>
      <c r="H321" s="204">
        <f t="shared" si="30"/>
        <v>3.4003691829398622E-2</v>
      </c>
      <c r="I321" s="204">
        <f t="shared" si="31"/>
        <v>0.25066083310545989</v>
      </c>
      <c r="J321" s="198">
        <v>123</v>
      </c>
      <c r="K321" s="199">
        <v>167</v>
      </c>
      <c r="L321" s="207">
        <f t="shared" si="32"/>
        <v>-26.34730538922156</v>
      </c>
      <c r="M321" s="204">
        <f t="shared" si="33"/>
        <v>0.14662057456192634</v>
      </c>
      <c r="N321" s="205">
        <f t="shared" si="34"/>
        <v>0.18215333602382172</v>
      </c>
    </row>
    <row r="322" spans="1:14" hidden="1" outlineLevel="1">
      <c r="A322" s="196"/>
      <c r="B322" s="206">
        <v>4</v>
      </c>
      <c r="C322" s="202">
        <f t="shared" si="28"/>
        <v>6900</v>
      </c>
      <c r="E322" s="198">
        <v>4</v>
      </c>
      <c r="F322" s="199">
        <v>1</v>
      </c>
      <c r="G322" s="207">
        <f t="shared" si="29"/>
        <v>300</v>
      </c>
      <c r="H322" s="204">
        <f t="shared" si="30"/>
        <v>1.943068104537064E-2</v>
      </c>
      <c r="I322" s="204">
        <f t="shared" si="31"/>
        <v>4.5574696928265424E-3</v>
      </c>
      <c r="J322" s="198">
        <v>70</v>
      </c>
      <c r="K322" s="199">
        <v>1</v>
      </c>
      <c r="L322" s="207">
        <f t="shared" si="32"/>
        <v>6900</v>
      </c>
      <c r="M322" s="204">
        <f t="shared" si="33"/>
        <v>8.3442603409226365E-2</v>
      </c>
      <c r="N322" s="205">
        <f t="shared" si="34"/>
        <v>1.0907385390648008E-3</v>
      </c>
    </row>
    <row r="323" spans="1:14" hidden="1" outlineLevel="1">
      <c r="A323" s="196"/>
      <c r="B323" s="206">
        <v>3</v>
      </c>
      <c r="C323" s="202">
        <f t="shared" si="28"/>
        <v>-49.230769230769234</v>
      </c>
      <c r="E323" s="198">
        <v>1</v>
      </c>
      <c r="F323" s="199">
        <v>23</v>
      </c>
      <c r="G323" s="207">
        <f t="shared" si="29"/>
        <v>-95.652173913043484</v>
      </c>
      <c r="H323" s="204">
        <f t="shared" si="30"/>
        <v>4.8576702613426599E-3</v>
      </c>
      <c r="I323" s="204">
        <f t="shared" si="31"/>
        <v>0.10482180293501049</v>
      </c>
      <c r="J323" s="198">
        <v>33</v>
      </c>
      <c r="K323" s="199">
        <v>65</v>
      </c>
      <c r="L323" s="207">
        <f t="shared" si="32"/>
        <v>-49.230769230769234</v>
      </c>
      <c r="M323" s="204">
        <f t="shared" si="33"/>
        <v>3.9337227321492432E-2</v>
      </c>
      <c r="N323" s="205">
        <f t="shared" si="34"/>
        <v>7.089800503921205E-2</v>
      </c>
    </row>
    <row r="324" spans="1:14" hidden="1" outlineLevel="1">
      <c r="A324" s="196"/>
      <c r="B324" s="206">
        <v>7</v>
      </c>
      <c r="C324" s="202">
        <f t="shared" si="28"/>
        <v>-80.198019801980209</v>
      </c>
      <c r="E324" s="198">
        <v>2</v>
      </c>
      <c r="F324" s="199">
        <v>31</v>
      </c>
      <c r="G324" s="207">
        <f t="shared" si="29"/>
        <v>-93.548387096774192</v>
      </c>
      <c r="H324" s="204">
        <f t="shared" si="30"/>
        <v>9.7153405226853198E-3</v>
      </c>
      <c r="I324" s="204">
        <f t="shared" si="31"/>
        <v>0.14128156047762283</v>
      </c>
      <c r="J324" s="198">
        <v>20</v>
      </c>
      <c r="K324" s="199">
        <v>101</v>
      </c>
      <c r="L324" s="207">
        <f t="shared" si="32"/>
        <v>-80.198019801980209</v>
      </c>
      <c r="M324" s="204">
        <f t="shared" si="33"/>
        <v>2.3840743831207531E-2</v>
      </c>
      <c r="N324" s="205">
        <f t="shared" si="34"/>
        <v>0.11016459244554488</v>
      </c>
    </row>
    <row r="325" spans="1:14" collapsed="1">
      <c r="A325" s="196" t="s">
        <v>1250</v>
      </c>
      <c r="B325" s="195" t="s">
        <v>285</v>
      </c>
      <c r="C325" s="202">
        <f t="shared" si="28"/>
        <v>-24.817518248175183</v>
      </c>
      <c r="E325" s="198">
        <v>20</v>
      </c>
      <c r="F325" s="199">
        <v>16</v>
      </c>
      <c r="G325" s="207">
        <f t="shared" si="29"/>
        <v>25</v>
      </c>
      <c r="H325" s="204">
        <f t="shared" si="30"/>
        <v>9.7153405226853201E-2</v>
      </c>
      <c r="I325" s="204">
        <f t="shared" si="31"/>
        <v>7.2919515085224679E-2</v>
      </c>
      <c r="J325" s="198">
        <v>103</v>
      </c>
      <c r="K325" s="199">
        <v>137</v>
      </c>
      <c r="L325" s="207">
        <f t="shared" si="32"/>
        <v>-24.817518248175183</v>
      </c>
      <c r="M325" s="204">
        <f t="shared" si="33"/>
        <v>0.1227798307307188</v>
      </c>
      <c r="N325" s="205">
        <f t="shared" si="34"/>
        <v>0.1494311798518777</v>
      </c>
    </row>
    <row r="326" spans="1:14" hidden="1" outlineLevel="1">
      <c r="A326" s="196"/>
      <c r="B326" s="206" t="s">
        <v>986</v>
      </c>
      <c r="C326" s="202">
        <f t="shared" si="28"/>
        <v>23.52941176470588</v>
      </c>
      <c r="E326" s="198">
        <v>9</v>
      </c>
      <c r="F326" s="199">
        <v>2</v>
      </c>
      <c r="G326" s="207">
        <f t="shared" si="29"/>
        <v>350</v>
      </c>
      <c r="H326" s="204">
        <f t="shared" si="30"/>
        <v>4.3719032352083943E-2</v>
      </c>
      <c r="I326" s="204">
        <f t="shared" si="31"/>
        <v>9.1149393856530848E-3</v>
      </c>
      <c r="J326" s="198">
        <v>63</v>
      </c>
      <c r="K326" s="199">
        <v>51</v>
      </c>
      <c r="L326" s="207">
        <f t="shared" si="32"/>
        <v>23.52941176470588</v>
      </c>
      <c r="M326" s="204">
        <f t="shared" si="33"/>
        <v>7.5098343068303736E-2</v>
      </c>
      <c r="N326" s="205">
        <f t="shared" si="34"/>
        <v>5.5627665492304836E-2</v>
      </c>
    </row>
    <row r="327" spans="1:14" hidden="1" outlineLevel="1">
      <c r="A327" s="196"/>
      <c r="B327" s="206" t="s">
        <v>989</v>
      </c>
      <c r="C327" s="202">
        <f t="shared" si="28"/>
        <v>-4.1666666666666661</v>
      </c>
      <c r="E327" s="198">
        <v>7</v>
      </c>
      <c r="F327" s="199">
        <v>5</v>
      </c>
      <c r="G327" s="207">
        <f t="shared" si="29"/>
        <v>40</v>
      </c>
      <c r="H327" s="204">
        <f t="shared" si="30"/>
        <v>3.4003691829398622E-2</v>
      </c>
      <c r="I327" s="204">
        <f t="shared" si="31"/>
        <v>2.2787348464132714E-2</v>
      </c>
      <c r="J327" s="198">
        <v>23</v>
      </c>
      <c r="K327" s="199">
        <v>24</v>
      </c>
      <c r="L327" s="207">
        <f t="shared" si="32"/>
        <v>-4.1666666666666661</v>
      </c>
      <c r="M327" s="204">
        <f t="shared" si="33"/>
        <v>2.7416855405888663E-2</v>
      </c>
      <c r="N327" s="205">
        <f t="shared" si="34"/>
        <v>2.617772493755522E-2</v>
      </c>
    </row>
    <row r="328" spans="1:14" hidden="1" outlineLevel="1">
      <c r="A328" s="196"/>
      <c r="B328" s="206" t="s">
        <v>987</v>
      </c>
      <c r="C328" s="202">
        <f t="shared" si="28"/>
        <v>-50</v>
      </c>
      <c r="E328" s="198">
        <v>2</v>
      </c>
      <c r="F328" s="199">
        <v>3</v>
      </c>
      <c r="G328" s="207">
        <f t="shared" si="29"/>
        <v>-33.333333333333329</v>
      </c>
      <c r="H328" s="204">
        <f t="shared" si="30"/>
        <v>9.7153405226853198E-3</v>
      </c>
      <c r="I328" s="204">
        <f t="shared" si="31"/>
        <v>1.3672409078479627E-2</v>
      </c>
      <c r="J328" s="198">
        <v>12</v>
      </c>
      <c r="K328" s="199">
        <v>24</v>
      </c>
      <c r="L328" s="207">
        <f t="shared" si="32"/>
        <v>-50</v>
      </c>
      <c r="M328" s="204">
        <f t="shared" si="33"/>
        <v>1.4304446298724519E-2</v>
      </c>
      <c r="N328" s="205">
        <f t="shared" si="34"/>
        <v>2.617772493755522E-2</v>
      </c>
    </row>
    <row r="329" spans="1:14" hidden="1" outlineLevel="1">
      <c r="A329" s="196"/>
      <c r="B329" s="206" t="s">
        <v>988</v>
      </c>
      <c r="C329" s="202">
        <f t="shared" si="28"/>
        <v>-86.842105263157904</v>
      </c>
      <c r="E329" s="198">
        <v>2</v>
      </c>
      <c r="F329" s="199">
        <v>6</v>
      </c>
      <c r="G329" s="207">
        <f t="shared" si="29"/>
        <v>-66.666666666666657</v>
      </c>
      <c r="H329" s="204">
        <f t="shared" si="30"/>
        <v>9.7153405226853198E-3</v>
      </c>
      <c r="I329" s="204">
        <f t="shared" si="31"/>
        <v>2.7344818156959255E-2</v>
      </c>
      <c r="J329" s="198">
        <v>5</v>
      </c>
      <c r="K329" s="199">
        <v>38</v>
      </c>
      <c r="L329" s="207">
        <f t="shared" si="32"/>
        <v>-86.842105263157904</v>
      </c>
      <c r="M329" s="204">
        <f t="shared" si="33"/>
        <v>5.9601859578018827E-3</v>
      </c>
      <c r="N329" s="205">
        <f t="shared" si="34"/>
        <v>4.1448064484462428E-2</v>
      </c>
    </row>
    <row r="330" spans="1:14" collapsed="1">
      <c r="A330" s="196" t="s">
        <v>1190</v>
      </c>
      <c r="B330" s="195" t="s">
        <v>437</v>
      </c>
      <c r="C330" s="202">
        <f t="shared" ref="C330:C390" si="35">IF(K330=0,"",SUM(((J330-K330)/K330)*100))</f>
        <v>276.47058823529409</v>
      </c>
      <c r="E330" s="198">
        <v>13</v>
      </c>
      <c r="F330" s="199">
        <v>6</v>
      </c>
      <c r="G330" s="207">
        <f t="shared" ref="G330:G390" si="36">IF(F330=0,"",SUM(((E330-F330)/F330)*100))</f>
        <v>116.66666666666667</v>
      </c>
      <c r="H330" s="204">
        <f t="shared" ref="H330:H390" si="37">IF(E330=0,"",SUM((E330/CntPeriod)*100))</f>
        <v>6.3149713397454579E-2</v>
      </c>
      <c r="I330" s="204">
        <f t="shared" ref="I330:I390" si="38">IF(F330=0,"",SUM((F330/CntPeriodPrevYear)*100))</f>
        <v>2.7344818156959255E-2</v>
      </c>
      <c r="J330" s="198">
        <v>64</v>
      </c>
      <c r="K330" s="199">
        <v>17</v>
      </c>
      <c r="L330" s="207">
        <f t="shared" ref="L330:L390" si="39">IF(K330=0,"",SUM(((J330-K330)/K330)*100))</f>
        <v>276.47058823529409</v>
      </c>
      <c r="M330" s="204">
        <f t="shared" ref="M330:M390" si="40">IF(J330=0,"",SUM((J330/CntYearAck)*100))</f>
        <v>7.6290380259864107E-2</v>
      </c>
      <c r="N330" s="205">
        <f t="shared" ref="N330:N390" si="41">IF(K330=0,"",SUM((K330/CntPrevYearAck)*100))</f>
        <v>1.8542555164101613E-2</v>
      </c>
    </row>
    <row r="331" spans="1:14" hidden="1" outlineLevel="1">
      <c r="A331" s="196"/>
      <c r="B331" s="206" t="s">
        <v>994</v>
      </c>
      <c r="C331" s="202">
        <f t="shared" si="35"/>
        <v>264.70588235294116</v>
      </c>
      <c r="E331" s="198">
        <v>11</v>
      </c>
      <c r="F331" s="199">
        <v>6</v>
      </c>
      <c r="G331" s="207">
        <f t="shared" si="36"/>
        <v>83.333333333333343</v>
      </c>
      <c r="H331" s="204">
        <f t="shared" si="37"/>
        <v>5.3434372874769258E-2</v>
      </c>
      <c r="I331" s="204">
        <f t="shared" si="38"/>
        <v>2.7344818156959255E-2</v>
      </c>
      <c r="J331" s="198">
        <v>62</v>
      </c>
      <c r="K331" s="199">
        <v>17</v>
      </c>
      <c r="L331" s="207">
        <f t="shared" si="39"/>
        <v>264.70588235294116</v>
      </c>
      <c r="M331" s="204">
        <f t="shared" si="40"/>
        <v>7.390630587674335E-2</v>
      </c>
      <c r="N331" s="205">
        <f t="shared" si="41"/>
        <v>1.8542555164101613E-2</v>
      </c>
    </row>
    <row r="332" spans="1:14" hidden="1" outlineLevel="1">
      <c r="A332" s="196"/>
      <c r="B332" s="206" t="s">
        <v>1251</v>
      </c>
      <c r="C332" s="202" t="str">
        <f t="shared" si="35"/>
        <v/>
      </c>
      <c r="E332" s="198">
        <v>2</v>
      </c>
      <c r="F332" s="199">
        <v>0</v>
      </c>
      <c r="G332" s="207" t="str">
        <f t="shared" si="36"/>
        <v/>
      </c>
      <c r="H332" s="204">
        <f t="shared" si="37"/>
        <v>9.7153405226853198E-3</v>
      </c>
      <c r="I332" s="204" t="str">
        <f t="shared" si="38"/>
        <v/>
      </c>
      <c r="J332" s="198">
        <v>2</v>
      </c>
      <c r="K332" s="199">
        <v>0</v>
      </c>
      <c r="L332" s="207" t="str">
        <f t="shared" si="39"/>
        <v/>
      </c>
      <c r="M332" s="204">
        <f t="shared" si="40"/>
        <v>2.3840743831207534E-3</v>
      </c>
      <c r="N332" s="205" t="str">
        <f t="shared" si="41"/>
        <v/>
      </c>
    </row>
    <row r="333" spans="1:14" collapsed="1">
      <c r="A333" s="196" t="s">
        <v>1252</v>
      </c>
      <c r="B333" s="195" t="s">
        <v>1102</v>
      </c>
      <c r="C333" s="202" t="str">
        <f t="shared" si="35"/>
        <v/>
      </c>
      <c r="E333" s="198">
        <v>14</v>
      </c>
      <c r="F333" s="199">
        <v>0</v>
      </c>
      <c r="G333" s="207" t="str">
        <f t="shared" si="36"/>
        <v/>
      </c>
      <c r="H333" s="204">
        <f t="shared" si="37"/>
        <v>6.8007383658797244E-2</v>
      </c>
      <c r="I333" s="204" t="str">
        <f t="shared" si="38"/>
        <v/>
      </c>
      <c r="J333" s="198">
        <v>55</v>
      </c>
      <c r="K333" s="199">
        <v>0</v>
      </c>
      <c r="L333" s="207" t="str">
        <f t="shared" si="39"/>
        <v/>
      </c>
      <c r="M333" s="204">
        <f t="shared" si="40"/>
        <v>6.556204553582072E-2</v>
      </c>
      <c r="N333" s="205" t="str">
        <f t="shared" si="41"/>
        <v/>
      </c>
    </row>
    <row r="334" spans="1:14" hidden="1" outlineLevel="1">
      <c r="A334" s="196"/>
      <c r="B334" s="206" t="s">
        <v>1113</v>
      </c>
      <c r="C334" s="202" t="str">
        <f t="shared" si="35"/>
        <v/>
      </c>
      <c r="E334" s="198">
        <v>5</v>
      </c>
      <c r="F334" s="199">
        <v>0</v>
      </c>
      <c r="G334" s="207" t="str">
        <f t="shared" si="36"/>
        <v/>
      </c>
      <c r="H334" s="204">
        <f t="shared" si="37"/>
        <v>2.42883513067133E-2</v>
      </c>
      <c r="I334" s="204" t="str">
        <f t="shared" si="38"/>
        <v/>
      </c>
      <c r="J334" s="198">
        <v>24</v>
      </c>
      <c r="K334" s="199">
        <v>0</v>
      </c>
      <c r="L334" s="207" t="str">
        <f t="shared" si="39"/>
        <v/>
      </c>
      <c r="M334" s="204">
        <f t="shared" si="40"/>
        <v>2.8608892597449039E-2</v>
      </c>
      <c r="N334" s="205" t="str">
        <f t="shared" si="41"/>
        <v/>
      </c>
    </row>
    <row r="335" spans="1:14" hidden="1" outlineLevel="1">
      <c r="A335" s="196"/>
      <c r="B335" s="206" t="s">
        <v>1155</v>
      </c>
      <c r="C335" s="202" t="str">
        <f t="shared" si="35"/>
        <v/>
      </c>
      <c r="E335" s="198">
        <v>6</v>
      </c>
      <c r="F335" s="199">
        <v>0</v>
      </c>
      <c r="G335" s="207" t="str">
        <f t="shared" si="36"/>
        <v/>
      </c>
      <c r="H335" s="204">
        <f t="shared" si="37"/>
        <v>2.9146021568055961E-2</v>
      </c>
      <c r="I335" s="204" t="str">
        <f t="shared" si="38"/>
        <v/>
      </c>
      <c r="J335" s="198">
        <v>22</v>
      </c>
      <c r="K335" s="199">
        <v>0</v>
      </c>
      <c r="L335" s="207" t="str">
        <f t="shared" si="39"/>
        <v/>
      </c>
      <c r="M335" s="204">
        <f t="shared" si="40"/>
        <v>2.6224818214328285E-2</v>
      </c>
      <c r="N335" s="205" t="str">
        <f t="shared" si="41"/>
        <v/>
      </c>
    </row>
    <row r="336" spans="1:14" hidden="1" outlineLevel="1">
      <c r="A336" s="196"/>
      <c r="B336" s="206" t="s">
        <v>1191</v>
      </c>
      <c r="C336" s="202" t="str">
        <f t="shared" si="35"/>
        <v/>
      </c>
      <c r="E336" s="198">
        <v>3</v>
      </c>
      <c r="F336" s="199">
        <v>0</v>
      </c>
      <c r="G336" s="207" t="str">
        <f t="shared" si="36"/>
        <v/>
      </c>
      <c r="H336" s="204">
        <f t="shared" si="37"/>
        <v>1.4573010784027981E-2</v>
      </c>
      <c r="I336" s="204" t="str">
        <f t="shared" si="38"/>
        <v/>
      </c>
      <c r="J336" s="198">
        <v>9</v>
      </c>
      <c r="K336" s="199">
        <v>0</v>
      </c>
      <c r="L336" s="207" t="str">
        <f t="shared" si="39"/>
        <v/>
      </c>
      <c r="M336" s="204">
        <f t="shared" si="40"/>
        <v>1.072833472404339E-2</v>
      </c>
      <c r="N336" s="205" t="str">
        <f t="shared" si="41"/>
        <v/>
      </c>
    </row>
    <row r="337" spans="1:14" collapsed="1">
      <c r="A337" s="196" t="s">
        <v>1253</v>
      </c>
      <c r="B337" s="195" t="s">
        <v>1083</v>
      </c>
      <c r="C337" s="202" t="str">
        <f t="shared" si="35"/>
        <v/>
      </c>
      <c r="E337" s="198">
        <v>12</v>
      </c>
      <c r="F337" s="199">
        <v>0</v>
      </c>
      <c r="G337" s="207" t="str">
        <f t="shared" si="36"/>
        <v/>
      </c>
      <c r="H337" s="204">
        <f t="shared" si="37"/>
        <v>5.8292043136111922E-2</v>
      </c>
      <c r="I337" s="204" t="str">
        <f t="shared" si="38"/>
        <v/>
      </c>
      <c r="J337" s="198">
        <v>35</v>
      </c>
      <c r="K337" s="199">
        <v>0</v>
      </c>
      <c r="L337" s="207" t="str">
        <f t="shared" si="39"/>
        <v/>
      </c>
      <c r="M337" s="204">
        <f t="shared" si="40"/>
        <v>4.1721301704613183E-2</v>
      </c>
      <c r="N337" s="205" t="str">
        <f t="shared" si="41"/>
        <v/>
      </c>
    </row>
    <row r="338" spans="1:14" hidden="1" outlineLevel="1">
      <c r="A338" s="196"/>
      <c r="B338" s="206" t="s">
        <v>1084</v>
      </c>
      <c r="C338" s="202" t="str">
        <f t="shared" si="35"/>
        <v/>
      </c>
      <c r="E338" s="198">
        <v>12</v>
      </c>
      <c r="F338" s="199">
        <v>0</v>
      </c>
      <c r="G338" s="207" t="str">
        <f t="shared" si="36"/>
        <v/>
      </c>
      <c r="H338" s="204">
        <f t="shared" si="37"/>
        <v>5.8292043136111922E-2</v>
      </c>
      <c r="I338" s="204" t="str">
        <f t="shared" si="38"/>
        <v/>
      </c>
      <c r="J338" s="198">
        <v>35</v>
      </c>
      <c r="K338" s="199">
        <v>0</v>
      </c>
      <c r="L338" s="207" t="str">
        <f t="shared" si="39"/>
        <v/>
      </c>
      <c r="M338" s="204">
        <f t="shared" si="40"/>
        <v>4.1721301704613183E-2</v>
      </c>
      <c r="N338" s="205" t="str">
        <f t="shared" si="41"/>
        <v/>
      </c>
    </row>
    <row r="339" spans="1:14" collapsed="1">
      <c r="A339" s="196" t="s">
        <v>1254</v>
      </c>
      <c r="B339" s="195" t="s">
        <v>282</v>
      </c>
      <c r="C339" s="202">
        <f t="shared" si="35"/>
        <v>-77.304964539007088</v>
      </c>
      <c r="E339" s="198">
        <v>24</v>
      </c>
      <c r="F339" s="199">
        <v>24</v>
      </c>
      <c r="G339" s="207">
        <f t="shared" si="36"/>
        <v>0</v>
      </c>
      <c r="H339" s="204">
        <f t="shared" si="37"/>
        <v>0.11658408627222384</v>
      </c>
      <c r="I339" s="204">
        <f t="shared" si="38"/>
        <v>0.10937927262783702</v>
      </c>
      <c r="J339" s="198">
        <v>32</v>
      </c>
      <c r="K339" s="199">
        <v>141</v>
      </c>
      <c r="L339" s="207">
        <f t="shared" si="39"/>
        <v>-77.304964539007088</v>
      </c>
      <c r="M339" s="204">
        <f t="shared" si="40"/>
        <v>3.8145190129932054E-2</v>
      </c>
      <c r="N339" s="205">
        <f t="shared" si="41"/>
        <v>0.15379413400813691</v>
      </c>
    </row>
    <row r="340" spans="1:14" hidden="1" outlineLevel="1">
      <c r="A340" s="196"/>
      <c r="B340" s="206" t="s">
        <v>990</v>
      </c>
      <c r="C340" s="202">
        <f t="shared" si="35"/>
        <v>-69.135802469135797</v>
      </c>
      <c r="E340" s="198">
        <v>21</v>
      </c>
      <c r="F340" s="199">
        <v>10</v>
      </c>
      <c r="G340" s="207">
        <f t="shared" si="36"/>
        <v>110.00000000000001</v>
      </c>
      <c r="H340" s="204">
        <f t="shared" si="37"/>
        <v>0.10201107548819587</v>
      </c>
      <c r="I340" s="204">
        <f t="shared" si="38"/>
        <v>4.5574696928265428E-2</v>
      </c>
      <c r="J340" s="198">
        <v>25</v>
      </c>
      <c r="K340" s="199">
        <v>81</v>
      </c>
      <c r="L340" s="207">
        <f t="shared" si="39"/>
        <v>-69.135802469135797</v>
      </c>
      <c r="M340" s="204">
        <f t="shared" si="40"/>
        <v>2.9800929789009417E-2</v>
      </c>
      <c r="N340" s="205">
        <f t="shared" si="41"/>
        <v>8.8349821664248859E-2</v>
      </c>
    </row>
    <row r="341" spans="1:14" hidden="1" outlineLevel="1">
      <c r="A341" s="196"/>
      <c r="B341" s="206" t="s">
        <v>991</v>
      </c>
      <c r="C341" s="202">
        <f t="shared" si="35"/>
        <v>-82.142857142857139</v>
      </c>
      <c r="E341" s="198">
        <v>2</v>
      </c>
      <c r="F341" s="199">
        <v>3</v>
      </c>
      <c r="G341" s="207">
        <f t="shared" si="36"/>
        <v>-33.333333333333329</v>
      </c>
      <c r="H341" s="204">
        <f t="shared" si="37"/>
        <v>9.7153405226853198E-3</v>
      </c>
      <c r="I341" s="204">
        <f t="shared" si="38"/>
        <v>1.3672409078479627E-2</v>
      </c>
      <c r="J341" s="198">
        <v>5</v>
      </c>
      <c r="K341" s="199">
        <v>28</v>
      </c>
      <c r="L341" s="207">
        <f t="shared" si="39"/>
        <v>-82.142857142857139</v>
      </c>
      <c r="M341" s="204">
        <f t="shared" si="40"/>
        <v>5.9601859578018827E-3</v>
      </c>
      <c r="N341" s="205">
        <f t="shared" si="41"/>
        <v>3.0540679093814423E-2</v>
      </c>
    </row>
    <row r="342" spans="1:14" hidden="1" outlineLevel="1">
      <c r="A342" s="196"/>
      <c r="B342" s="206" t="s">
        <v>1161</v>
      </c>
      <c r="C342" s="202">
        <f t="shared" si="35"/>
        <v>-96.875</v>
      </c>
      <c r="E342" s="198">
        <v>1</v>
      </c>
      <c r="F342" s="199">
        <v>11</v>
      </c>
      <c r="G342" s="207">
        <f t="shared" si="36"/>
        <v>-90.909090909090907</v>
      </c>
      <c r="H342" s="204">
        <f t="shared" si="37"/>
        <v>4.8576702613426599E-3</v>
      </c>
      <c r="I342" s="204">
        <f t="shared" si="38"/>
        <v>5.0132166621091961E-2</v>
      </c>
      <c r="J342" s="198">
        <v>1</v>
      </c>
      <c r="K342" s="199">
        <v>32</v>
      </c>
      <c r="L342" s="207">
        <f t="shared" si="39"/>
        <v>-96.875</v>
      </c>
      <c r="M342" s="204">
        <f t="shared" si="40"/>
        <v>1.1920371915603767E-3</v>
      </c>
      <c r="N342" s="205">
        <f t="shared" si="41"/>
        <v>3.4903633250073625E-2</v>
      </c>
    </row>
    <row r="343" spans="1:14" hidden="1" outlineLevel="1">
      <c r="A343" s="196"/>
      <c r="B343" s="206" t="s">
        <v>1160</v>
      </c>
      <c r="C343" s="202" t="str">
        <f t="shared" si="35"/>
        <v/>
      </c>
      <c r="E343" s="198">
        <v>0</v>
      </c>
      <c r="F343" s="199">
        <v>0</v>
      </c>
      <c r="G343" s="207" t="str">
        <f t="shared" si="36"/>
        <v/>
      </c>
      <c r="H343" s="204" t="str">
        <f t="shared" si="37"/>
        <v/>
      </c>
      <c r="I343" s="204" t="str">
        <f t="shared" si="38"/>
        <v/>
      </c>
      <c r="J343" s="198">
        <v>1</v>
      </c>
      <c r="K343" s="199">
        <v>0</v>
      </c>
      <c r="L343" s="207" t="str">
        <f t="shared" si="39"/>
        <v/>
      </c>
      <c r="M343" s="204">
        <f t="shared" si="40"/>
        <v>1.1920371915603767E-3</v>
      </c>
      <c r="N343" s="205" t="str">
        <f t="shared" si="41"/>
        <v/>
      </c>
    </row>
    <row r="344" spans="1:14" collapsed="1">
      <c r="A344" s="196" t="s">
        <v>1255</v>
      </c>
      <c r="B344" s="195" t="s">
        <v>281</v>
      </c>
      <c r="C344" s="202">
        <f t="shared" si="35"/>
        <v>0</v>
      </c>
      <c r="E344" s="198">
        <v>1</v>
      </c>
      <c r="F344" s="199">
        <v>9</v>
      </c>
      <c r="G344" s="207">
        <f t="shared" si="36"/>
        <v>-88.888888888888886</v>
      </c>
      <c r="H344" s="204">
        <f t="shared" si="37"/>
        <v>4.8576702613426599E-3</v>
      </c>
      <c r="I344" s="204">
        <f t="shared" si="38"/>
        <v>4.1017227235438887E-2</v>
      </c>
      <c r="J344" s="198">
        <v>26</v>
      </c>
      <c r="K344" s="199">
        <v>26</v>
      </c>
      <c r="L344" s="207">
        <f t="shared" si="39"/>
        <v>0</v>
      </c>
      <c r="M344" s="204">
        <f t="shared" si="40"/>
        <v>3.0992966980569796E-2</v>
      </c>
      <c r="N344" s="205">
        <f t="shared" si="41"/>
        <v>2.8359202015684818E-2</v>
      </c>
    </row>
    <row r="345" spans="1:14" hidden="1" outlineLevel="1">
      <c r="A345" s="196"/>
      <c r="B345" s="206" t="s">
        <v>992</v>
      </c>
      <c r="C345" s="202">
        <f t="shared" si="35"/>
        <v>8.3333333333333321</v>
      </c>
      <c r="E345" s="198">
        <v>0</v>
      </c>
      <c r="F345" s="199">
        <v>5</v>
      </c>
      <c r="G345" s="207">
        <f t="shared" si="36"/>
        <v>-100</v>
      </c>
      <c r="H345" s="204" t="str">
        <f t="shared" si="37"/>
        <v/>
      </c>
      <c r="I345" s="204">
        <f t="shared" si="38"/>
        <v>2.2787348464132714E-2</v>
      </c>
      <c r="J345" s="198">
        <v>13</v>
      </c>
      <c r="K345" s="199">
        <v>12</v>
      </c>
      <c r="L345" s="207">
        <f t="shared" si="39"/>
        <v>8.3333333333333321</v>
      </c>
      <c r="M345" s="204">
        <f t="shared" si="40"/>
        <v>1.5496483490284898E-2</v>
      </c>
      <c r="N345" s="205">
        <f t="shared" si="41"/>
        <v>1.308886246877761E-2</v>
      </c>
    </row>
    <row r="346" spans="1:14" hidden="1" outlineLevel="1">
      <c r="A346" s="196"/>
      <c r="B346" s="206" t="s">
        <v>1157</v>
      </c>
      <c r="C346" s="202">
        <f t="shared" si="35"/>
        <v>100</v>
      </c>
      <c r="E346" s="198">
        <v>1</v>
      </c>
      <c r="F346" s="199">
        <v>0</v>
      </c>
      <c r="G346" s="207" t="str">
        <f t="shared" si="36"/>
        <v/>
      </c>
      <c r="H346" s="204">
        <f t="shared" si="37"/>
        <v>4.8576702613426599E-3</v>
      </c>
      <c r="I346" s="204" t="str">
        <f t="shared" si="38"/>
        <v/>
      </c>
      <c r="J346" s="198">
        <v>6</v>
      </c>
      <c r="K346" s="199">
        <v>3</v>
      </c>
      <c r="L346" s="207">
        <f t="shared" si="39"/>
        <v>100</v>
      </c>
      <c r="M346" s="204">
        <f t="shared" si="40"/>
        <v>7.1522231493622596E-3</v>
      </c>
      <c r="N346" s="205">
        <f t="shared" si="41"/>
        <v>3.2722156171944025E-3</v>
      </c>
    </row>
    <row r="347" spans="1:14" hidden="1" outlineLevel="1">
      <c r="A347" s="196"/>
      <c r="B347" s="206" t="s">
        <v>1156</v>
      </c>
      <c r="C347" s="202">
        <f t="shared" si="35"/>
        <v>-37.5</v>
      </c>
      <c r="E347" s="198">
        <v>0</v>
      </c>
      <c r="F347" s="199">
        <v>3</v>
      </c>
      <c r="G347" s="207">
        <f t="shared" si="36"/>
        <v>-100</v>
      </c>
      <c r="H347" s="204" t="str">
        <f t="shared" si="37"/>
        <v/>
      </c>
      <c r="I347" s="204">
        <f t="shared" si="38"/>
        <v>1.3672409078479627E-2</v>
      </c>
      <c r="J347" s="198">
        <v>5</v>
      </c>
      <c r="K347" s="199">
        <v>8</v>
      </c>
      <c r="L347" s="207">
        <f t="shared" si="39"/>
        <v>-37.5</v>
      </c>
      <c r="M347" s="204">
        <f t="shared" si="40"/>
        <v>5.9601859578018827E-3</v>
      </c>
      <c r="N347" s="205">
        <f t="shared" si="41"/>
        <v>8.7259083125184062E-3</v>
      </c>
    </row>
    <row r="348" spans="1:14" hidden="1" outlineLevel="1">
      <c r="A348" s="196"/>
      <c r="B348" s="206" t="s">
        <v>993</v>
      </c>
      <c r="C348" s="202">
        <f t="shared" si="35"/>
        <v>-50</v>
      </c>
      <c r="E348" s="198">
        <v>0</v>
      </c>
      <c r="F348" s="199">
        <v>0</v>
      </c>
      <c r="G348" s="207" t="str">
        <f t="shared" si="36"/>
        <v/>
      </c>
      <c r="H348" s="204" t="str">
        <f t="shared" si="37"/>
        <v/>
      </c>
      <c r="I348" s="204" t="str">
        <f t="shared" si="38"/>
        <v/>
      </c>
      <c r="J348" s="198">
        <v>1</v>
      </c>
      <c r="K348" s="199">
        <v>2</v>
      </c>
      <c r="L348" s="207">
        <f t="shared" si="39"/>
        <v>-50</v>
      </c>
      <c r="M348" s="204">
        <f t="shared" si="40"/>
        <v>1.1920371915603767E-3</v>
      </c>
      <c r="N348" s="205">
        <f t="shared" si="41"/>
        <v>2.1814770781296016E-3</v>
      </c>
    </row>
    <row r="349" spans="1:14" hidden="1" outlineLevel="1">
      <c r="A349" s="196"/>
      <c r="B349" s="206" t="s">
        <v>1158</v>
      </c>
      <c r="C349" s="202" t="str">
        <f t="shared" si="35"/>
        <v/>
      </c>
      <c r="E349" s="198">
        <v>0</v>
      </c>
      <c r="F349" s="199">
        <v>0</v>
      </c>
      <c r="G349" s="207" t="str">
        <f t="shared" si="36"/>
        <v/>
      </c>
      <c r="H349" s="204" t="str">
        <f t="shared" si="37"/>
        <v/>
      </c>
      <c r="I349" s="204" t="str">
        <f t="shared" si="38"/>
        <v/>
      </c>
      <c r="J349" s="198">
        <v>1</v>
      </c>
      <c r="K349" s="199">
        <v>0</v>
      </c>
      <c r="L349" s="207" t="str">
        <f t="shared" si="39"/>
        <v/>
      </c>
      <c r="M349" s="204">
        <f t="shared" si="40"/>
        <v>1.1920371915603767E-3</v>
      </c>
      <c r="N349" s="205" t="str">
        <f t="shared" si="41"/>
        <v/>
      </c>
    </row>
    <row r="350" spans="1:14" hidden="1" outlineLevel="1">
      <c r="A350" s="196"/>
      <c r="B350" s="206" t="s">
        <v>1256</v>
      </c>
      <c r="C350" s="202">
        <f t="shared" si="35"/>
        <v>-100</v>
      </c>
      <c r="E350" s="198">
        <v>0</v>
      </c>
      <c r="F350" s="199">
        <v>1</v>
      </c>
      <c r="G350" s="207">
        <f t="shared" si="36"/>
        <v>-100</v>
      </c>
      <c r="H350" s="204" t="str">
        <f t="shared" si="37"/>
        <v/>
      </c>
      <c r="I350" s="204">
        <f t="shared" si="38"/>
        <v>4.5574696928265424E-3</v>
      </c>
      <c r="J350" s="198">
        <v>0</v>
      </c>
      <c r="K350" s="199">
        <v>1</v>
      </c>
      <c r="L350" s="207">
        <f t="shared" si="39"/>
        <v>-100</v>
      </c>
      <c r="M350" s="204" t="str">
        <f t="shared" si="40"/>
        <v/>
      </c>
      <c r="N350" s="205">
        <f t="shared" si="41"/>
        <v>1.0907385390648008E-3</v>
      </c>
    </row>
    <row r="351" spans="1:14" collapsed="1">
      <c r="A351" s="196" t="s">
        <v>1257</v>
      </c>
      <c r="B351" s="195" t="s">
        <v>701</v>
      </c>
      <c r="C351" s="202">
        <f t="shared" si="35"/>
        <v>108.33333333333333</v>
      </c>
      <c r="E351" s="198">
        <v>15</v>
      </c>
      <c r="F351" s="199">
        <v>8</v>
      </c>
      <c r="G351" s="207">
        <f t="shared" si="36"/>
        <v>87.5</v>
      </c>
      <c r="H351" s="204">
        <f t="shared" si="37"/>
        <v>7.2865053920139894E-2</v>
      </c>
      <c r="I351" s="204">
        <f t="shared" si="38"/>
        <v>3.6459757542612339E-2</v>
      </c>
      <c r="J351" s="198">
        <v>25</v>
      </c>
      <c r="K351" s="199">
        <v>12</v>
      </c>
      <c r="L351" s="207">
        <f t="shared" si="39"/>
        <v>108.33333333333333</v>
      </c>
      <c r="M351" s="204">
        <f t="shared" si="40"/>
        <v>2.9800929789009417E-2</v>
      </c>
      <c r="N351" s="205">
        <f t="shared" si="41"/>
        <v>1.308886246877761E-2</v>
      </c>
    </row>
    <row r="352" spans="1:14" hidden="1" outlineLevel="1">
      <c r="A352" s="196"/>
      <c r="B352" s="206" t="s">
        <v>701</v>
      </c>
      <c r="C352" s="202">
        <f t="shared" si="35"/>
        <v>72.727272727272734</v>
      </c>
      <c r="E352" s="198">
        <v>12</v>
      </c>
      <c r="F352" s="199">
        <v>7</v>
      </c>
      <c r="G352" s="207">
        <f t="shared" si="36"/>
        <v>71.428571428571431</v>
      </c>
      <c r="H352" s="204">
        <f t="shared" si="37"/>
        <v>5.8292043136111922E-2</v>
      </c>
      <c r="I352" s="204">
        <f t="shared" si="38"/>
        <v>3.1902287849785799E-2</v>
      </c>
      <c r="J352" s="198">
        <v>19</v>
      </c>
      <c r="K352" s="199">
        <v>11</v>
      </c>
      <c r="L352" s="207">
        <f t="shared" si="39"/>
        <v>72.727272727272734</v>
      </c>
      <c r="M352" s="204">
        <f t="shared" si="40"/>
        <v>2.2648706639647156E-2</v>
      </c>
      <c r="N352" s="205">
        <f t="shared" si="41"/>
        <v>1.1998123929712808E-2</v>
      </c>
    </row>
    <row r="353" spans="1:14" hidden="1" outlineLevel="1">
      <c r="A353" s="196"/>
      <c r="B353" s="206">
        <v>812</v>
      </c>
      <c r="C353" s="202" t="str">
        <f t="shared" si="35"/>
        <v/>
      </c>
      <c r="E353" s="198">
        <v>3</v>
      </c>
      <c r="F353" s="199">
        <v>0</v>
      </c>
      <c r="G353" s="207" t="str">
        <f t="shared" si="36"/>
        <v/>
      </c>
      <c r="H353" s="204">
        <f t="shared" si="37"/>
        <v>1.4573010784027981E-2</v>
      </c>
      <c r="I353" s="204" t="str">
        <f t="shared" si="38"/>
        <v/>
      </c>
      <c r="J353" s="198">
        <v>5</v>
      </c>
      <c r="K353" s="199">
        <v>0</v>
      </c>
      <c r="L353" s="207" t="str">
        <f t="shared" si="39"/>
        <v/>
      </c>
      <c r="M353" s="204">
        <f t="shared" si="40"/>
        <v>5.9601859578018827E-3</v>
      </c>
      <c r="N353" s="205" t="str">
        <f t="shared" si="41"/>
        <v/>
      </c>
    </row>
    <row r="354" spans="1:14" hidden="1" outlineLevel="1">
      <c r="A354" s="196"/>
      <c r="B354" s="206" t="s">
        <v>997</v>
      </c>
      <c r="C354" s="202">
        <f t="shared" si="35"/>
        <v>0</v>
      </c>
      <c r="E354" s="198">
        <v>0</v>
      </c>
      <c r="F354" s="199">
        <v>1</v>
      </c>
      <c r="G354" s="207">
        <f t="shared" si="36"/>
        <v>-100</v>
      </c>
      <c r="H354" s="204" t="str">
        <f t="shared" si="37"/>
        <v/>
      </c>
      <c r="I354" s="204">
        <f t="shared" si="38"/>
        <v>4.5574696928265424E-3</v>
      </c>
      <c r="J354" s="198">
        <v>1</v>
      </c>
      <c r="K354" s="199">
        <v>1</v>
      </c>
      <c r="L354" s="207">
        <f t="shared" si="39"/>
        <v>0</v>
      </c>
      <c r="M354" s="204">
        <f t="shared" si="40"/>
        <v>1.1920371915603767E-3</v>
      </c>
      <c r="N354" s="205">
        <f t="shared" si="41"/>
        <v>1.0907385390648008E-3</v>
      </c>
    </row>
    <row r="355" spans="1:14" collapsed="1">
      <c r="A355" s="196" t="s">
        <v>1258</v>
      </c>
      <c r="B355" s="195" t="s">
        <v>1089</v>
      </c>
      <c r="C355" s="202" t="str">
        <f t="shared" si="35"/>
        <v/>
      </c>
      <c r="E355" s="198">
        <v>2</v>
      </c>
      <c r="F355" s="199">
        <v>0</v>
      </c>
      <c r="G355" s="207" t="str">
        <f t="shared" si="36"/>
        <v/>
      </c>
      <c r="H355" s="204">
        <f t="shared" si="37"/>
        <v>9.7153405226853198E-3</v>
      </c>
      <c r="I355" s="204" t="str">
        <f t="shared" si="38"/>
        <v/>
      </c>
      <c r="J355" s="198">
        <v>25</v>
      </c>
      <c r="K355" s="199">
        <v>0</v>
      </c>
      <c r="L355" s="207" t="str">
        <f t="shared" si="39"/>
        <v/>
      </c>
      <c r="M355" s="204">
        <f t="shared" si="40"/>
        <v>2.9800929789009417E-2</v>
      </c>
      <c r="N355" s="205" t="str">
        <f t="shared" si="41"/>
        <v/>
      </c>
    </row>
    <row r="356" spans="1:14" hidden="1" outlineLevel="1">
      <c r="A356" s="196"/>
      <c r="B356" s="206" t="s">
        <v>1159</v>
      </c>
      <c r="C356" s="202" t="str">
        <f t="shared" si="35"/>
        <v/>
      </c>
      <c r="E356" s="198">
        <v>2</v>
      </c>
      <c r="F356" s="199">
        <v>0</v>
      </c>
      <c r="G356" s="207" t="str">
        <f t="shared" si="36"/>
        <v/>
      </c>
      <c r="H356" s="204">
        <f t="shared" si="37"/>
        <v>9.7153405226853198E-3</v>
      </c>
      <c r="I356" s="204" t="str">
        <f t="shared" si="38"/>
        <v/>
      </c>
      <c r="J356" s="198">
        <v>25</v>
      </c>
      <c r="K356" s="199">
        <v>0</v>
      </c>
      <c r="L356" s="207" t="str">
        <f t="shared" si="39"/>
        <v/>
      </c>
      <c r="M356" s="204">
        <f t="shared" si="40"/>
        <v>2.9800929789009417E-2</v>
      </c>
      <c r="N356" s="205" t="str">
        <f t="shared" si="41"/>
        <v/>
      </c>
    </row>
    <row r="357" spans="1:14" collapsed="1">
      <c r="A357" s="196" t="s">
        <v>1259</v>
      </c>
      <c r="B357" s="195" t="s">
        <v>284</v>
      </c>
      <c r="C357" s="202">
        <f t="shared" si="35"/>
        <v>15.789473684210526</v>
      </c>
      <c r="E357" s="198">
        <v>5</v>
      </c>
      <c r="F357" s="199">
        <v>8</v>
      </c>
      <c r="G357" s="207">
        <f t="shared" si="36"/>
        <v>-37.5</v>
      </c>
      <c r="H357" s="204">
        <f t="shared" si="37"/>
        <v>2.42883513067133E-2</v>
      </c>
      <c r="I357" s="204">
        <f t="shared" si="38"/>
        <v>3.6459757542612339E-2</v>
      </c>
      <c r="J357" s="198">
        <v>22</v>
      </c>
      <c r="K357" s="199">
        <v>19</v>
      </c>
      <c r="L357" s="207">
        <f t="shared" si="39"/>
        <v>15.789473684210526</v>
      </c>
      <c r="M357" s="204">
        <f t="shared" si="40"/>
        <v>2.6224818214328285E-2</v>
      </c>
      <c r="N357" s="205">
        <f t="shared" si="41"/>
        <v>2.0724032242231214E-2</v>
      </c>
    </row>
    <row r="358" spans="1:14" hidden="1" outlineLevel="1">
      <c r="A358" s="196"/>
      <c r="B358" s="206" t="s">
        <v>284</v>
      </c>
      <c r="C358" s="202">
        <f t="shared" si="35"/>
        <v>15.789473684210526</v>
      </c>
      <c r="E358" s="198">
        <v>5</v>
      </c>
      <c r="F358" s="199">
        <v>8</v>
      </c>
      <c r="G358" s="207">
        <f t="shared" si="36"/>
        <v>-37.5</v>
      </c>
      <c r="H358" s="204">
        <f t="shared" si="37"/>
        <v>2.42883513067133E-2</v>
      </c>
      <c r="I358" s="204">
        <f t="shared" si="38"/>
        <v>3.6459757542612339E-2</v>
      </c>
      <c r="J358" s="198">
        <v>22</v>
      </c>
      <c r="K358" s="199">
        <v>19</v>
      </c>
      <c r="L358" s="207">
        <f t="shared" si="39"/>
        <v>15.789473684210526</v>
      </c>
      <c r="M358" s="204">
        <f t="shared" si="40"/>
        <v>2.6224818214328285E-2</v>
      </c>
      <c r="N358" s="205">
        <f t="shared" si="41"/>
        <v>2.0724032242231214E-2</v>
      </c>
    </row>
    <row r="359" spans="1:14" collapsed="1">
      <c r="A359" s="196" t="s">
        <v>1260</v>
      </c>
      <c r="B359" s="195" t="s">
        <v>273</v>
      </c>
      <c r="C359" s="202">
        <f t="shared" si="35"/>
        <v>26.666666666666668</v>
      </c>
      <c r="E359" s="198">
        <v>9</v>
      </c>
      <c r="F359" s="199">
        <v>8</v>
      </c>
      <c r="G359" s="207">
        <f t="shared" si="36"/>
        <v>12.5</v>
      </c>
      <c r="H359" s="204">
        <f t="shared" si="37"/>
        <v>4.3719032352083943E-2</v>
      </c>
      <c r="I359" s="204">
        <f t="shared" si="38"/>
        <v>3.6459757542612339E-2</v>
      </c>
      <c r="J359" s="198">
        <v>19</v>
      </c>
      <c r="K359" s="199">
        <v>15</v>
      </c>
      <c r="L359" s="207">
        <f t="shared" si="39"/>
        <v>26.666666666666668</v>
      </c>
      <c r="M359" s="204">
        <f t="shared" si="40"/>
        <v>2.2648706639647156E-2</v>
      </c>
      <c r="N359" s="205">
        <f t="shared" si="41"/>
        <v>1.6361078085972012E-2</v>
      </c>
    </row>
    <row r="360" spans="1:14" hidden="1" outlineLevel="1">
      <c r="A360" s="196"/>
      <c r="B360" s="206" t="s">
        <v>306</v>
      </c>
      <c r="C360" s="202">
        <f t="shared" si="35"/>
        <v>11.111111111111111</v>
      </c>
      <c r="E360" s="198">
        <v>4</v>
      </c>
      <c r="F360" s="199">
        <v>4</v>
      </c>
      <c r="G360" s="207">
        <f t="shared" si="36"/>
        <v>0</v>
      </c>
      <c r="H360" s="204">
        <f t="shared" si="37"/>
        <v>1.943068104537064E-2</v>
      </c>
      <c r="I360" s="204">
        <f t="shared" si="38"/>
        <v>1.822987877130617E-2</v>
      </c>
      <c r="J360" s="198">
        <v>10</v>
      </c>
      <c r="K360" s="199">
        <v>9</v>
      </c>
      <c r="L360" s="207">
        <f t="shared" si="39"/>
        <v>11.111111111111111</v>
      </c>
      <c r="M360" s="204">
        <f t="shared" si="40"/>
        <v>1.1920371915603765E-2</v>
      </c>
      <c r="N360" s="205">
        <f t="shared" si="41"/>
        <v>9.8166468515832068E-3</v>
      </c>
    </row>
    <row r="361" spans="1:14" hidden="1" outlineLevel="1">
      <c r="A361" s="196"/>
      <c r="B361" s="206" t="s">
        <v>998</v>
      </c>
      <c r="C361" s="202">
        <f t="shared" si="35"/>
        <v>80</v>
      </c>
      <c r="E361" s="198">
        <v>5</v>
      </c>
      <c r="F361" s="199">
        <v>3</v>
      </c>
      <c r="G361" s="207">
        <f t="shared" si="36"/>
        <v>66.666666666666657</v>
      </c>
      <c r="H361" s="204">
        <f t="shared" si="37"/>
        <v>2.42883513067133E-2</v>
      </c>
      <c r="I361" s="204">
        <f t="shared" si="38"/>
        <v>1.3672409078479627E-2</v>
      </c>
      <c r="J361" s="198">
        <v>9</v>
      </c>
      <c r="K361" s="199">
        <v>5</v>
      </c>
      <c r="L361" s="207">
        <f t="shared" si="39"/>
        <v>80</v>
      </c>
      <c r="M361" s="204">
        <f t="shared" si="40"/>
        <v>1.072833472404339E-2</v>
      </c>
      <c r="N361" s="205">
        <f t="shared" si="41"/>
        <v>5.4536926953240037E-3</v>
      </c>
    </row>
    <row r="362" spans="1:14" hidden="1" outlineLevel="1">
      <c r="A362" s="196"/>
      <c r="B362" s="206" t="s">
        <v>1261</v>
      </c>
      <c r="C362" s="202">
        <f t="shared" si="35"/>
        <v>-100</v>
      </c>
      <c r="E362" s="198">
        <v>0</v>
      </c>
      <c r="F362" s="199">
        <v>1</v>
      </c>
      <c r="G362" s="207">
        <f t="shared" si="36"/>
        <v>-100</v>
      </c>
      <c r="H362" s="204" t="str">
        <f t="shared" si="37"/>
        <v/>
      </c>
      <c r="I362" s="204">
        <f t="shared" si="38"/>
        <v>4.5574696928265424E-3</v>
      </c>
      <c r="J362" s="198">
        <v>0</v>
      </c>
      <c r="K362" s="199">
        <v>1</v>
      </c>
      <c r="L362" s="207">
        <f t="shared" si="39"/>
        <v>-100</v>
      </c>
      <c r="M362" s="204" t="str">
        <f t="shared" si="40"/>
        <v/>
      </c>
      <c r="N362" s="205">
        <f t="shared" si="41"/>
        <v>1.0907385390648008E-3</v>
      </c>
    </row>
    <row r="363" spans="1:14" collapsed="1">
      <c r="A363" s="196" t="s">
        <v>1262</v>
      </c>
      <c r="B363" s="195" t="s">
        <v>995</v>
      </c>
      <c r="C363" s="202">
        <f t="shared" si="35"/>
        <v>-36</v>
      </c>
      <c r="E363" s="198">
        <v>11</v>
      </c>
      <c r="F363" s="199">
        <v>5</v>
      </c>
      <c r="G363" s="207">
        <f t="shared" si="36"/>
        <v>120</v>
      </c>
      <c r="H363" s="204">
        <f t="shared" si="37"/>
        <v>5.3434372874769258E-2</v>
      </c>
      <c r="I363" s="204">
        <f t="shared" si="38"/>
        <v>2.2787348464132714E-2</v>
      </c>
      <c r="J363" s="198">
        <v>16</v>
      </c>
      <c r="K363" s="199">
        <v>25</v>
      </c>
      <c r="L363" s="207">
        <f t="shared" si="39"/>
        <v>-36</v>
      </c>
      <c r="M363" s="204">
        <f t="shared" si="40"/>
        <v>1.9072595064966027E-2</v>
      </c>
      <c r="N363" s="205">
        <f t="shared" si="41"/>
        <v>2.7268463476620021E-2</v>
      </c>
    </row>
    <row r="364" spans="1:14" hidden="1" outlineLevel="1">
      <c r="A364" s="196"/>
      <c r="B364" s="206" t="s">
        <v>996</v>
      </c>
      <c r="C364" s="202">
        <f t="shared" si="35"/>
        <v>-36</v>
      </c>
      <c r="E364" s="198">
        <v>11</v>
      </c>
      <c r="F364" s="199">
        <v>5</v>
      </c>
      <c r="G364" s="207">
        <f t="shared" si="36"/>
        <v>120</v>
      </c>
      <c r="H364" s="204">
        <f t="shared" si="37"/>
        <v>5.3434372874769258E-2</v>
      </c>
      <c r="I364" s="204">
        <f t="shared" si="38"/>
        <v>2.2787348464132714E-2</v>
      </c>
      <c r="J364" s="198">
        <v>16</v>
      </c>
      <c r="K364" s="199">
        <v>25</v>
      </c>
      <c r="L364" s="207">
        <f t="shared" si="39"/>
        <v>-36</v>
      </c>
      <c r="M364" s="204">
        <f t="shared" si="40"/>
        <v>1.9072595064966027E-2</v>
      </c>
      <c r="N364" s="205">
        <f t="shared" si="41"/>
        <v>2.7268463476620021E-2</v>
      </c>
    </row>
    <row r="365" spans="1:14" collapsed="1">
      <c r="A365" s="196" t="s">
        <v>1263</v>
      </c>
      <c r="B365" s="195" t="s">
        <v>280</v>
      </c>
      <c r="C365" s="202">
        <f t="shared" si="35"/>
        <v>8.3333333333333321</v>
      </c>
      <c r="E365" s="198">
        <v>6</v>
      </c>
      <c r="F365" s="199">
        <v>6</v>
      </c>
      <c r="G365" s="207">
        <f t="shared" si="36"/>
        <v>0</v>
      </c>
      <c r="H365" s="204">
        <f t="shared" si="37"/>
        <v>2.9146021568055961E-2</v>
      </c>
      <c r="I365" s="204">
        <f t="shared" si="38"/>
        <v>2.7344818156959255E-2</v>
      </c>
      <c r="J365" s="198">
        <v>13</v>
      </c>
      <c r="K365" s="199">
        <v>12</v>
      </c>
      <c r="L365" s="207">
        <f t="shared" si="39"/>
        <v>8.3333333333333321</v>
      </c>
      <c r="M365" s="204">
        <f t="shared" si="40"/>
        <v>1.5496483490284898E-2</v>
      </c>
      <c r="N365" s="205">
        <f t="shared" si="41"/>
        <v>1.308886246877761E-2</v>
      </c>
    </row>
    <row r="366" spans="1:14" hidden="1" outlineLevel="1">
      <c r="A366" s="196"/>
      <c r="B366" s="206" t="s">
        <v>1000</v>
      </c>
      <c r="C366" s="202">
        <f t="shared" si="35"/>
        <v>8.3333333333333321</v>
      </c>
      <c r="E366" s="198">
        <v>6</v>
      </c>
      <c r="F366" s="199">
        <v>6</v>
      </c>
      <c r="G366" s="207">
        <f t="shared" si="36"/>
        <v>0</v>
      </c>
      <c r="H366" s="204">
        <f t="shared" si="37"/>
        <v>2.9146021568055961E-2</v>
      </c>
      <c r="I366" s="204">
        <f t="shared" si="38"/>
        <v>2.7344818156959255E-2</v>
      </c>
      <c r="J366" s="198">
        <v>13</v>
      </c>
      <c r="K366" s="199">
        <v>12</v>
      </c>
      <c r="L366" s="207">
        <f t="shared" si="39"/>
        <v>8.3333333333333321</v>
      </c>
      <c r="M366" s="204">
        <f t="shared" si="40"/>
        <v>1.5496483490284898E-2</v>
      </c>
      <c r="N366" s="205">
        <f t="shared" si="41"/>
        <v>1.308886246877761E-2</v>
      </c>
    </row>
    <row r="367" spans="1:14" collapsed="1">
      <c r="A367" s="196" t="s">
        <v>1264</v>
      </c>
      <c r="B367" s="195" t="s">
        <v>1003</v>
      </c>
      <c r="C367" s="202">
        <f t="shared" si="35"/>
        <v>-12.5</v>
      </c>
      <c r="E367" s="198">
        <v>2</v>
      </c>
      <c r="F367" s="199">
        <v>0</v>
      </c>
      <c r="G367" s="207" t="str">
        <f t="shared" si="36"/>
        <v/>
      </c>
      <c r="H367" s="204">
        <f t="shared" si="37"/>
        <v>9.7153405226853198E-3</v>
      </c>
      <c r="I367" s="204" t="str">
        <f t="shared" si="38"/>
        <v/>
      </c>
      <c r="J367" s="198">
        <v>7</v>
      </c>
      <c r="K367" s="199">
        <v>8</v>
      </c>
      <c r="L367" s="207">
        <f t="shared" si="39"/>
        <v>-12.5</v>
      </c>
      <c r="M367" s="204">
        <f t="shared" si="40"/>
        <v>8.3442603409226365E-3</v>
      </c>
      <c r="N367" s="205">
        <f t="shared" si="41"/>
        <v>8.7259083125184062E-3</v>
      </c>
    </row>
    <row r="368" spans="1:14" hidden="1" outlineLevel="1">
      <c r="A368" s="196"/>
      <c r="B368" s="206" t="s">
        <v>1003</v>
      </c>
      <c r="C368" s="202">
        <f t="shared" si="35"/>
        <v>-12.5</v>
      </c>
      <c r="E368" s="198">
        <v>2</v>
      </c>
      <c r="F368" s="199">
        <v>0</v>
      </c>
      <c r="G368" s="207" t="str">
        <f t="shared" si="36"/>
        <v/>
      </c>
      <c r="H368" s="204">
        <f t="shared" si="37"/>
        <v>9.7153405226853198E-3</v>
      </c>
      <c r="I368" s="204" t="str">
        <f t="shared" si="38"/>
        <v/>
      </c>
      <c r="J368" s="198">
        <v>7</v>
      </c>
      <c r="K368" s="199">
        <v>8</v>
      </c>
      <c r="L368" s="207">
        <f t="shared" si="39"/>
        <v>-12.5</v>
      </c>
      <c r="M368" s="204">
        <f t="shared" si="40"/>
        <v>8.3442603409226365E-3</v>
      </c>
      <c r="N368" s="205">
        <f t="shared" si="41"/>
        <v>8.7259083125184062E-3</v>
      </c>
    </row>
    <row r="369" spans="1:14" collapsed="1">
      <c r="A369" s="196" t="s">
        <v>1265</v>
      </c>
      <c r="B369" s="195" t="s">
        <v>700</v>
      </c>
      <c r="C369" s="202">
        <f t="shared" si="35"/>
        <v>600</v>
      </c>
      <c r="E369" s="198">
        <v>2</v>
      </c>
      <c r="F369" s="199">
        <v>1</v>
      </c>
      <c r="G369" s="207">
        <f t="shared" si="36"/>
        <v>100</v>
      </c>
      <c r="H369" s="204">
        <f t="shared" si="37"/>
        <v>9.7153405226853198E-3</v>
      </c>
      <c r="I369" s="204">
        <f t="shared" si="38"/>
        <v>4.5574696928265424E-3</v>
      </c>
      <c r="J369" s="198">
        <v>7</v>
      </c>
      <c r="K369" s="199">
        <v>1</v>
      </c>
      <c r="L369" s="207">
        <f t="shared" si="39"/>
        <v>600</v>
      </c>
      <c r="M369" s="204">
        <f t="shared" si="40"/>
        <v>8.3442603409226365E-3</v>
      </c>
      <c r="N369" s="205">
        <f t="shared" si="41"/>
        <v>1.0907385390648008E-3</v>
      </c>
    </row>
    <row r="370" spans="1:14" hidden="1" outlineLevel="1">
      <c r="A370" s="196"/>
      <c r="B370" s="206" t="s">
        <v>1005</v>
      </c>
      <c r="C370" s="202">
        <f t="shared" si="35"/>
        <v>600</v>
      </c>
      <c r="E370" s="198">
        <v>2</v>
      </c>
      <c r="F370" s="199">
        <v>1</v>
      </c>
      <c r="G370" s="207">
        <f t="shared" si="36"/>
        <v>100</v>
      </c>
      <c r="H370" s="204">
        <f t="shared" si="37"/>
        <v>9.7153405226853198E-3</v>
      </c>
      <c r="I370" s="204">
        <f t="shared" si="38"/>
        <v>4.5574696928265424E-3</v>
      </c>
      <c r="J370" s="198">
        <v>7</v>
      </c>
      <c r="K370" s="199">
        <v>1</v>
      </c>
      <c r="L370" s="207">
        <f t="shared" si="39"/>
        <v>600</v>
      </c>
      <c r="M370" s="204">
        <f t="shared" si="40"/>
        <v>8.3442603409226365E-3</v>
      </c>
      <c r="N370" s="205">
        <f t="shared" si="41"/>
        <v>1.0907385390648008E-3</v>
      </c>
    </row>
    <row r="371" spans="1:14" collapsed="1">
      <c r="A371" s="196" t="s">
        <v>1266</v>
      </c>
      <c r="B371" s="195" t="s">
        <v>271</v>
      </c>
      <c r="C371" s="202">
        <f t="shared" si="35"/>
        <v>-25</v>
      </c>
      <c r="E371" s="198">
        <v>3</v>
      </c>
      <c r="F371" s="199">
        <v>1</v>
      </c>
      <c r="G371" s="207">
        <f t="shared" si="36"/>
        <v>200</v>
      </c>
      <c r="H371" s="204">
        <f t="shared" si="37"/>
        <v>1.4573010784027981E-2</v>
      </c>
      <c r="I371" s="204">
        <f t="shared" si="38"/>
        <v>4.5574696928265424E-3</v>
      </c>
      <c r="J371" s="198">
        <v>6</v>
      </c>
      <c r="K371" s="199">
        <v>8</v>
      </c>
      <c r="L371" s="207">
        <f t="shared" si="39"/>
        <v>-25</v>
      </c>
      <c r="M371" s="204">
        <f t="shared" si="40"/>
        <v>7.1522231493622596E-3</v>
      </c>
      <c r="N371" s="205">
        <f t="shared" si="41"/>
        <v>8.7259083125184062E-3</v>
      </c>
    </row>
    <row r="372" spans="1:14" hidden="1" outlineLevel="1">
      <c r="A372" s="196"/>
      <c r="B372" s="206" t="s">
        <v>1002</v>
      </c>
      <c r="C372" s="202">
        <f t="shared" si="35"/>
        <v>300</v>
      </c>
      <c r="E372" s="198">
        <v>2</v>
      </c>
      <c r="F372" s="199">
        <v>1</v>
      </c>
      <c r="G372" s="207">
        <f t="shared" si="36"/>
        <v>100</v>
      </c>
      <c r="H372" s="204">
        <f t="shared" si="37"/>
        <v>9.7153405226853198E-3</v>
      </c>
      <c r="I372" s="204">
        <f t="shared" si="38"/>
        <v>4.5574696928265424E-3</v>
      </c>
      <c r="J372" s="198">
        <v>4</v>
      </c>
      <c r="K372" s="199">
        <v>1</v>
      </c>
      <c r="L372" s="207">
        <f t="shared" si="39"/>
        <v>300</v>
      </c>
      <c r="M372" s="204">
        <f t="shared" si="40"/>
        <v>4.7681487662415067E-3</v>
      </c>
      <c r="N372" s="205">
        <f t="shared" si="41"/>
        <v>1.0907385390648008E-3</v>
      </c>
    </row>
    <row r="373" spans="1:14" hidden="1" outlineLevel="1">
      <c r="A373" s="196"/>
      <c r="B373" s="206" t="s">
        <v>1001</v>
      </c>
      <c r="C373" s="202">
        <f t="shared" si="35"/>
        <v>-71.428571428571431</v>
      </c>
      <c r="E373" s="198">
        <v>1</v>
      </c>
      <c r="F373" s="199">
        <v>0</v>
      </c>
      <c r="G373" s="207" t="str">
        <f t="shared" si="36"/>
        <v/>
      </c>
      <c r="H373" s="204">
        <f t="shared" si="37"/>
        <v>4.8576702613426599E-3</v>
      </c>
      <c r="I373" s="204" t="str">
        <f t="shared" si="38"/>
        <v/>
      </c>
      <c r="J373" s="198">
        <v>2</v>
      </c>
      <c r="K373" s="199">
        <v>7</v>
      </c>
      <c r="L373" s="207">
        <f t="shared" si="39"/>
        <v>-71.428571428571431</v>
      </c>
      <c r="M373" s="204">
        <f t="shared" si="40"/>
        <v>2.3840743831207534E-3</v>
      </c>
      <c r="N373" s="205">
        <f t="shared" si="41"/>
        <v>7.6351697734536057E-3</v>
      </c>
    </row>
    <row r="374" spans="1:14" collapsed="1">
      <c r="A374" s="196" t="s">
        <v>1267</v>
      </c>
      <c r="B374" s="195" t="s">
        <v>1162</v>
      </c>
      <c r="C374" s="202" t="str">
        <f t="shared" si="35"/>
        <v/>
      </c>
      <c r="E374" s="198">
        <v>0</v>
      </c>
      <c r="F374" s="199">
        <v>0</v>
      </c>
      <c r="G374" s="207" t="str">
        <f t="shared" si="36"/>
        <v/>
      </c>
      <c r="H374" s="204" t="str">
        <f t="shared" si="37"/>
        <v/>
      </c>
      <c r="I374" s="204" t="str">
        <f t="shared" si="38"/>
        <v/>
      </c>
      <c r="J374" s="198">
        <v>5</v>
      </c>
      <c r="K374" s="199">
        <v>0</v>
      </c>
      <c r="L374" s="207" t="str">
        <f t="shared" si="39"/>
        <v/>
      </c>
      <c r="M374" s="204">
        <f t="shared" si="40"/>
        <v>5.9601859578018827E-3</v>
      </c>
      <c r="N374" s="205" t="str">
        <f t="shared" si="41"/>
        <v/>
      </c>
    </row>
    <row r="375" spans="1:14" hidden="1" outlineLevel="1">
      <c r="A375" s="196"/>
      <c r="B375" s="206" t="s">
        <v>1163</v>
      </c>
      <c r="C375" s="202" t="str">
        <f t="shared" si="35"/>
        <v/>
      </c>
      <c r="E375" s="198">
        <v>0</v>
      </c>
      <c r="F375" s="199">
        <v>0</v>
      </c>
      <c r="G375" s="207" t="str">
        <f t="shared" si="36"/>
        <v/>
      </c>
      <c r="H375" s="204" t="str">
        <f t="shared" si="37"/>
        <v/>
      </c>
      <c r="I375" s="204" t="str">
        <f t="shared" si="38"/>
        <v/>
      </c>
      <c r="J375" s="198">
        <v>5</v>
      </c>
      <c r="K375" s="199">
        <v>0</v>
      </c>
      <c r="L375" s="207" t="str">
        <f t="shared" si="39"/>
        <v/>
      </c>
      <c r="M375" s="204">
        <f t="shared" si="40"/>
        <v>5.9601859578018827E-3</v>
      </c>
      <c r="N375" s="205" t="str">
        <f t="shared" si="41"/>
        <v/>
      </c>
    </row>
    <row r="376" spans="1:14" collapsed="1">
      <c r="A376" s="196" t="s">
        <v>1268</v>
      </c>
      <c r="B376" s="195" t="s">
        <v>292</v>
      </c>
      <c r="C376" s="202">
        <f t="shared" si="35"/>
        <v>-50</v>
      </c>
      <c r="E376" s="198">
        <v>2</v>
      </c>
      <c r="F376" s="199">
        <v>2</v>
      </c>
      <c r="G376" s="207">
        <f t="shared" si="36"/>
        <v>0</v>
      </c>
      <c r="H376" s="204">
        <f t="shared" si="37"/>
        <v>9.7153405226853198E-3</v>
      </c>
      <c r="I376" s="204">
        <f t="shared" si="38"/>
        <v>9.1149393856530848E-3</v>
      </c>
      <c r="J376" s="198">
        <v>3</v>
      </c>
      <c r="K376" s="199">
        <v>6</v>
      </c>
      <c r="L376" s="207">
        <f t="shared" si="39"/>
        <v>-50</v>
      </c>
      <c r="M376" s="204">
        <f t="shared" si="40"/>
        <v>3.5761115746811298E-3</v>
      </c>
      <c r="N376" s="205">
        <f t="shared" si="41"/>
        <v>6.5444312343888051E-3</v>
      </c>
    </row>
    <row r="377" spans="1:14" hidden="1" outlineLevel="1">
      <c r="A377" s="196"/>
      <c r="B377" s="206" t="s">
        <v>292</v>
      </c>
      <c r="C377" s="202">
        <f t="shared" si="35"/>
        <v>-50</v>
      </c>
      <c r="E377" s="198">
        <v>2</v>
      </c>
      <c r="F377" s="199">
        <v>2</v>
      </c>
      <c r="G377" s="207">
        <f t="shared" si="36"/>
        <v>0</v>
      </c>
      <c r="H377" s="204">
        <f t="shared" si="37"/>
        <v>9.7153405226853198E-3</v>
      </c>
      <c r="I377" s="204">
        <f t="shared" si="38"/>
        <v>9.1149393856530848E-3</v>
      </c>
      <c r="J377" s="198">
        <v>3</v>
      </c>
      <c r="K377" s="199">
        <v>6</v>
      </c>
      <c r="L377" s="207">
        <f t="shared" si="39"/>
        <v>-50</v>
      </c>
      <c r="M377" s="204">
        <f t="shared" si="40"/>
        <v>3.5761115746811298E-3</v>
      </c>
      <c r="N377" s="205">
        <f t="shared" si="41"/>
        <v>6.5444312343888051E-3</v>
      </c>
    </row>
    <row r="378" spans="1:14" collapsed="1">
      <c r="A378" s="196" t="s">
        <v>1164</v>
      </c>
      <c r="B378" s="195" t="s">
        <v>579</v>
      </c>
      <c r="C378" s="202">
        <f t="shared" si="35"/>
        <v>-66.666666666666657</v>
      </c>
      <c r="E378" s="198">
        <v>1</v>
      </c>
      <c r="F378" s="199">
        <v>2</v>
      </c>
      <c r="G378" s="207">
        <f t="shared" si="36"/>
        <v>-50</v>
      </c>
      <c r="H378" s="204">
        <f t="shared" si="37"/>
        <v>4.8576702613426599E-3</v>
      </c>
      <c r="I378" s="204">
        <f t="shared" si="38"/>
        <v>9.1149393856530848E-3</v>
      </c>
      <c r="J378" s="198">
        <v>2</v>
      </c>
      <c r="K378" s="199">
        <v>6</v>
      </c>
      <c r="L378" s="207">
        <f t="shared" si="39"/>
        <v>-66.666666666666657</v>
      </c>
      <c r="M378" s="204">
        <f t="shared" si="40"/>
        <v>2.3840743831207534E-3</v>
      </c>
      <c r="N378" s="205">
        <f t="shared" si="41"/>
        <v>6.5444312343888051E-3</v>
      </c>
    </row>
    <row r="379" spans="1:14" hidden="1" outlineLevel="1">
      <c r="A379" s="196"/>
      <c r="B379" s="206" t="s">
        <v>1004</v>
      </c>
      <c r="C379" s="202">
        <f t="shared" si="35"/>
        <v>-66.666666666666657</v>
      </c>
      <c r="E379" s="198">
        <v>1</v>
      </c>
      <c r="F379" s="199">
        <v>2</v>
      </c>
      <c r="G379" s="207">
        <f t="shared" si="36"/>
        <v>-50</v>
      </c>
      <c r="H379" s="204">
        <f t="shared" si="37"/>
        <v>4.8576702613426599E-3</v>
      </c>
      <c r="I379" s="204">
        <f t="shared" si="38"/>
        <v>9.1149393856530848E-3</v>
      </c>
      <c r="J379" s="198">
        <v>2</v>
      </c>
      <c r="K379" s="199">
        <v>6</v>
      </c>
      <c r="L379" s="207">
        <f t="shared" si="39"/>
        <v>-66.666666666666657</v>
      </c>
      <c r="M379" s="204">
        <f t="shared" si="40"/>
        <v>2.3840743831207534E-3</v>
      </c>
      <c r="N379" s="205">
        <f t="shared" si="41"/>
        <v>6.5444312343888051E-3</v>
      </c>
    </row>
    <row r="380" spans="1:14" collapsed="1">
      <c r="A380" s="196" t="s">
        <v>1269</v>
      </c>
      <c r="B380" s="195" t="s">
        <v>1209</v>
      </c>
      <c r="C380" s="202">
        <f t="shared" si="35"/>
        <v>0</v>
      </c>
      <c r="E380" s="198">
        <v>1</v>
      </c>
      <c r="F380" s="199">
        <v>1</v>
      </c>
      <c r="G380" s="207">
        <f t="shared" si="36"/>
        <v>0</v>
      </c>
      <c r="H380" s="204">
        <f t="shared" si="37"/>
        <v>4.8576702613426599E-3</v>
      </c>
      <c r="I380" s="204">
        <f t="shared" si="38"/>
        <v>4.5574696928265424E-3</v>
      </c>
      <c r="J380" s="198">
        <v>1</v>
      </c>
      <c r="K380" s="199">
        <v>1</v>
      </c>
      <c r="L380" s="207">
        <f t="shared" si="39"/>
        <v>0</v>
      </c>
      <c r="M380" s="204">
        <f t="shared" si="40"/>
        <v>1.1920371915603767E-3</v>
      </c>
      <c r="N380" s="205">
        <f t="shared" si="41"/>
        <v>1.0907385390648008E-3</v>
      </c>
    </row>
    <row r="381" spans="1:14" hidden="1" outlineLevel="1">
      <c r="A381" s="196"/>
      <c r="B381" s="206" t="s">
        <v>1209</v>
      </c>
      <c r="C381" s="202">
        <f t="shared" si="35"/>
        <v>0</v>
      </c>
      <c r="E381" s="198">
        <v>1</v>
      </c>
      <c r="F381" s="199">
        <v>1</v>
      </c>
      <c r="G381" s="207">
        <f t="shared" si="36"/>
        <v>0</v>
      </c>
      <c r="H381" s="204">
        <f t="shared" si="37"/>
        <v>4.8576702613426599E-3</v>
      </c>
      <c r="I381" s="204">
        <f t="shared" si="38"/>
        <v>4.5574696928265424E-3</v>
      </c>
      <c r="J381" s="198">
        <v>1</v>
      </c>
      <c r="K381" s="199">
        <v>1</v>
      </c>
      <c r="L381" s="207">
        <f t="shared" si="39"/>
        <v>0</v>
      </c>
      <c r="M381" s="204">
        <f t="shared" si="40"/>
        <v>1.1920371915603767E-3</v>
      </c>
      <c r="N381" s="205">
        <f t="shared" si="41"/>
        <v>1.0907385390648008E-3</v>
      </c>
    </row>
    <row r="382" spans="1:14" collapsed="1">
      <c r="A382" s="196" t="s">
        <v>1270</v>
      </c>
      <c r="B382" s="195" t="s">
        <v>1192</v>
      </c>
      <c r="C382" s="202">
        <f t="shared" si="35"/>
        <v>0</v>
      </c>
      <c r="E382" s="198">
        <v>0</v>
      </c>
      <c r="F382" s="199">
        <v>1</v>
      </c>
      <c r="G382" s="207">
        <f t="shared" si="36"/>
        <v>-100</v>
      </c>
      <c r="H382" s="204" t="str">
        <f t="shared" si="37"/>
        <v/>
      </c>
      <c r="I382" s="204">
        <f t="shared" si="38"/>
        <v>4.5574696928265424E-3</v>
      </c>
      <c r="J382" s="198">
        <v>1</v>
      </c>
      <c r="K382" s="199">
        <v>1</v>
      </c>
      <c r="L382" s="207">
        <f t="shared" si="39"/>
        <v>0</v>
      </c>
      <c r="M382" s="204">
        <f t="shared" si="40"/>
        <v>1.1920371915603767E-3</v>
      </c>
      <c r="N382" s="205">
        <f t="shared" si="41"/>
        <v>1.0907385390648008E-3</v>
      </c>
    </row>
    <row r="383" spans="1:14" hidden="1" outlineLevel="1">
      <c r="A383" s="196"/>
      <c r="B383" s="206" t="s">
        <v>1193</v>
      </c>
      <c r="C383" s="202">
        <f t="shared" si="35"/>
        <v>0</v>
      </c>
      <c r="E383" s="198">
        <v>0</v>
      </c>
      <c r="F383" s="199">
        <v>1</v>
      </c>
      <c r="G383" s="207">
        <f t="shared" si="36"/>
        <v>-100</v>
      </c>
      <c r="H383" s="204" t="str">
        <f t="shared" si="37"/>
        <v/>
      </c>
      <c r="I383" s="204">
        <f t="shared" si="38"/>
        <v>4.5574696928265424E-3</v>
      </c>
      <c r="J383" s="198">
        <v>1</v>
      </c>
      <c r="K383" s="199">
        <v>1</v>
      </c>
      <c r="L383" s="207">
        <f t="shared" si="39"/>
        <v>0</v>
      </c>
      <c r="M383" s="204">
        <f t="shared" si="40"/>
        <v>1.1920371915603767E-3</v>
      </c>
      <c r="N383" s="205">
        <f t="shared" si="41"/>
        <v>1.0907385390648008E-3</v>
      </c>
    </row>
    <row r="384" spans="1:14" collapsed="1">
      <c r="A384" s="196" t="s">
        <v>1271</v>
      </c>
      <c r="B384" s="195" t="s">
        <v>1210</v>
      </c>
      <c r="C384" s="202">
        <f t="shared" si="35"/>
        <v>-100</v>
      </c>
      <c r="E384" s="198">
        <v>0</v>
      </c>
      <c r="F384" s="199">
        <v>7</v>
      </c>
      <c r="G384" s="207">
        <f t="shared" si="36"/>
        <v>-100</v>
      </c>
      <c r="H384" s="204" t="str">
        <f t="shared" si="37"/>
        <v/>
      </c>
      <c r="I384" s="204">
        <f t="shared" si="38"/>
        <v>3.1902287849785799E-2</v>
      </c>
      <c r="J384" s="198">
        <v>0</v>
      </c>
      <c r="K384" s="199">
        <v>7</v>
      </c>
      <c r="L384" s="207">
        <f t="shared" si="39"/>
        <v>-100</v>
      </c>
      <c r="M384" s="204" t="str">
        <f t="shared" si="40"/>
        <v/>
      </c>
      <c r="N384" s="205">
        <f t="shared" si="41"/>
        <v>7.6351697734536057E-3</v>
      </c>
    </row>
    <row r="385" spans="1:14" hidden="1" outlineLevel="1">
      <c r="A385" s="196"/>
      <c r="B385" s="206" t="s">
        <v>1272</v>
      </c>
      <c r="C385" s="202">
        <f t="shared" si="35"/>
        <v>-100</v>
      </c>
      <c r="E385" s="198">
        <v>0</v>
      </c>
      <c r="F385" s="199">
        <v>5</v>
      </c>
      <c r="G385" s="207">
        <f t="shared" si="36"/>
        <v>-100</v>
      </c>
      <c r="H385" s="204" t="str">
        <f t="shared" si="37"/>
        <v/>
      </c>
      <c r="I385" s="204">
        <f t="shared" si="38"/>
        <v>2.2787348464132714E-2</v>
      </c>
      <c r="J385" s="198">
        <v>0</v>
      </c>
      <c r="K385" s="199">
        <v>5</v>
      </c>
      <c r="L385" s="207">
        <f t="shared" si="39"/>
        <v>-100</v>
      </c>
      <c r="M385" s="204" t="str">
        <f t="shared" si="40"/>
        <v/>
      </c>
      <c r="N385" s="205">
        <f t="shared" si="41"/>
        <v>5.4536926953240037E-3</v>
      </c>
    </row>
    <row r="386" spans="1:14" hidden="1" outlineLevel="1">
      <c r="A386" s="196"/>
      <c r="B386" s="206" t="s">
        <v>1273</v>
      </c>
      <c r="C386" s="202">
        <f t="shared" si="35"/>
        <v>-100</v>
      </c>
      <c r="E386" s="198">
        <v>0</v>
      </c>
      <c r="F386" s="199">
        <v>2</v>
      </c>
      <c r="G386" s="207">
        <f t="shared" si="36"/>
        <v>-100</v>
      </c>
      <c r="H386" s="204" t="str">
        <f t="shared" si="37"/>
        <v/>
      </c>
      <c r="I386" s="204">
        <f t="shared" si="38"/>
        <v>9.1149393856530848E-3</v>
      </c>
      <c r="J386" s="198">
        <v>0</v>
      </c>
      <c r="K386" s="199">
        <v>2</v>
      </c>
      <c r="L386" s="207">
        <f t="shared" si="39"/>
        <v>-100</v>
      </c>
      <c r="M386" s="204" t="str">
        <f t="shared" si="40"/>
        <v/>
      </c>
      <c r="N386" s="205">
        <f t="shared" si="41"/>
        <v>2.1814770781296016E-3</v>
      </c>
    </row>
    <row r="387" spans="1:14" collapsed="1">
      <c r="A387" s="196" t="s">
        <v>1274</v>
      </c>
      <c r="B387" s="195" t="s">
        <v>580</v>
      </c>
      <c r="C387" s="202">
        <f t="shared" si="35"/>
        <v>-100</v>
      </c>
      <c r="E387" s="198">
        <v>0</v>
      </c>
      <c r="F387" s="199">
        <v>0</v>
      </c>
      <c r="G387" s="207" t="str">
        <f t="shared" si="36"/>
        <v/>
      </c>
      <c r="H387" s="204" t="str">
        <f t="shared" si="37"/>
        <v/>
      </c>
      <c r="I387" s="204" t="str">
        <f t="shared" si="38"/>
        <v/>
      </c>
      <c r="J387" s="198">
        <v>0</v>
      </c>
      <c r="K387" s="199">
        <v>3</v>
      </c>
      <c r="L387" s="207">
        <f t="shared" si="39"/>
        <v>-100</v>
      </c>
      <c r="M387" s="204" t="str">
        <f t="shared" si="40"/>
        <v/>
      </c>
      <c r="N387" s="205">
        <f t="shared" si="41"/>
        <v>3.2722156171944025E-3</v>
      </c>
    </row>
    <row r="388" spans="1:14" hidden="1" outlineLevel="1">
      <c r="A388" s="196"/>
      <c r="B388" s="206" t="s">
        <v>580</v>
      </c>
      <c r="C388" s="202">
        <f t="shared" si="35"/>
        <v>-100</v>
      </c>
      <c r="E388" s="198">
        <v>0</v>
      </c>
      <c r="F388" s="199">
        <v>0</v>
      </c>
      <c r="G388" s="207" t="str">
        <f t="shared" si="36"/>
        <v/>
      </c>
      <c r="H388" s="204" t="str">
        <f t="shared" si="37"/>
        <v/>
      </c>
      <c r="I388" s="204" t="str">
        <f t="shared" si="38"/>
        <v/>
      </c>
      <c r="J388" s="198">
        <v>0</v>
      </c>
      <c r="K388" s="199">
        <v>3</v>
      </c>
      <c r="L388" s="207">
        <f t="shared" si="39"/>
        <v>-100</v>
      </c>
      <c r="M388" s="204" t="str">
        <f t="shared" si="40"/>
        <v/>
      </c>
      <c r="N388" s="205">
        <f t="shared" si="41"/>
        <v>3.2722156171944025E-3</v>
      </c>
    </row>
    <row r="389" spans="1:14" collapsed="1">
      <c r="A389" s="196"/>
      <c r="B389" s="195" t="s">
        <v>306</v>
      </c>
      <c r="C389" s="202">
        <f t="shared" si="35"/>
        <v>-5.0847457627118651</v>
      </c>
      <c r="E389" s="198">
        <v>23</v>
      </c>
      <c r="F389" s="199">
        <v>22</v>
      </c>
      <c r="G389" s="207">
        <f t="shared" si="36"/>
        <v>4.5454545454545459</v>
      </c>
      <c r="H389" s="204">
        <f t="shared" si="37"/>
        <v>0.11172641601088118</v>
      </c>
      <c r="I389" s="204">
        <f t="shared" si="38"/>
        <v>0.10026433324218392</v>
      </c>
      <c r="J389" s="198">
        <v>56</v>
      </c>
      <c r="K389" s="199">
        <v>59</v>
      </c>
      <c r="L389" s="207">
        <f t="shared" si="39"/>
        <v>-5.0847457627118651</v>
      </c>
      <c r="M389" s="204">
        <f t="shared" si="40"/>
        <v>6.6754082727381092E-2</v>
      </c>
      <c r="N389" s="205">
        <f t="shared" si="41"/>
        <v>6.4353573804823247E-2</v>
      </c>
    </row>
    <row r="390" spans="1:14" hidden="1" outlineLevel="1">
      <c r="A390" s="196"/>
      <c r="B390" s="206" t="s">
        <v>486</v>
      </c>
      <c r="C390" s="202">
        <f t="shared" si="35"/>
        <v>-5.0847457627118651</v>
      </c>
      <c r="E390" s="198">
        <v>23</v>
      </c>
      <c r="F390" s="199">
        <v>22</v>
      </c>
      <c r="G390" s="207">
        <f t="shared" si="36"/>
        <v>4.5454545454545459</v>
      </c>
      <c r="H390" s="204">
        <f t="shared" si="37"/>
        <v>0.11172641601088118</v>
      </c>
      <c r="I390" s="204">
        <f t="shared" si="38"/>
        <v>0.10026433324218392</v>
      </c>
      <c r="J390" s="198">
        <v>56</v>
      </c>
      <c r="K390" s="199">
        <v>59</v>
      </c>
      <c r="L390" s="207">
        <f t="shared" si="39"/>
        <v>-5.0847457627118651</v>
      </c>
      <c r="M390" s="204">
        <f t="shared" si="40"/>
        <v>6.6754082727381092E-2</v>
      </c>
      <c r="N390" s="205">
        <f t="shared" si="41"/>
        <v>6.4353573804823247E-2</v>
      </c>
    </row>
    <row r="391" spans="1:14">
      <c r="A391" s="196"/>
      <c r="B391" s="208"/>
      <c r="C391" s="202"/>
      <c r="E391" s="198"/>
      <c r="F391" s="199"/>
      <c r="G391" s="207"/>
      <c r="H391" s="204"/>
      <c r="I391" s="204"/>
      <c r="J391" s="198"/>
      <c r="K391" s="199"/>
      <c r="L391" s="207"/>
      <c r="M391" s="204"/>
      <c r="N391" s="205"/>
    </row>
    <row r="392" spans="1:14" ht="15" customHeight="1">
      <c r="B392" s="209" t="s">
        <v>1006</v>
      </c>
      <c r="C392" s="210"/>
      <c r="D392" s="211"/>
      <c r="E392" s="212">
        <f>SUM(E10 + E19 + E39 + E57 + E68 + E73 + E94 + E116 + E142 + E151 + E163 + E179 + E185 + E196 + E206 + E216 + E225 + E232 + E244 + E248 + E256 + E261 + E270 + E275 + E279 + E287 + E290 + E295 + E297 + E303 + E307 + E311 + E317 + E321 + E325 + E330 + E333 + E337 + E339 + E344 + E351 + E355 + E357 + E359 + E363 + E365 + E367 + E369 + E371 + E374 + E376 + E378 + E380 + E382 + E384 + E387 + E389)</f>
        <v>20586</v>
      </c>
      <c r="F392" s="212">
        <f>SUM(F10 + F19 + F39 + F57 + F68 + F73 + F94 + F116 + F142 + F151 + F163 + F179 + F185 + F196 + F206 + F216 + F225 + F232 + F244 + F248 + F256 + F261 + F270 + F275 + F279 + F287 + F290 + F295 + F297 + F303 + F307 + F311 + F317 + F321 + F325 + F330 + F333 + F337 + F339 + F344 + F351 + F355 + F357 + F359 + F363 + F365 + F367 + F369 + F371 + F374 + F376 + F378 + F380 + F382 + F384 + F387 + F389)</f>
        <v>21942</v>
      </c>
      <c r="G392" s="212"/>
      <c r="H392" s="213"/>
      <c r="I392" s="213"/>
      <c r="J392" s="212">
        <f>SUM(J10 + J19 + J39 + J57 + J68 + J73 + J94 + J116 + J142 + J151 + J163 + J179 + J185 + J196 + J206 + J216 + J225 + J232 + J244 + J248 + J256 + J261 + J270 + J275 + J279 + J287 + J290 + J295 + J297 + J303 + J307 + J311 + J317 + J321 + J325 + J330 + J333 + J337 + J339 + J344 + J351 + J355 + J357 + J359 + J363 + J365 + J367 + J369 + J371 + J374 + J376 + J378 + J380 + J382 + J384 + J387 + J389)</f>
        <v>83890</v>
      </c>
      <c r="K392" s="212">
        <f>SUM(K10 + K19 + K39 + K57 + K68 + K73 + K94 + K116 + K142 + K151 + K163 + K179 + K185 + K196 + K206 + K216 + K225 + K232 + K244 + K248 + K256 + K261 + K270 + K275 + K279 + K287 + K290 + K295 + K297 + K303 + K307 + K311 + K317 + K321 + K325 + K330 + K333 + K337 + K339 + K344 + K351 + K355 + K357 + K359 + K363 + K365 + K367 + K369 + K371 + K374 + K376 + K378 + K380 + K382 + K384 + K387 + K389)</f>
        <v>91681</v>
      </c>
      <c r="L392" s="212"/>
      <c r="M392" s="213"/>
      <c r="N392" s="209"/>
    </row>
    <row r="393" spans="1:14">
      <c r="B393" s="214" t="s">
        <v>1007</v>
      </c>
      <c r="C393" s="215"/>
      <c r="D393" s="211"/>
      <c r="E393" s="216">
        <f>CntPeriod-CntPeriodPrevYear</f>
        <v>-1356</v>
      </c>
      <c r="F393" s="216"/>
      <c r="G393" s="217">
        <f>(CntPeriod/CntPeriodPrevYear)-100%</f>
        <v>-6.1799289034727867E-2</v>
      </c>
      <c r="H393" s="218"/>
      <c r="I393" s="219"/>
      <c r="J393" s="220">
        <f>CntYearAck-CntPrevYearAck</f>
        <v>-7791</v>
      </c>
      <c r="K393" s="221"/>
      <c r="L393" s="222">
        <f>(CntYearAck/CntPrevYearAck)-100%</f>
        <v>-8.4979439578538596E-2</v>
      </c>
      <c r="M393" s="223"/>
      <c r="N393" s="223"/>
    </row>
    <row r="396" spans="1:14">
      <c r="B396" s="64" t="s">
        <v>1008</v>
      </c>
    </row>
    <row r="397" spans="1:14">
      <c r="B397" s="64" t="s">
        <v>1009</v>
      </c>
      <c r="C397" s="224"/>
      <c r="D397" s="225"/>
      <c r="E397" s="64"/>
      <c r="F397" s="64"/>
      <c r="G397" s="64"/>
      <c r="H397" s="64"/>
      <c r="I397" s="64"/>
      <c r="J397" s="64"/>
      <c r="K397" s="64"/>
      <c r="L397" s="64"/>
      <c r="M397" s="64"/>
    </row>
    <row r="398" spans="1:14">
      <c r="C398" s="224"/>
      <c r="D398" s="225"/>
      <c r="E398" s="64"/>
      <c r="F398" s="64"/>
      <c r="G398" s="64"/>
      <c r="H398" s="64"/>
      <c r="I398" s="64"/>
      <c r="J398" s="64"/>
      <c r="K398" s="64"/>
      <c r="L398" s="64"/>
      <c r="M398" s="64"/>
    </row>
    <row r="399" spans="1:14">
      <c r="C399" s="224"/>
      <c r="D399" s="225"/>
      <c r="E399" s="64"/>
      <c r="F399" s="64"/>
      <c r="G399" s="64"/>
      <c r="H399" s="64"/>
      <c r="I399" s="64"/>
      <c r="J399" s="64"/>
      <c r="K399" s="64"/>
      <c r="L399" s="64"/>
      <c r="M399" s="64"/>
    </row>
    <row r="400" spans="1:14">
      <c r="B400" s="64" t="s">
        <v>707</v>
      </c>
      <c r="C400" s="224"/>
      <c r="D400" s="225"/>
      <c r="E400" s="64"/>
      <c r="F400" s="64"/>
      <c r="G400" s="64"/>
      <c r="H400" s="64"/>
      <c r="I400" s="64"/>
      <c r="J400" s="64"/>
      <c r="K400" s="64"/>
      <c r="L400" s="64"/>
      <c r="M400" s="64"/>
    </row>
    <row r="401" spans="3:13">
      <c r="C401" s="224"/>
      <c r="D401" s="225"/>
      <c r="E401" s="64"/>
      <c r="F401" s="64"/>
      <c r="G401" s="64"/>
      <c r="H401" s="64"/>
      <c r="I401" s="64"/>
      <c r="J401" s="64"/>
      <c r="K401" s="64"/>
      <c r="L401" s="64"/>
      <c r="M401" s="64"/>
    </row>
  </sheetData>
  <mergeCells count="10">
    <mergeCell ref="E8:F8"/>
    <mergeCell ref="H8:I8"/>
    <mergeCell ref="J8:K8"/>
    <mergeCell ref="M8:N8"/>
    <mergeCell ref="E1:N1"/>
    <mergeCell ref="E6:I6"/>
    <mergeCell ref="J6:N6"/>
    <mergeCell ref="A7:D7"/>
    <mergeCell ref="E7:I7"/>
    <mergeCell ref="J7:N7"/>
  </mergeCells>
  <conditionalFormatting sqref="E393:H393 J393:L393">
    <cfRule type="cellIs" dxfId="9" priority="3" stopIfTrue="1" operator="lessThan">
      <formula>0</formula>
    </cfRule>
  </conditionalFormatting>
  <conditionalFormatting sqref="G10:G391 L10:L391">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73E68F43-666D-4E70-AE7F-B25B847331E0}">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C397:C401</xm:sqref>
        </x14:conditionalFormatting>
        <x14:conditionalFormatting xmlns:xm="http://schemas.microsoft.com/office/excel/2006/main">
          <x14:cfRule type="iconSet" priority="2" id="{17ECCB69-F3C0-4F02-BE98-815395627A0B}">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C402:C1048576 C1:C5 C8:C396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61" activePane="bottomLeft" state="frozen"/>
      <selection activeCell="D49" sqref="D49"/>
      <selection pane="bottomLeft" activeCell="D66" sqref="D66"/>
    </sheetView>
  </sheetViews>
  <sheetFormatPr baseColWidth="10" defaultColWidth="8.83203125" defaultRowHeight="15"/>
  <cols>
    <col min="1" max="1" width="24.33203125" customWidth="1"/>
    <col min="2" max="5" width="13.6640625" style="5" customWidth="1"/>
    <col min="6" max="9" width="12.6640625" style="12" customWidth="1"/>
  </cols>
  <sheetData>
    <row r="1" spans="1:9">
      <c r="B1"/>
      <c r="C1"/>
      <c r="D1"/>
      <c r="E1"/>
      <c r="F1"/>
      <c r="G1"/>
      <c r="H1"/>
      <c r="I1"/>
    </row>
    <row r="2" spans="1:9" ht="19.25" customHeight="1" thickBot="1">
      <c r="B2" s="60" t="s">
        <v>479</v>
      </c>
      <c r="C2" s="60"/>
      <c r="D2" s="60"/>
      <c r="E2" s="60"/>
      <c r="F2" s="60"/>
      <c r="G2" s="60"/>
      <c r="H2"/>
      <c r="I2"/>
    </row>
    <row r="4" spans="1:9">
      <c r="A4" s="59" t="s">
        <v>480</v>
      </c>
      <c r="B4" s="24"/>
      <c r="C4" s="71"/>
      <c r="D4" s="71"/>
      <c r="E4" s="24"/>
      <c r="F4" s="243" t="s">
        <v>475</v>
      </c>
      <c r="G4" s="243"/>
      <c r="H4" s="243"/>
      <c r="I4" s="243"/>
    </row>
    <row r="5" spans="1:9">
      <c r="A5" s="117"/>
      <c r="B5" s="263" t="s">
        <v>562</v>
      </c>
      <c r="C5" s="264"/>
      <c r="D5" s="263" t="s">
        <v>562</v>
      </c>
      <c r="E5" s="264"/>
      <c r="F5" s="265" t="s">
        <v>563</v>
      </c>
      <c r="G5" s="266"/>
      <c r="H5" s="267" t="s">
        <v>564</v>
      </c>
      <c r="I5" s="268"/>
    </row>
    <row r="6" spans="1:9">
      <c r="A6" s="117" t="s">
        <v>589</v>
      </c>
      <c r="B6" s="118" t="str">
        <f>Innehåll!D79</f>
        <v xml:space="preserve"> 2023-04</v>
      </c>
      <c r="C6" s="118" t="str">
        <f>Innehåll!D80</f>
        <v xml:space="preserve"> 2022-04</v>
      </c>
      <c r="D6" s="118" t="str">
        <f>Innehåll!D81</f>
        <v>YTD  2023</v>
      </c>
      <c r="E6" s="118" t="str">
        <f>Innehåll!D82</f>
        <v>YTD  2022</v>
      </c>
      <c r="F6" s="119" t="str">
        <f>B6</f>
        <v xml:space="preserve"> 2023-04</v>
      </c>
      <c r="G6" s="120" t="str">
        <f>D6</f>
        <v>YTD  2023</v>
      </c>
      <c r="H6" s="121" t="str">
        <f>D6</f>
        <v>YTD  2023</v>
      </c>
      <c r="I6" s="121" t="str">
        <f>E6</f>
        <v>YTD  2022</v>
      </c>
    </row>
    <row r="7" spans="1:9" hidden="1">
      <c r="A7" s="181" t="s">
        <v>340</v>
      </c>
      <c r="B7" s="152" t="s">
        <v>319</v>
      </c>
      <c r="C7" s="152" t="s">
        <v>320</v>
      </c>
      <c r="D7" s="152" t="s">
        <v>321</v>
      </c>
      <c r="E7" s="152" t="s">
        <v>322</v>
      </c>
      <c r="F7" s="152" t="s">
        <v>335</v>
      </c>
      <c r="G7" s="152" t="s">
        <v>336</v>
      </c>
      <c r="H7" s="152" t="s">
        <v>323</v>
      </c>
      <c r="I7" s="152" t="s">
        <v>324</v>
      </c>
    </row>
    <row r="8" spans="1:9">
      <c r="A8" s="182" t="s">
        <v>1051</v>
      </c>
      <c r="B8" s="159">
        <v>262</v>
      </c>
      <c r="C8" s="159">
        <v>411</v>
      </c>
      <c r="D8" s="159">
        <v>780</v>
      </c>
      <c r="E8" s="159">
        <v>1087</v>
      </c>
      <c r="F8" s="161">
        <v>-36.253041362530411</v>
      </c>
      <c r="G8" s="161">
        <v>-28.242870285188594</v>
      </c>
      <c r="H8" s="161">
        <v>0.93</v>
      </c>
      <c r="I8" s="161">
        <v>1.18</v>
      </c>
    </row>
    <row r="9" spans="1:9">
      <c r="A9" s="183" t="s">
        <v>269</v>
      </c>
      <c r="B9" s="159">
        <v>36</v>
      </c>
      <c r="C9" s="159">
        <v>1</v>
      </c>
      <c r="D9" s="159">
        <v>130</v>
      </c>
      <c r="E9" s="159">
        <v>27</v>
      </c>
      <c r="F9" s="161">
        <v>3500</v>
      </c>
      <c r="G9" s="161">
        <v>381.48148148148147</v>
      </c>
      <c r="H9" s="161">
        <v>0.15</v>
      </c>
      <c r="I9" s="161">
        <v>0.03</v>
      </c>
    </row>
    <row r="10" spans="1:9">
      <c r="A10" s="183" t="s">
        <v>276</v>
      </c>
      <c r="B10" s="159">
        <v>202</v>
      </c>
      <c r="C10" s="159">
        <v>386</v>
      </c>
      <c r="D10" s="159">
        <v>618</v>
      </c>
      <c r="E10" s="159">
        <v>919</v>
      </c>
      <c r="F10" s="161">
        <v>-47.668393782383419</v>
      </c>
      <c r="G10" s="161">
        <v>-32.752992383025024</v>
      </c>
      <c r="H10" s="161">
        <v>0.74</v>
      </c>
      <c r="I10" s="161">
        <v>1</v>
      </c>
    </row>
    <row r="11" spans="1:9">
      <c r="A11" s="183" t="s">
        <v>282</v>
      </c>
      <c r="B11" s="159">
        <v>24</v>
      </c>
      <c r="C11" s="159">
        <v>24</v>
      </c>
      <c r="D11" s="159">
        <v>32</v>
      </c>
      <c r="E11" s="159">
        <v>141</v>
      </c>
      <c r="F11" s="161">
        <v>0</v>
      </c>
      <c r="G11" s="161">
        <v>-77.304964539007088</v>
      </c>
      <c r="H11" s="161">
        <v>0.04</v>
      </c>
      <c r="I11" s="161">
        <v>0.15</v>
      </c>
    </row>
    <row r="12" spans="1:9">
      <c r="A12" s="182" t="s">
        <v>325</v>
      </c>
      <c r="B12" s="159">
        <v>32</v>
      </c>
      <c r="C12" s="159">
        <v>30</v>
      </c>
      <c r="D12" s="159">
        <v>145</v>
      </c>
      <c r="E12" s="159">
        <v>188</v>
      </c>
      <c r="F12" s="161">
        <v>6.666666666666667</v>
      </c>
      <c r="G12" s="161">
        <v>-22.872340425531913</v>
      </c>
      <c r="H12" s="161">
        <v>0.17</v>
      </c>
      <c r="I12" s="161">
        <v>0.21</v>
      </c>
    </row>
    <row r="13" spans="1:9">
      <c r="A13" s="183" t="s">
        <v>281</v>
      </c>
      <c r="B13" s="159">
        <v>1</v>
      </c>
      <c r="C13" s="159">
        <v>9</v>
      </c>
      <c r="D13" s="159">
        <v>26</v>
      </c>
      <c r="E13" s="159">
        <v>26</v>
      </c>
      <c r="F13" s="161">
        <v>-88.888888888888886</v>
      </c>
      <c r="G13" s="161">
        <v>0</v>
      </c>
      <c r="H13" s="161">
        <v>0.03</v>
      </c>
      <c r="I13" s="161">
        <v>0.03</v>
      </c>
    </row>
    <row r="14" spans="1:9">
      <c r="A14" s="183" t="s">
        <v>285</v>
      </c>
      <c r="B14" s="159">
        <v>31</v>
      </c>
      <c r="C14" s="159">
        <v>21</v>
      </c>
      <c r="D14" s="159">
        <v>119</v>
      </c>
      <c r="E14" s="159">
        <v>162</v>
      </c>
      <c r="F14" s="161">
        <v>47.619047619047613</v>
      </c>
      <c r="G14" s="161">
        <v>-26.543209876543212</v>
      </c>
      <c r="H14" s="161">
        <v>0.14000000000000001</v>
      </c>
      <c r="I14" s="161">
        <v>0.18</v>
      </c>
    </row>
    <row r="15" spans="1:9">
      <c r="A15" s="182" t="s">
        <v>326</v>
      </c>
      <c r="B15" s="159">
        <v>1494</v>
      </c>
      <c r="C15" s="159">
        <v>1700</v>
      </c>
      <c r="D15" s="159">
        <v>5761</v>
      </c>
      <c r="E15" s="159">
        <v>6939</v>
      </c>
      <c r="F15" s="161">
        <v>-12.117647058823529</v>
      </c>
      <c r="G15" s="161">
        <v>-16.976509583513476</v>
      </c>
      <c r="H15" s="161">
        <v>6.87</v>
      </c>
      <c r="I15" s="161">
        <v>7.57</v>
      </c>
    </row>
    <row r="16" spans="1:9">
      <c r="A16" s="183" t="s">
        <v>272</v>
      </c>
      <c r="B16" s="159">
        <v>1325</v>
      </c>
      <c r="C16" s="159">
        <v>1535</v>
      </c>
      <c r="D16" s="159">
        <v>5072</v>
      </c>
      <c r="E16" s="159">
        <v>6118</v>
      </c>
      <c r="F16" s="161">
        <v>-13.680781758957655</v>
      </c>
      <c r="G16" s="161">
        <v>-17.097090552468128</v>
      </c>
      <c r="H16" s="161">
        <v>6.05</v>
      </c>
      <c r="I16" s="161">
        <v>6.67</v>
      </c>
    </row>
    <row r="17" spans="1:9">
      <c r="A17" s="183" t="s">
        <v>290</v>
      </c>
      <c r="B17" s="159">
        <v>169</v>
      </c>
      <c r="C17" s="159">
        <v>165</v>
      </c>
      <c r="D17" s="159">
        <v>689</v>
      </c>
      <c r="E17" s="159">
        <v>821</v>
      </c>
      <c r="F17" s="161">
        <v>2.4242424242424243</v>
      </c>
      <c r="G17" s="161">
        <v>-16.077953714981732</v>
      </c>
      <c r="H17" s="161">
        <v>0.82</v>
      </c>
      <c r="I17" s="161">
        <v>0.9</v>
      </c>
    </row>
    <row r="18" spans="1:9">
      <c r="A18" s="182" t="s">
        <v>1104</v>
      </c>
      <c r="B18" s="159">
        <v>2</v>
      </c>
      <c r="C18" s="159">
        <v>1</v>
      </c>
      <c r="D18" s="159">
        <v>7</v>
      </c>
      <c r="E18" s="159">
        <v>1</v>
      </c>
      <c r="F18" s="161">
        <v>100</v>
      </c>
      <c r="G18" s="161">
        <v>600</v>
      </c>
      <c r="H18" s="161">
        <v>0.01</v>
      </c>
      <c r="I18" s="161">
        <v>0</v>
      </c>
    </row>
    <row r="19" spans="1:9">
      <c r="A19" s="183" t="s">
        <v>700</v>
      </c>
      <c r="B19" s="159">
        <v>2</v>
      </c>
      <c r="C19" s="159">
        <v>1</v>
      </c>
      <c r="D19" s="159">
        <v>7</v>
      </c>
      <c r="E19" s="159">
        <v>1</v>
      </c>
      <c r="F19" s="161">
        <v>100</v>
      </c>
      <c r="G19" s="161">
        <v>600</v>
      </c>
      <c r="H19" s="161">
        <v>0.01</v>
      </c>
      <c r="I19" s="161">
        <v>0</v>
      </c>
    </row>
    <row r="20" spans="1:9">
      <c r="A20" s="182" t="s">
        <v>1092</v>
      </c>
      <c r="B20" s="159">
        <v>1942</v>
      </c>
      <c r="C20" s="159">
        <v>1904</v>
      </c>
      <c r="D20" s="159">
        <v>7275</v>
      </c>
      <c r="E20" s="159">
        <v>7943</v>
      </c>
      <c r="F20" s="161">
        <v>1.9957983193277309</v>
      </c>
      <c r="G20" s="161">
        <v>-8.4099206848797685</v>
      </c>
      <c r="H20" s="161">
        <v>8.67</v>
      </c>
      <c r="I20" s="161">
        <v>8.67</v>
      </c>
    </row>
    <row r="21" spans="1:9">
      <c r="A21" s="183" t="s">
        <v>275</v>
      </c>
      <c r="B21" s="159">
        <v>155</v>
      </c>
      <c r="C21" s="159">
        <v>276</v>
      </c>
      <c r="D21" s="159">
        <v>1040</v>
      </c>
      <c r="E21" s="159">
        <v>1053</v>
      </c>
      <c r="F21" s="161">
        <v>-43.840579710144929</v>
      </c>
      <c r="G21" s="161">
        <v>-1.2345679012345678</v>
      </c>
      <c r="H21" s="161">
        <v>1.24</v>
      </c>
      <c r="I21" s="161">
        <v>1.1499999999999999</v>
      </c>
    </row>
    <row r="22" spans="1:9">
      <c r="A22" s="183" t="s">
        <v>277</v>
      </c>
      <c r="B22" s="159">
        <v>771</v>
      </c>
      <c r="C22" s="159">
        <v>557</v>
      </c>
      <c r="D22" s="159">
        <v>2195</v>
      </c>
      <c r="E22" s="159">
        <v>3189</v>
      </c>
      <c r="F22" s="161">
        <v>38.42010771992819</v>
      </c>
      <c r="G22" s="161">
        <v>-31.16964565694575</v>
      </c>
      <c r="H22" s="161">
        <v>2.62</v>
      </c>
      <c r="I22" s="161">
        <v>3.48</v>
      </c>
    </row>
    <row r="23" spans="1:9">
      <c r="A23" s="183" t="s">
        <v>297</v>
      </c>
      <c r="B23" s="159">
        <v>533</v>
      </c>
      <c r="C23" s="159">
        <v>685</v>
      </c>
      <c r="D23" s="159">
        <v>1677</v>
      </c>
      <c r="E23" s="159">
        <v>2080</v>
      </c>
      <c r="F23" s="161">
        <v>-22.189781021897812</v>
      </c>
      <c r="G23" s="161">
        <v>-19.375</v>
      </c>
      <c r="H23" s="161">
        <v>2</v>
      </c>
      <c r="I23" s="161">
        <v>2.27</v>
      </c>
    </row>
    <row r="24" spans="1:9">
      <c r="A24" s="183" t="s">
        <v>579</v>
      </c>
      <c r="B24" s="159">
        <v>1</v>
      </c>
      <c r="C24" s="159">
        <v>2</v>
      </c>
      <c r="D24" s="159">
        <v>2</v>
      </c>
      <c r="E24" s="159">
        <v>6</v>
      </c>
      <c r="F24" s="161">
        <v>-50</v>
      </c>
      <c r="G24" s="161">
        <v>-66.666666666666657</v>
      </c>
      <c r="H24" s="161">
        <v>0</v>
      </c>
      <c r="I24" s="161">
        <v>0.01</v>
      </c>
    </row>
    <row r="25" spans="1:9">
      <c r="A25" s="183" t="s">
        <v>618</v>
      </c>
      <c r="B25" s="159">
        <v>417</v>
      </c>
      <c r="C25" s="159">
        <v>384</v>
      </c>
      <c r="D25" s="159">
        <v>2066</v>
      </c>
      <c r="E25" s="159">
        <v>1615</v>
      </c>
      <c r="F25" s="161">
        <v>8.59375</v>
      </c>
      <c r="G25" s="161">
        <v>27.925696594427247</v>
      </c>
      <c r="H25" s="161">
        <v>2.46</v>
      </c>
      <c r="I25" s="161">
        <v>1.76</v>
      </c>
    </row>
    <row r="26" spans="1:9">
      <c r="A26" s="183" t="s">
        <v>703</v>
      </c>
      <c r="B26" s="159">
        <v>63</v>
      </c>
      <c r="C26" s="159">
        <v>0</v>
      </c>
      <c r="D26" s="159">
        <v>270</v>
      </c>
      <c r="E26" s="159">
        <v>0</v>
      </c>
      <c r="F26" s="161">
        <v>0</v>
      </c>
      <c r="G26" s="161">
        <v>0</v>
      </c>
      <c r="H26" s="161">
        <v>0.32</v>
      </c>
      <c r="I26" s="161">
        <v>0</v>
      </c>
    </row>
    <row r="27" spans="1:9">
      <c r="A27" s="183" t="s">
        <v>1089</v>
      </c>
      <c r="B27" s="159">
        <v>2</v>
      </c>
      <c r="C27" s="159">
        <v>0</v>
      </c>
      <c r="D27" s="159">
        <v>25</v>
      </c>
      <c r="E27" s="159">
        <v>0</v>
      </c>
      <c r="F27" s="161">
        <v>0</v>
      </c>
      <c r="G27" s="161">
        <v>0</v>
      </c>
      <c r="H27" s="161">
        <v>0.03</v>
      </c>
      <c r="I27" s="161">
        <v>0</v>
      </c>
    </row>
    <row r="28" spans="1:9">
      <c r="A28" s="182" t="s">
        <v>327</v>
      </c>
      <c r="B28" s="159">
        <v>53</v>
      </c>
      <c r="C28" s="159">
        <v>119</v>
      </c>
      <c r="D28" s="159">
        <v>205</v>
      </c>
      <c r="E28" s="159">
        <v>450</v>
      </c>
      <c r="F28" s="161">
        <v>-55.462184873949582</v>
      </c>
      <c r="G28" s="161">
        <v>-54.444444444444443</v>
      </c>
      <c r="H28" s="161">
        <v>0.24</v>
      </c>
      <c r="I28" s="161">
        <v>0.49</v>
      </c>
    </row>
    <row r="29" spans="1:9">
      <c r="A29" s="183" t="s">
        <v>278</v>
      </c>
      <c r="B29" s="159">
        <v>53</v>
      </c>
      <c r="C29" s="159">
        <v>119</v>
      </c>
      <c r="D29" s="159">
        <v>205</v>
      </c>
      <c r="E29" s="159">
        <v>450</v>
      </c>
      <c r="F29" s="161">
        <v>-55.462184873949582</v>
      </c>
      <c r="G29" s="161">
        <v>-54.444444444444443</v>
      </c>
      <c r="H29" s="161">
        <v>0.24</v>
      </c>
      <c r="I29" s="161">
        <v>0.49</v>
      </c>
    </row>
    <row r="30" spans="1:9">
      <c r="A30" s="182" t="s">
        <v>483</v>
      </c>
      <c r="B30" s="159">
        <v>403</v>
      </c>
      <c r="C30" s="159">
        <v>416</v>
      </c>
      <c r="D30" s="159">
        <v>1655</v>
      </c>
      <c r="E30" s="159">
        <v>1936</v>
      </c>
      <c r="F30" s="161">
        <v>-3.125</v>
      </c>
      <c r="G30" s="161">
        <v>-14.514462809917356</v>
      </c>
      <c r="H30" s="161">
        <v>1.97</v>
      </c>
      <c r="I30" s="161">
        <v>2.11</v>
      </c>
    </row>
    <row r="31" spans="1:9">
      <c r="A31" s="183" t="s">
        <v>279</v>
      </c>
      <c r="B31" s="159">
        <v>403</v>
      </c>
      <c r="C31" s="159">
        <v>416</v>
      </c>
      <c r="D31" s="159">
        <v>1655</v>
      </c>
      <c r="E31" s="159">
        <v>1936</v>
      </c>
      <c r="F31" s="161">
        <v>-3.125</v>
      </c>
      <c r="G31" s="161">
        <v>-14.514462809917356</v>
      </c>
      <c r="H31" s="161">
        <v>1.97</v>
      </c>
      <c r="I31" s="161">
        <v>2.11</v>
      </c>
    </row>
    <row r="32" spans="1:9">
      <c r="A32" s="182" t="s">
        <v>1063</v>
      </c>
      <c r="B32" s="159">
        <v>249</v>
      </c>
      <c r="C32" s="159">
        <v>159</v>
      </c>
      <c r="D32" s="159">
        <v>930</v>
      </c>
      <c r="E32" s="159">
        <v>746</v>
      </c>
      <c r="F32" s="161">
        <v>56.60377358490566</v>
      </c>
      <c r="G32" s="161">
        <v>24.664879356568363</v>
      </c>
      <c r="H32" s="161">
        <v>1.1100000000000001</v>
      </c>
      <c r="I32" s="161">
        <v>0.81</v>
      </c>
    </row>
    <row r="33" spans="1:9">
      <c r="A33" s="183" t="s">
        <v>300</v>
      </c>
      <c r="B33" s="159">
        <v>237</v>
      </c>
      <c r="C33" s="159">
        <v>159</v>
      </c>
      <c r="D33" s="159">
        <v>890</v>
      </c>
      <c r="E33" s="159">
        <v>746</v>
      </c>
      <c r="F33" s="161">
        <v>49.056603773584904</v>
      </c>
      <c r="G33" s="161">
        <v>19.302949061662197</v>
      </c>
      <c r="H33" s="161">
        <v>1.06</v>
      </c>
      <c r="I33" s="161">
        <v>0.81</v>
      </c>
    </row>
    <row r="34" spans="1:9">
      <c r="A34" s="183" t="s">
        <v>1076</v>
      </c>
      <c r="B34" s="159">
        <v>12</v>
      </c>
      <c r="C34" s="159">
        <v>0</v>
      </c>
      <c r="D34" s="159">
        <v>40</v>
      </c>
      <c r="E34" s="159">
        <v>0</v>
      </c>
      <c r="F34" s="161">
        <v>0</v>
      </c>
      <c r="G34" s="161">
        <v>0</v>
      </c>
      <c r="H34" s="161">
        <v>0.05</v>
      </c>
      <c r="I34" s="161">
        <v>0</v>
      </c>
    </row>
    <row r="35" spans="1:9">
      <c r="A35" s="182" t="s">
        <v>280</v>
      </c>
      <c r="B35" s="159">
        <v>6</v>
      </c>
      <c r="C35" s="159">
        <v>6</v>
      </c>
      <c r="D35" s="159">
        <v>13</v>
      </c>
      <c r="E35" s="159">
        <v>12</v>
      </c>
      <c r="F35" s="161">
        <v>0</v>
      </c>
      <c r="G35" s="161">
        <v>8.3333333333333321</v>
      </c>
      <c r="H35" s="161">
        <v>0.02</v>
      </c>
      <c r="I35" s="161">
        <v>0.01</v>
      </c>
    </row>
    <row r="36" spans="1:9">
      <c r="A36" s="183" t="s">
        <v>280</v>
      </c>
      <c r="B36" s="159">
        <v>6</v>
      </c>
      <c r="C36" s="159">
        <v>6</v>
      </c>
      <c r="D36" s="159">
        <v>13</v>
      </c>
      <c r="E36" s="159">
        <v>12</v>
      </c>
      <c r="F36" s="161">
        <v>0</v>
      </c>
      <c r="G36" s="161">
        <v>8.3333333333333321</v>
      </c>
      <c r="H36" s="161">
        <v>0.02</v>
      </c>
      <c r="I36" s="161">
        <v>0.01</v>
      </c>
    </row>
    <row r="37" spans="1:9">
      <c r="A37" s="182" t="s">
        <v>581</v>
      </c>
      <c r="B37" s="159">
        <v>1633</v>
      </c>
      <c r="C37" s="159">
        <v>2749</v>
      </c>
      <c r="D37" s="159">
        <v>7241</v>
      </c>
      <c r="E37" s="159">
        <v>10620</v>
      </c>
      <c r="F37" s="161">
        <v>-40.596580574754455</v>
      </c>
      <c r="G37" s="161">
        <v>-31.817325800376651</v>
      </c>
      <c r="H37" s="161">
        <v>8.6300000000000008</v>
      </c>
      <c r="I37" s="161">
        <v>11.58</v>
      </c>
    </row>
    <row r="38" spans="1:9">
      <c r="A38" s="183" t="s">
        <v>283</v>
      </c>
      <c r="B38" s="159">
        <v>1633</v>
      </c>
      <c r="C38" s="159">
        <v>2749</v>
      </c>
      <c r="D38" s="159">
        <v>7241</v>
      </c>
      <c r="E38" s="159">
        <v>10620</v>
      </c>
      <c r="F38" s="161">
        <v>-40.596580574754455</v>
      </c>
      <c r="G38" s="161">
        <v>-31.817325800376651</v>
      </c>
      <c r="H38" s="161">
        <v>8.6300000000000008</v>
      </c>
      <c r="I38" s="161">
        <v>11.58</v>
      </c>
    </row>
    <row r="39" spans="1:9">
      <c r="A39" s="182" t="s">
        <v>482</v>
      </c>
      <c r="B39" s="159">
        <v>859</v>
      </c>
      <c r="C39" s="159">
        <v>1276</v>
      </c>
      <c r="D39" s="159">
        <v>4445</v>
      </c>
      <c r="E39" s="159">
        <v>4857</v>
      </c>
      <c r="F39" s="161">
        <v>-32.680250783699059</v>
      </c>
      <c r="G39" s="161">
        <v>-8.4826024294832205</v>
      </c>
      <c r="H39" s="161">
        <v>5.3</v>
      </c>
      <c r="I39" s="161">
        <v>5.3</v>
      </c>
    </row>
    <row r="40" spans="1:9">
      <c r="A40" s="183" t="s">
        <v>274</v>
      </c>
      <c r="B40" s="159">
        <v>203</v>
      </c>
      <c r="C40" s="159">
        <v>260</v>
      </c>
      <c r="D40" s="159">
        <v>1049</v>
      </c>
      <c r="E40" s="159">
        <v>846</v>
      </c>
      <c r="F40" s="161">
        <v>-21.923076923076923</v>
      </c>
      <c r="G40" s="161">
        <v>23.995271867612296</v>
      </c>
      <c r="H40" s="161">
        <v>1.25</v>
      </c>
      <c r="I40" s="161">
        <v>0.92</v>
      </c>
    </row>
    <row r="41" spans="1:9">
      <c r="A41" s="183" t="s">
        <v>307</v>
      </c>
      <c r="B41" s="159">
        <v>7</v>
      </c>
      <c r="C41" s="159">
        <v>55</v>
      </c>
      <c r="D41" s="159">
        <v>123</v>
      </c>
      <c r="E41" s="159">
        <v>167</v>
      </c>
      <c r="F41" s="161">
        <v>-87.272727272727266</v>
      </c>
      <c r="G41" s="161">
        <v>-26.34730538922156</v>
      </c>
      <c r="H41" s="161">
        <v>0.15</v>
      </c>
      <c r="I41" s="161">
        <v>0.18</v>
      </c>
    </row>
    <row r="42" spans="1:9">
      <c r="A42" s="183" t="s">
        <v>294</v>
      </c>
      <c r="B42" s="159">
        <v>133</v>
      </c>
      <c r="C42" s="159">
        <v>341</v>
      </c>
      <c r="D42" s="159">
        <v>731</v>
      </c>
      <c r="E42" s="159">
        <v>1362</v>
      </c>
      <c r="F42" s="161">
        <v>-60.997067448680355</v>
      </c>
      <c r="G42" s="161">
        <v>-46.328928046989724</v>
      </c>
      <c r="H42" s="161">
        <v>0.87</v>
      </c>
      <c r="I42" s="161">
        <v>1.49</v>
      </c>
    </row>
    <row r="43" spans="1:9">
      <c r="A43" s="183" t="s">
        <v>295</v>
      </c>
      <c r="B43" s="159">
        <v>516</v>
      </c>
      <c r="C43" s="159">
        <v>620</v>
      </c>
      <c r="D43" s="159">
        <v>2542</v>
      </c>
      <c r="E43" s="159">
        <v>2482</v>
      </c>
      <c r="F43" s="161">
        <v>-16.7741935483871</v>
      </c>
      <c r="G43" s="161">
        <v>2.4174053182917001</v>
      </c>
      <c r="H43" s="161">
        <v>3.03</v>
      </c>
      <c r="I43" s="161">
        <v>2.71</v>
      </c>
    </row>
    <row r="44" spans="1:9">
      <c r="A44" s="182" t="s">
        <v>659</v>
      </c>
      <c r="B44" s="159">
        <v>72</v>
      </c>
      <c r="C44" s="159">
        <v>33</v>
      </c>
      <c r="D44" s="159">
        <v>210</v>
      </c>
      <c r="E44" s="159">
        <v>217</v>
      </c>
      <c r="F44" s="161">
        <v>118.18181818181819</v>
      </c>
      <c r="G44" s="161">
        <v>-3.225806451612903</v>
      </c>
      <c r="H44" s="161">
        <v>0.25</v>
      </c>
      <c r="I44" s="161">
        <v>0.24</v>
      </c>
    </row>
    <row r="45" spans="1:9">
      <c r="A45" s="183" t="s">
        <v>291</v>
      </c>
      <c r="B45" s="159">
        <v>72</v>
      </c>
      <c r="C45" s="159">
        <v>33</v>
      </c>
      <c r="D45" s="159">
        <v>210</v>
      </c>
      <c r="E45" s="159">
        <v>217</v>
      </c>
      <c r="F45" s="161">
        <v>118.18181818181819</v>
      </c>
      <c r="G45" s="161">
        <v>-3.225806451612903</v>
      </c>
      <c r="H45" s="161">
        <v>0.25</v>
      </c>
      <c r="I45" s="161">
        <v>0.24</v>
      </c>
    </row>
    <row r="46" spans="1:9">
      <c r="A46" s="182" t="s">
        <v>1142</v>
      </c>
      <c r="B46" s="159">
        <v>0</v>
      </c>
      <c r="C46" s="159">
        <v>1</v>
      </c>
      <c r="D46" s="159">
        <v>1</v>
      </c>
      <c r="E46" s="159">
        <v>1</v>
      </c>
      <c r="F46" s="161">
        <v>-100</v>
      </c>
      <c r="G46" s="161">
        <v>0</v>
      </c>
      <c r="H46" s="161">
        <v>0</v>
      </c>
      <c r="I46" s="161">
        <v>0</v>
      </c>
    </row>
    <row r="47" spans="1:9">
      <c r="A47" s="183" t="s">
        <v>1142</v>
      </c>
      <c r="B47" s="159">
        <v>0</v>
      </c>
      <c r="C47" s="159">
        <v>1</v>
      </c>
      <c r="D47" s="159">
        <v>1</v>
      </c>
      <c r="E47" s="159">
        <v>1</v>
      </c>
      <c r="F47" s="161">
        <v>-100</v>
      </c>
      <c r="G47" s="161">
        <v>0</v>
      </c>
      <c r="H47" s="161">
        <v>0</v>
      </c>
      <c r="I47" s="161">
        <v>0</v>
      </c>
    </row>
    <row r="48" spans="1:9">
      <c r="A48" s="182" t="s">
        <v>328</v>
      </c>
      <c r="B48" s="159">
        <v>84</v>
      </c>
      <c r="C48" s="159">
        <v>165</v>
      </c>
      <c r="D48" s="159">
        <v>308</v>
      </c>
      <c r="E48" s="159">
        <v>681</v>
      </c>
      <c r="F48" s="161">
        <v>-49.090909090909093</v>
      </c>
      <c r="G48" s="161">
        <v>-54.772393538913363</v>
      </c>
      <c r="H48" s="161">
        <v>0.37</v>
      </c>
      <c r="I48" s="161">
        <v>0.74</v>
      </c>
    </row>
    <row r="49" spans="1:9">
      <c r="A49" s="183" t="s">
        <v>301</v>
      </c>
      <c r="B49" s="159">
        <v>84</v>
      </c>
      <c r="C49" s="159">
        <v>165</v>
      </c>
      <c r="D49" s="159">
        <v>308</v>
      </c>
      <c r="E49" s="159">
        <v>681</v>
      </c>
      <c r="F49" s="161">
        <v>-49.090909090909093</v>
      </c>
      <c r="G49" s="161">
        <v>-54.772393538913363</v>
      </c>
      <c r="H49" s="161">
        <v>0.37</v>
      </c>
      <c r="I49" s="161">
        <v>0.74</v>
      </c>
    </row>
    <row r="50" spans="1:9">
      <c r="A50" s="182" t="s">
        <v>601</v>
      </c>
      <c r="B50" s="159">
        <v>143</v>
      </c>
      <c r="C50" s="159">
        <v>211</v>
      </c>
      <c r="D50" s="159">
        <v>580</v>
      </c>
      <c r="E50" s="159">
        <v>662</v>
      </c>
      <c r="F50" s="161">
        <v>-32.227488151658768</v>
      </c>
      <c r="G50" s="161">
        <v>-12.386706948640484</v>
      </c>
      <c r="H50" s="161">
        <v>0.69</v>
      </c>
      <c r="I50" s="161">
        <v>0.72</v>
      </c>
    </row>
    <row r="51" spans="1:9">
      <c r="A51" s="183" t="s">
        <v>601</v>
      </c>
      <c r="B51" s="159">
        <v>143</v>
      </c>
      <c r="C51" s="159">
        <v>211</v>
      </c>
      <c r="D51" s="159">
        <v>580</v>
      </c>
      <c r="E51" s="159">
        <v>662</v>
      </c>
      <c r="F51" s="161">
        <v>-32.227488151658768</v>
      </c>
      <c r="G51" s="161">
        <v>-12.386706948640484</v>
      </c>
      <c r="H51" s="161">
        <v>0.69</v>
      </c>
      <c r="I51" s="161">
        <v>0.72</v>
      </c>
    </row>
    <row r="52" spans="1:9">
      <c r="A52" s="182" t="s">
        <v>329</v>
      </c>
      <c r="B52" s="159">
        <v>91</v>
      </c>
      <c r="C52" s="159">
        <v>175</v>
      </c>
      <c r="D52" s="159">
        <v>1649</v>
      </c>
      <c r="E52" s="159">
        <v>449</v>
      </c>
      <c r="F52" s="161">
        <v>-48</v>
      </c>
      <c r="G52" s="161">
        <v>267.260579064588</v>
      </c>
      <c r="H52" s="161">
        <v>1.97</v>
      </c>
      <c r="I52" s="161">
        <v>0.49</v>
      </c>
    </row>
    <row r="53" spans="1:9">
      <c r="A53" s="183" t="s">
        <v>288</v>
      </c>
      <c r="B53" s="159">
        <v>91</v>
      </c>
      <c r="C53" s="159">
        <v>175</v>
      </c>
      <c r="D53" s="159">
        <v>1649</v>
      </c>
      <c r="E53" s="159">
        <v>449</v>
      </c>
      <c r="F53" s="161">
        <v>-48</v>
      </c>
      <c r="G53" s="161">
        <v>267.260579064588</v>
      </c>
      <c r="H53" s="161">
        <v>1.97</v>
      </c>
      <c r="I53" s="161">
        <v>0.49</v>
      </c>
    </row>
    <row r="54" spans="1:9">
      <c r="A54" s="182" t="s">
        <v>371</v>
      </c>
      <c r="B54" s="159">
        <v>1292</v>
      </c>
      <c r="C54" s="159">
        <v>1273</v>
      </c>
      <c r="D54" s="159">
        <v>4445</v>
      </c>
      <c r="E54" s="159">
        <v>4579</v>
      </c>
      <c r="F54" s="161">
        <v>1.4925373134328357</v>
      </c>
      <c r="G54" s="161">
        <v>-2.9264031447914394</v>
      </c>
      <c r="H54" s="161">
        <v>5.3</v>
      </c>
      <c r="I54" s="161">
        <v>4.9899999999999993</v>
      </c>
    </row>
    <row r="55" spans="1:9">
      <c r="A55" s="183" t="s">
        <v>399</v>
      </c>
      <c r="B55" s="159">
        <v>1269</v>
      </c>
      <c r="C55" s="159">
        <v>1268</v>
      </c>
      <c r="D55" s="159">
        <v>4397</v>
      </c>
      <c r="E55" s="159">
        <v>4558</v>
      </c>
      <c r="F55" s="161">
        <v>7.8864353312302835E-2</v>
      </c>
      <c r="G55" s="161">
        <v>-3.5322509872751207</v>
      </c>
      <c r="H55" s="161">
        <v>5.24</v>
      </c>
      <c r="I55" s="161">
        <v>4.97</v>
      </c>
    </row>
    <row r="56" spans="1:9">
      <c r="A56" s="183" t="s">
        <v>289</v>
      </c>
      <c r="B56" s="159">
        <v>22</v>
      </c>
      <c r="C56" s="159">
        <v>4</v>
      </c>
      <c r="D56" s="159">
        <v>47</v>
      </c>
      <c r="E56" s="159">
        <v>20</v>
      </c>
      <c r="F56" s="161">
        <v>450</v>
      </c>
      <c r="G56" s="161">
        <v>135</v>
      </c>
      <c r="H56" s="161">
        <v>0.06</v>
      </c>
      <c r="I56" s="161">
        <v>0.02</v>
      </c>
    </row>
    <row r="57" spans="1:9">
      <c r="A57" s="183" t="s">
        <v>1209</v>
      </c>
      <c r="B57" s="159">
        <v>1</v>
      </c>
      <c r="C57" s="159">
        <v>1</v>
      </c>
      <c r="D57" s="159">
        <v>1</v>
      </c>
      <c r="E57" s="159">
        <v>1</v>
      </c>
      <c r="F57" s="161">
        <v>0</v>
      </c>
      <c r="G57" s="161">
        <v>0</v>
      </c>
      <c r="H57" s="161">
        <v>0</v>
      </c>
      <c r="I57" s="161">
        <v>0</v>
      </c>
    </row>
    <row r="58" spans="1:9">
      <c r="A58" s="182" t="s">
        <v>1105</v>
      </c>
      <c r="B58" s="159">
        <v>14</v>
      </c>
      <c r="C58" s="159">
        <v>0</v>
      </c>
      <c r="D58" s="159">
        <v>55</v>
      </c>
      <c r="E58" s="159">
        <v>0</v>
      </c>
      <c r="F58" s="161">
        <v>0</v>
      </c>
      <c r="G58" s="161">
        <v>0</v>
      </c>
      <c r="H58" s="161">
        <v>7.0000000000000007E-2</v>
      </c>
      <c r="I58" s="161">
        <v>0</v>
      </c>
    </row>
    <row r="59" spans="1:9">
      <c r="A59" s="183" t="s">
        <v>1102</v>
      </c>
      <c r="B59" s="159">
        <v>14</v>
      </c>
      <c r="C59" s="159">
        <v>0</v>
      </c>
      <c r="D59" s="159">
        <v>55</v>
      </c>
      <c r="E59" s="159">
        <v>0</v>
      </c>
      <c r="F59" s="161">
        <v>0</v>
      </c>
      <c r="G59" s="161">
        <v>0</v>
      </c>
      <c r="H59" s="161">
        <v>7.0000000000000007E-2</v>
      </c>
      <c r="I59" s="161">
        <v>0</v>
      </c>
    </row>
    <row r="60" spans="1:9">
      <c r="A60" s="182" t="s">
        <v>330</v>
      </c>
      <c r="B60" s="159">
        <v>332</v>
      </c>
      <c r="C60" s="159">
        <v>654</v>
      </c>
      <c r="D60" s="159">
        <v>1582</v>
      </c>
      <c r="E60" s="159">
        <v>2048</v>
      </c>
      <c r="F60" s="161">
        <v>-49.235474006116206</v>
      </c>
      <c r="G60" s="161">
        <v>-22.75390625</v>
      </c>
      <c r="H60" s="161">
        <v>1.89</v>
      </c>
      <c r="I60" s="161">
        <v>2.23</v>
      </c>
    </row>
    <row r="61" spans="1:9">
      <c r="A61" s="183" t="s">
        <v>293</v>
      </c>
      <c r="B61" s="159">
        <v>332</v>
      </c>
      <c r="C61" s="159">
        <v>654</v>
      </c>
      <c r="D61" s="159">
        <v>1582</v>
      </c>
      <c r="E61" s="159">
        <v>2048</v>
      </c>
      <c r="F61" s="161">
        <v>-49.235474006116206</v>
      </c>
      <c r="G61" s="161">
        <v>-22.75390625</v>
      </c>
      <c r="H61" s="161">
        <v>1.89</v>
      </c>
      <c r="I61" s="161">
        <v>2.23</v>
      </c>
    </row>
    <row r="62" spans="1:9">
      <c r="A62" s="182" t="s">
        <v>429</v>
      </c>
      <c r="B62" s="159">
        <v>120</v>
      </c>
      <c r="C62" s="159">
        <v>496</v>
      </c>
      <c r="D62" s="159">
        <v>644</v>
      </c>
      <c r="E62" s="159">
        <v>1684</v>
      </c>
      <c r="F62" s="161">
        <v>-75.806451612903231</v>
      </c>
      <c r="G62" s="161">
        <v>-61.757719714964367</v>
      </c>
      <c r="H62" s="161">
        <v>0.77</v>
      </c>
      <c r="I62" s="161">
        <v>1.84</v>
      </c>
    </row>
    <row r="63" spans="1:9">
      <c r="A63" s="183" t="s">
        <v>334</v>
      </c>
      <c r="B63" s="159">
        <v>120</v>
      </c>
      <c r="C63" s="159">
        <v>496</v>
      </c>
      <c r="D63" s="159">
        <v>644</v>
      </c>
      <c r="E63" s="159">
        <v>1684</v>
      </c>
      <c r="F63" s="161">
        <v>-75.806451612903231</v>
      </c>
      <c r="G63" s="161">
        <v>-61.757719714964367</v>
      </c>
      <c r="H63" s="161">
        <v>0.77</v>
      </c>
      <c r="I63" s="161">
        <v>1.84</v>
      </c>
    </row>
    <row r="64" spans="1:9">
      <c r="A64" s="182" t="s">
        <v>462</v>
      </c>
      <c r="B64" s="159">
        <v>13</v>
      </c>
      <c r="C64" s="159">
        <v>6</v>
      </c>
      <c r="D64" s="159">
        <v>64</v>
      </c>
      <c r="E64" s="159">
        <v>17</v>
      </c>
      <c r="F64" s="161">
        <v>116.66666666666667</v>
      </c>
      <c r="G64" s="161">
        <v>276.47058823529409</v>
      </c>
      <c r="H64" s="161">
        <v>0.08</v>
      </c>
      <c r="I64" s="161">
        <v>0.02</v>
      </c>
    </row>
    <row r="65" spans="1:9">
      <c r="A65" s="183" t="s">
        <v>437</v>
      </c>
      <c r="B65" s="159">
        <v>13</v>
      </c>
      <c r="C65" s="159">
        <v>6</v>
      </c>
      <c r="D65" s="159">
        <v>64</v>
      </c>
      <c r="E65" s="159">
        <v>17</v>
      </c>
      <c r="F65" s="161">
        <v>116.66666666666667</v>
      </c>
      <c r="G65" s="161">
        <v>276.47058823529409</v>
      </c>
      <c r="H65" s="161">
        <v>0.08</v>
      </c>
      <c r="I65" s="161">
        <v>0.02</v>
      </c>
    </row>
    <row r="66" spans="1:9">
      <c r="A66" s="182" t="s">
        <v>604</v>
      </c>
      <c r="B66" s="159">
        <v>742</v>
      </c>
      <c r="C66" s="159">
        <v>9</v>
      </c>
      <c r="D66" s="159">
        <v>5425</v>
      </c>
      <c r="E66" s="159">
        <v>3142</v>
      </c>
      <c r="F66" s="161">
        <v>8144.4444444444443</v>
      </c>
      <c r="G66" s="161">
        <v>72.660725652450665</v>
      </c>
      <c r="H66" s="161">
        <v>6.47</v>
      </c>
      <c r="I66" s="161">
        <v>3.43</v>
      </c>
    </row>
    <row r="67" spans="1:9">
      <c r="A67" s="183" t="s">
        <v>302</v>
      </c>
      <c r="B67" s="159">
        <v>742</v>
      </c>
      <c r="C67" s="159">
        <v>9</v>
      </c>
      <c r="D67" s="159">
        <v>5425</v>
      </c>
      <c r="E67" s="159">
        <v>3142</v>
      </c>
      <c r="F67" s="161">
        <v>8144.4444444444443</v>
      </c>
      <c r="G67" s="161">
        <v>72.660725652450665</v>
      </c>
      <c r="H67" s="161">
        <v>6.47</v>
      </c>
      <c r="I67" s="161">
        <v>3.43</v>
      </c>
    </row>
    <row r="68" spans="1:9">
      <c r="A68" s="182" t="s">
        <v>331</v>
      </c>
      <c r="B68" s="159">
        <v>1897</v>
      </c>
      <c r="C68" s="159">
        <v>2153</v>
      </c>
      <c r="D68" s="159">
        <v>7940</v>
      </c>
      <c r="E68" s="159">
        <v>8153</v>
      </c>
      <c r="F68" s="161">
        <v>-11.890385508592662</v>
      </c>
      <c r="G68" s="161">
        <v>-2.6125352630933398</v>
      </c>
      <c r="H68" s="161">
        <v>9.4599999999999991</v>
      </c>
      <c r="I68" s="161">
        <v>8.89</v>
      </c>
    </row>
    <row r="69" spans="1:9">
      <c r="A69" s="183" t="s">
        <v>286</v>
      </c>
      <c r="B69" s="159">
        <v>196</v>
      </c>
      <c r="C69" s="159">
        <v>93</v>
      </c>
      <c r="D69" s="159">
        <v>650</v>
      </c>
      <c r="E69" s="159">
        <v>357</v>
      </c>
      <c r="F69" s="161">
        <v>110.75268817204301</v>
      </c>
      <c r="G69" s="161">
        <v>82.072829131652654</v>
      </c>
      <c r="H69" s="161">
        <v>0.77</v>
      </c>
      <c r="I69" s="161">
        <v>0.39</v>
      </c>
    </row>
    <row r="70" spans="1:9">
      <c r="A70" s="183" t="s">
        <v>303</v>
      </c>
      <c r="B70" s="159">
        <v>1701</v>
      </c>
      <c r="C70" s="159">
        <v>2060</v>
      </c>
      <c r="D70" s="159">
        <v>7290</v>
      </c>
      <c r="E70" s="159">
        <v>7796</v>
      </c>
      <c r="F70" s="161">
        <v>-17.427184466019419</v>
      </c>
      <c r="G70" s="161">
        <v>-6.490507952796305</v>
      </c>
      <c r="H70" s="161">
        <v>8.69</v>
      </c>
      <c r="I70" s="161">
        <v>8.5</v>
      </c>
    </row>
    <row r="71" spans="1:9">
      <c r="A71" s="182" t="s">
        <v>332</v>
      </c>
      <c r="B71" s="159">
        <v>5780</v>
      </c>
      <c r="C71" s="159">
        <v>4618</v>
      </c>
      <c r="D71" s="159">
        <v>20016</v>
      </c>
      <c r="E71" s="159">
        <v>19364</v>
      </c>
      <c r="F71" s="161">
        <v>25.162407968817668</v>
      </c>
      <c r="G71" s="161">
        <v>3.3670729188184256</v>
      </c>
      <c r="H71" s="161">
        <v>23.859999999999996</v>
      </c>
      <c r="I71" s="161">
        <v>21.12</v>
      </c>
    </row>
    <row r="72" spans="1:9">
      <c r="A72" s="183" t="s">
        <v>270</v>
      </c>
      <c r="B72" s="159">
        <v>1486</v>
      </c>
      <c r="C72" s="159">
        <v>985</v>
      </c>
      <c r="D72" s="159">
        <v>5118</v>
      </c>
      <c r="E72" s="159">
        <v>4228</v>
      </c>
      <c r="F72" s="161">
        <v>50.862944162436548</v>
      </c>
      <c r="G72" s="161">
        <v>21.050141911069066</v>
      </c>
      <c r="H72" s="161">
        <v>6.1</v>
      </c>
      <c r="I72" s="161">
        <v>4.6100000000000003</v>
      </c>
    </row>
    <row r="73" spans="1:9">
      <c r="A73" s="183" t="s">
        <v>296</v>
      </c>
      <c r="B73" s="159">
        <v>323</v>
      </c>
      <c r="C73" s="159">
        <v>231</v>
      </c>
      <c r="D73" s="159">
        <v>1093</v>
      </c>
      <c r="E73" s="159">
        <v>937</v>
      </c>
      <c r="F73" s="161">
        <v>39.82683982683983</v>
      </c>
      <c r="G73" s="161">
        <v>16.648879402347919</v>
      </c>
      <c r="H73" s="161">
        <v>1.3</v>
      </c>
      <c r="I73" s="161">
        <v>1.02</v>
      </c>
    </row>
    <row r="74" spans="1:9">
      <c r="A74" s="183" t="s">
        <v>298</v>
      </c>
      <c r="B74" s="159">
        <v>212</v>
      </c>
      <c r="C74" s="159">
        <v>448</v>
      </c>
      <c r="D74" s="159">
        <v>898</v>
      </c>
      <c r="E74" s="159">
        <v>1439</v>
      </c>
      <c r="F74" s="161">
        <v>-52.678571428571431</v>
      </c>
      <c r="G74" s="161">
        <v>-37.595552466990966</v>
      </c>
      <c r="H74" s="161">
        <v>1.07</v>
      </c>
      <c r="I74" s="161">
        <v>1.57</v>
      </c>
    </row>
    <row r="75" spans="1:9">
      <c r="A75" s="183" t="s">
        <v>299</v>
      </c>
      <c r="B75" s="159">
        <v>988</v>
      </c>
      <c r="C75" s="159">
        <v>775</v>
      </c>
      <c r="D75" s="159">
        <v>3650</v>
      </c>
      <c r="E75" s="159">
        <v>3438</v>
      </c>
      <c r="F75" s="161">
        <v>27.483870967741936</v>
      </c>
      <c r="G75" s="161">
        <v>6.166375799883653</v>
      </c>
      <c r="H75" s="161">
        <v>4.3499999999999996</v>
      </c>
      <c r="I75" s="161">
        <v>3.75</v>
      </c>
    </row>
    <row r="76" spans="1:9">
      <c r="A76" s="183" t="s">
        <v>304</v>
      </c>
      <c r="B76" s="159">
        <v>2515</v>
      </c>
      <c r="C76" s="159">
        <v>2179</v>
      </c>
      <c r="D76" s="159">
        <v>8553</v>
      </c>
      <c r="E76" s="159">
        <v>9322</v>
      </c>
      <c r="F76" s="161">
        <v>15.419917393299679</v>
      </c>
      <c r="G76" s="161">
        <v>-8.2493027247371806</v>
      </c>
      <c r="H76" s="161">
        <v>10.199999999999999</v>
      </c>
      <c r="I76" s="161">
        <v>10.17</v>
      </c>
    </row>
    <row r="77" spans="1:9">
      <c r="A77" s="183" t="s">
        <v>1101</v>
      </c>
      <c r="B77" s="159">
        <v>256</v>
      </c>
      <c r="C77" s="159">
        <v>0</v>
      </c>
      <c r="D77" s="159">
        <v>704</v>
      </c>
      <c r="E77" s="159">
        <v>0</v>
      </c>
      <c r="F77" s="161">
        <v>0</v>
      </c>
      <c r="G77" s="161">
        <v>0</v>
      </c>
      <c r="H77" s="161">
        <v>0.84</v>
      </c>
      <c r="I77" s="161">
        <v>0</v>
      </c>
    </row>
    <row r="78" spans="1:9">
      <c r="A78" s="182" t="s">
        <v>333</v>
      </c>
      <c r="B78" s="159">
        <v>3012</v>
      </c>
      <c r="C78" s="159">
        <v>3321</v>
      </c>
      <c r="D78" s="159">
        <v>12376</v>
      </c>
      <c r="E78" s="159">
        <v>15768</v>
      </c>
      <c r="F78" s="161">
        <v>-9.3044263775971103</v>
      </c>
      <c r="G78" s="161">
        <v>-21.511922881785893</v>
      </c>
      <c r="H78" s="161">
        <v>14.75</v>
      </c>
      <c r="I78" s="161">
        <v>17.200000000000003</v>
      </c>
    </row>
    <row r="79" spans="1:9">
      <c r="A79" s="183" t="s">
        <v>334</v>
      </c>
      <c r="B79" s="159">
        <v>0</v>
      </c>
      <c r="C79" s="159">
        <v>2</v>
      </c>
      <c r="D79" s="159">
        <v>0</v>
      </c>
      <c r="E79" s="159">
        <v>5</v>
      </c>
      <c r="F79" s="161">
        <v>-100</v>
      </c>
      <c r="G79" s="161">
        <v>-100</v>
      </c>
      <c r="H79" s="161">
        <v>0</v>
      </c>
      <c r="I79" s="161">
        <v>0.01</v>
      </c>
    </row>
    <row r="80" spans="1:9">
      <c r="A80" s="183" t="s">
        <v>305</v>
      </c>
      <c r="B80" s="159">
        <v>3012</v>
      </c>
      <c r="C80" s="159">
        <v>3319</v>
      </c>
      <c r="D80" s="159">
        <v>12376</v>
      </c>
      <c r="E80" s="159">
        <v>15763</v>
      </c>
      <c r="F80" s="161">
        <v>-9.2497740283217826</v>
      </c>
      <c r="G80" s="161">
        <v>-21.487026581234538</v>
      </c>
      <c r="H80" s="161">
        <v>14.75</v>
      </c>
      <c r="I80" s="161">
        <v>17.190000000000001</v>
      </c>
    </row>
    <row r="81" spans="1:9">
      <c r="A81" s="182" t="s">
        <v>1211</v>
      </c>
      <c r="B81" s="159">
        <v>0</v>
      </c>
      <c r="C81" s="159">
        <v>7</v>
      </c>
      <c r="D81" s="159">
        <v>0</v>
      </c>
      <c r="E81" s="159">
        <v>7</v>
      </c>
      <c r="F81" s="161">
        <v>-100</v>
      </c>
      <c r="G81" s="161">
        <v>-100</v>
      </c>
      <c r="H81" s="161">
        <v>0</v>
      </c>
      <c r="I81" s="161">
        <v>0.01</v>
      </c>
    </row>
    <row r="82" spans="1:9">
      <c r="A82" s="183" t="s">
        <v>1210</v>
      </c>
      <c r="B82" s="159">
        <v>0</v>
      </c>
      <c r="C82" s="159">
        <v>7</v>
      </c>
      <c r="D82" s="159">
        <v>0</v>
      </c>
      <c r="E82" s="159">
        <v>7</v>
      </c>
      <c r="F82" s="161">
        <v>-100</v>
      </c>
      <c r="G82" s="161">
        <v>-100</v>
      </c>
      <c r="H82" s="161">
        <v>0</v>
      </c>
      <c r="I82" s="161">
        <v>0.01</v>
      </c>
    </row>
    <row r="83" spans="1:9">
      <c r="A83" s="182" t="s">
        <v>219</v>
      </c>
      <c r="B83" s="159">
        <v>59</v>
      </c>
      <c r="C83" s="159">
        <v>49</v>
      </c>
      <c r="D83" s="159">
        <v>138</v>
      </c>
      <c r="E83" s="159">
        <v>130</v>
      </c>
      <c r="F83" s="161">
        <v>20.408163265306122</v>
      </c>
      <c r="G83" s="161">
        <v>6.1538461538461542</v>
      </c>
      <c r="H83" s="161">
        <v>0.16</v>
      </c>
      <c r="I83" s="161">
        <v>0.14000000000000001</v>
      </c>
    </row>
    <row r="84" spans="1:9">
      <c r="A84" s="183" t="s">
        <v>306</v>
      </c>
      <c r="B84" s="159">
        <v>59</v>
      </c>
      <c r="C84" s="159">
        <v>49</v>
      </c>
      <c r="D84" s="159">
        <v>138</v>
      </c>
      <c r="E84" s="159">
        <v>130</v>
      </c>
      <c r="F84" s="161">
        <v>20.408163265306122</v>
      </c>
      <c r="G84" s="161">
        <v>6.1538461538461542</v>
      </c>
      <c r="H84" s="161">
        <v>0.16</v>
      </c>
      <c r="I84" s="161">
        <v>0.14000000000000001</v>
      </c>
    </row>
    <row r="85" spans="1:9">
      <c r="A85" s="182" t="s">
        <v>477</v>
      </c>
      <c r="B85" s="159">
        <v>20586</v>
      </c>
      <c r="C85" s="159">
        <v>21942</v>
      </c>
      <c r="D85" s="159">
        <v>83890</v>
      </c>
      <c r="E85" s="159">
        <v>91681</v>
      </c>
      <c r="F85" s="161">
        <v>-6.179928903472792</v>
      </c>
      <c r="G85" s="161">
        <v>-8.4979439578538631</v>
      </c>
      <c r="H85" s="161">
        <v>100.00999999999998</v>
      </c>
      <c r="I85" s="161">
        <v>99.990000000000023</v>
      </c>
    </row>
    <row r="86" spans="1:9">
      <c r="B86"/>
      <c r="C86"/>
      <c r="D86"/>
      <c r="E86"/>
      <c r="F86"/>
      <c r="G86"/>
      <c r="H86"/>
      <c r="I86"/>
    </row>
    <row r="87" spans="1:9">
      <c r="B87"/>
      <c r="C87"/>
      <c r="D87"/>
      <c r="E87"/>
      <c r="F87"/>
      <c r="G87"/>
      <c r="H87"/>
      <c r="I87"/>
    </row>
    <row r="88" spans="1:9">
      <c r="A88" s="27" t="s">
        <v>707</v>
      </c>
      <c r="B88" s="59"/>
      <c r="C88" s="59"/>
      <c r="D88"/>
      <c r="E88"/>
      <c r="F88"/>
      <c r="G88"/>
      <c r="H88"/>
      <c r="I88"/>
    </row>
    <row r="89" spans="1:9">
      <c r="A89" s="59"/>
      <c r="B89" s="59"/>
      <c r="C89" s="59"/>
      <c r="D89"/>
      <c r="E89"/>
      <c r="F89"/>
      <c r="G89"/>
      <c r="H89"/>
      <c r="I89"/>
    </row>
    <row r="90" spans="1:9">
      <c r="A90" s="59"/>
      <c r="B90" s="59"/>
      <c r="C90" s="59"/>
      <c r="D90"/>
      <c r="E90"/>
      <c r="F90"/>
      <c r="G90"/>
      <c r="H90"/>
      <c r="I90"/>
    </row>
    <row r="91" spans="1:9">
      <c r="A91" s="59"/>
      <c r="B91" s="59"/>
      <c r="C91" s="59"/>
      <c r="D91"/>
      <c r="E91"/>
      <c r="F91"/>
      <c r="G91"/>
      <c r="H91"/>
      <c r="I91"/>
    </row>
    <row r="92" spans="1:9">
      <c r="A92" s="22" t="s">
        <v>1085</v>
      </c>
      <c r="B92" s="59"/>
      <c r="C92" s="59"/>
      <c r="D92"/>
      <c r="E92"/>
      <c r="F92"/>
      <c r="G92"/>
      <c r="H92"/>
      <c r="I92"/>
    </row>
    <row r="93" spans="1:9">
      <c r="A93" s="59" t="s">
        <v>1078</v>
      </c>
      <c r="B93" s="59" t="s">
        <v>703</v>
      </c>
      <c r="C93" s="59"/>
      <c r="D93"/>
      <c r="E93"/>
      <c r="F93"/>
      <c r="G93"/>
      <c r="H93"/>
      <c r="I93"/>
    </row>
    <row r="94" spans="1:9">
      <c r="A94" s="59" t="s">
        <v>630</v>
      </c>
      <c r="B94" s="59" t="s">
        <v>618</v>
      </c>
      <c r="C94" s="59"/>
      <c r="D94"/>
      <c r="E94"/>
      <c r="F94"/>
      <c r="G94"/>
      <c r="H94"/>
      <c r="I94"/>
    </row>
    <row r="95" spans="1:9">
      <c r="A95" s="59" t="s">
        <v>481</v>
      </c>
      <c r="B95" s="59" t="s">
        <v>1086</v>
      </c>
      <c r="C95" s="59"/>
    </row>
    <row r="96" spans="1:9">
      <c r="A96" s="59" t="s">
        <v>729</v>
      </c>
      <c r="B96" s="59" t="s">
        <v>1087</v>
      </c>
      <c r="C96" s="59"/>
    </row>
    <row r="97" spans="1:3">
      <c r="A97" s="59" t="s">
        <v>1088</v>
      </c>
      <c r="B97" s="59" t="s">
        <v>1089</v>
      </c>
      <c r="C97" s="59"/>
    </row>
    <row r="98" spans="1:3">
      <c r="A98" s="59" t="s">
        <v>1090</v>
      </c>
      <c r="B98" s="59" t="s">
        <v>1091</v>
      </c>
      <c r="C98" s="59"/>
    </row>
    <row r="99" spans="1:3">
      <c r="A99" s="59" t="s">
        <v>1165</v>
      </c>
      <c r="B99" s="59" t="s">
        <v>1166</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12" sqref="L12"/>
    </sheetView>
  </sheetViews>
  <sheetFormatPr baseColWidth="10" defaultColWidth="8.83203125" defaultRowHeight="15"/>
  <cols>
    <col min="1" max="1" width="17.1640625" customWidth="1"/>
    <col min="2" max="7" width="13.6640625" customWidth="1"/>
    <col min="8" max="8" width="13.6640625" style="12" customWidth="1"/>
    <col min="9" max="9" width="13.6640625" customWidth="1"/>
    <col min="10" max="10" width="13.6640625" style="9" customWidth="1"/>
    <col min="11" max="11" width="10.5" customWidth="1"/>
    <col min="12" max="12" width="15.33203125" customWidth="1"/>
    <col min="18" max="18" width="11.33203125" customWidth="1"/>
  </cols>
  <sheetData>
    <row r="2" spans="1:13" ht="19.25" customHeight="1" thickBot="1">
      <c r="C2" s="60" t="s">
        <v>343</v>
      </c>
      <c r="D2" s="60"/>
      <c r="E2" s="60"/>
      <c r="F2" s="60"/>
    </row>
    <row r="3" spans="1:13" ht="14" customHeight="1"/>
    <row r="4" spans="1:13">
      <c r="F4" s="272" t="s">
        <v>475</v>
      </c>
      <c r="G4" s="272"/>
      <c r="H4" s="272"/>
      <c r="I4" s="272"/>
    </row>
    <row r="5" spans="1:13">
      <c r="A5" s="110"/>
      <c r="B5" s="269" t="s">
        <v>562</v>
      </c>
      <c r="C5" s="270"/>
      <c r="D5" s="271" t="s">
        <v>564</v>
      </c>
      <c r="E5" s="270"/>
      <c r="F5" s="269" t="s">
        <v>562</v>
      </c>
      <c r="G5" s="270"/>
      <c r="H5" s="271" t="s">
        <v>564</v>
      </c>
      <c r="I5" s="270"/>
      <c r="J5" s="125" t="s">
        <v>563</v>
      </c>
    </row>
    <row r="6" spans="1:13">
      <c r="A6" s="122" t="s">
        <v>496</v>
      </c>
      <c r="B6" s="123" t="str">
        <f>Innehåll!D79</f>
        <v xml:space="preserve"> 2023-04</v>
      </c>
      <c r="C6" s="123" t="str">
        <f>Innehåll!D80</f>
        <v xml:space="preserve"> 2022-04</v>
      </c>
      <c r="D6" s="123" t="str">
        <f>B6</f>
        <v xml:space="preserve"> 2023-04</v>
      </c>
      <c r="E6" s="124" t="str">
        <f>C6</f>
        <v xml:space="preserve"> 2022-04</v>
      </c>
      <c r="F6" s="123" t="str">
        <f>Innehåll!D81</f>
        <v>YTD  2023</v>
      </c>
      <c r="G6" s="123" t="str">
        <f>Innehåll!D82</f>
        <v>YTD  2022</v>
      </c>
      <c r="H6" s="125" t="str">
        <f>F6</f>
        <v>YTD  2023</v>
      </c>
      <c r="I6" s="126" t="str">
        <f>G6</f>
        <v>YTD  2022</v>
      </c>
      <c r="J6" s="125" t="str">
        <f>Innehåll!D81</f>
        <v>YTD  2023</v>
      </c>
    </row>
    <row r="7" spans="1:13" ht="15" hidden="1" customHeight="1">
      <c r="A7" s="73" t="s">
        <v>344</v>
      </c>
      <c r="B7" s="74" t="s">
        <v>35</v>
      </c>
      <c r="C7" s="75" t="s">
        <v>310</v>
      </c>
      <c r="D7" s="27" t="s">
        <v>345</v>
      </c>
      <c r="E7" s="27" t="s">
        <v>346</v>
      </c>
      <c r="F7" s="27" t="s">
        <v>311</v>
      </c>
      <c r="G7" s="27" t="s">
        <v>312</v>
      </c>
      <c r="H7" s="27" t="s">
        <v>347</v>
      </c>
      <c r="I7" s="27" t="s">
        <v>348</v>
      </c>
      <c r="J7" s="63" t="s">
        <v>349</v>
      </c>
    </row>
    <row r="8" spans="1:13">
      <c r="A8" s="45" t="s">
        <v>24</v>
      </c>
      <c r="B8" s="66">
        <v>6928</v>
      </c>
      <c r="C8" s="66">
        <v>5421</v>
      </c>
      <c r="D8" s="63">
        <f>IF(getAggPBFuelTypes[[#This Row],[antalPerioden]]&gt;0,((B8/getAggPBFuelTypes[[#Totals],[antalPerioden]]) * 100),0)</f>
        <v>33.653939570581947</v>
      </c>
      <c r="E8" s="63">
        <f>((C8/getAggPBFuelTypes[[#Totals],[antalPeriodenFG]]) * 100)</f>
        <v>24.706043204812687</v>
      </c>
      <c r="F8" s="66">
        <v>29828</v>
      </c>
      <c r="G8" s="66">
        <v>25135</v>
      </c>
      <c r="H8" s="63">
        <f>((F8/getAggPBFuelTypes[[#Totals],[antalAret]]) * 100)</f>
        <v>35.556085349862911</v>
      </c>
      <c r="I8" s="63">
        <f>((G8/getAggPBFuelTypes[[#Totals],[antalAretFG]]) * 100)</f>
        <v>27.415713179393769</v>
      </c>
      <c r="J8" s="46">
        <f t="shared" ref="J8:J14" si="0">IF(G8 = 0,0,(F8-G8)/G8)</f>
        <v>0.18671175651481997</v>
      </c>
    </row>
    <row r="9" spans="1:13">
      <c r="A9" s="45" t="s">
        <v>20</v>
      </c>
      <c r="B9" s="66">
        <v>4743</v>
      </c>
      <c r="C9" s="66">
        <v>5566</v>
      </c>
      <c r="D9" s="63">
        <f>IF(getAggPBFuelTypes[[#This Row],[antalPerioden]]&gt;0,((B9/getAggPBFuelTypes[[#Totals],[antalPerioden]]) * 100),0)</f>
        <v>23.039930049548239</v>
      </c>
      <c r="E9" s="63">
        <f>((C9/getAggPBFuelTypes[[#Totals],[antalPeriodenFG]]) * 100)</f>
        <v>25.366876310272534</v>
      </c>
      <c r="F9" s="66">
        <v>18752</v>
      </c>
      <c r="G9" s="66">
        <v>21948</v>
      </c>
      <c r="H9" s="63">
        <f>((F9/getAggPBFuelTypes[[#Totals],[antalAret]]) * 100)</f>
        <v>22.353081416140181</v>
      </c>
      <c r="I9" s="63">
        <f>((G9/getAggPBFuelTypes[[#Totals],[antalAretFG]]) * 100)</f>
        <v>23.939529455394247</v>
      </c>
      <c r="J9" s="46">
        <f t="shared" si="0"/>
        <v>-0.14561691270275195</v>
      </c>
    </row>
    <row r="10" spans="1:13">
      <c r="A10" s="45" t="s">
        <v>23</v>
      </c>
      <c r="B10" s="66">
        <v>4549</v>
      </c>
      <c r="C10" s="66">
        <v>5146</v>
      </c>
      <c r="D10" s="63">
        <f>IF(getAggPBFuelTypes[[#This Row],[antalPerioden]]&gt;0,((B10/getAggPBFuelTypes[[#Totals],[antalPerioden]]) * 100),0)</f>
        <v>22.097542018847761</v>
      </c>
      <c r="E10" s="63">
        <f>((C10/getAggPBFuelTypes[[#Totals],[antalPeriodenFG]]) * 100)</f>
        <v>23.45273903928539</v>
      </c>
      <c r="F10" s="66">
        <v>17355</v>
      </c>
      <c r="G10" s="66">
        <v>22813</v>
      </c>
      <c r="H10" s="63">
        <f>((F10/getAggPBFuelTypes[[#Totals],[antalAret]]) * 100)</f>
        <v>20.687805459530338</v>
      </c>
      <c r="I10" s="63">
        <f>((G10/getAggPBFuelTypes[[#Totals],[antalAretFG]]) * 100)</f>
        <v>24.8830182916853</v>
      </c>
      <c r="J10" s="46">
        <f t="shared" si="0"/>
        <v>-0.23924955069477929</v>
      </c>
    </row>
    <row r="11" spans="1:13">
      <c r="A11" s="45" t="s">
        <v>21</v>
      </c>
      <c r="B11" s="66">
        <v>2086</v>
      </c>
      <c r="C11" s="66">
        <v>3094</v>
      </c>
      <c r="D11" s="63">
        <f>IF(getAggPBFuelTypes[[#This Row],[antalPerioden]]&gt;0,((B11/getAggPBFuelTypes[[#Totals],[antalPerioden]]) * 100),0)</f>
        <v>10.133100165160789</v>
      </c>
      <c r="E11" s="63">
        <f>((C11/getAggPBFuelTypes[[#Totals],[antalPeriodenFG]]) * 100)</f>
        <v>14.100811229605323</v>
      </c>
      <c r="F11" s="66">
        <v>8039</v>
      </c>
      <c r="G11" s="66">
        <v>12001</v>
      </c>
      <c r="H11" s="63">
        <f>((F11/getAggPBFuelTypes[[#Totals],[antalAret]]) * 100)</f>
        <v>9.5827869829538681</v>
      </c>
      <c r="I11" s="63">
        <f>((G11/getAggPBFuelTypes[[#Totals],[antalAretFG]]) * 100)</f>
        <v>13.089953207316674</v>
      </c>
      <c r="J11" s="46">
        <f t="shared" si="0"/>
        <v>-0.33013915507041081</v>
      </c>
    </row>
    <row r="12" spans="1:13">
      <c r="A12" s="45" t="s">
        <v>22</v>
      </c>
      <c r="B12" s="66">
        <v>1707</v>
      </c>
      <c r="C12" s="66">
        <v>2529</v>
      </c>
      <c r="D12" s="63">
        <f>IF(getAggPBFuelTypes[[#This Row],[antalPerioden]]&gt;0,((B12/getAggPBFuelTypes[[#Totals],[antalPerioden]]) * 100),0)</f>
        <v>8.2920431361119213</v>
      </c>
      <c r="E12" s="63">
        <f>((C12/getAggPBFuelTypes[[#Totals],[antalPeriodenFG]]) * 100)</f>
        <v>11.525840853158327</v>
      </c>
      <c r="F12" s="66">
        <v>7768</v>
      </c>
      <c r="G12" s="66">
        <v>8653</v>
      </c>
      <c r="H12" s="63">
        <f>((F12/getAggPBFuelTypes[[#Totals],[antalAret]]) * 100)</f>
        <v>9.2597449040410069</v>
      </c>
      <c r="I12" s="63">
        <f>((G12/getAggPBFuelTypes[[#Totals],[antalAretFG]]) * 100)</f>
        <v>9.4381605785277216</v>
      </c>
      <c r="J12" s="46">
        <f t="shared" si="0"/>
        <v>-0.10227666705188952</v>
      </c>
    </row>
    <row r="13" spans="1:13">
      <c r="A13" s="45" t="s">
        <v>26</v>
      </c>
      <c r="B13" s="66">
        <v>457</v>
      </c>
      <c r="C13" s="66">
        <v>137</v>
      </c>
      <c r="D13" s="63">
        <f>IF(getAggPBFuelTypes[[#This Row],[antalPerioden]]&gt;0,((B13/getAggPBFuelTypes[[#Totals],[antalPerioden]]) * 100),0)</f>
        <v>2.2199553094335958</v>
      </c>
      <c r="E13" s="63">
        <f>((C13/getAggPBFuelTypes[[#Totals],[antalPeriodenFG]]) * 100)</f>
        <v>0.62437334791723642</v>
      </c>
      <c r="F13" s="66">
        <v>1651</v>
      </c>
      <c r="G13" s="66">
        <v>726</v>
      </c>
      <c r="H13" s="63">
        <f>((F13/getAggPBFuelTypes[[#Totals],[antalAret]]) * 100)</f>
        <v>1.9680534032661821</v>
      </c>
      <c r="I13" s="63">
        <f>((G13/getAggPBFuelTypes[[#Totals],[antalAretFG]]) * 100)</f>
        <v>0.79187617936104537</v>
      </c>
      <c r="J13" s="46">
        <f t="shared" si="0"/>
        <v>1.2741046831955922</v>
      </c>
    </row>
    <row r="14" spans="1:13">
      <c r="A14" s="76" t="s">
        <v>25</v>
      </c>
      <c r="B14" s="77">
        <v>116</v>
      </c>
      <c r="C14" s="78">
        <v>49</v>
      </c>
      <c r="D14" s="63">
        <f>IF(getAggPBFuelTypes[[#This Row],[antalPerioden]]&gt;0,((B14/getAggPBFuelTypes[[#Totals],[antalPerioden]]) * 100),0)</f>
        <v>0.56348975031574855</v>
      </c>
      <c r="E14" s="63">
        <f>((C14/getAggPBFuelTypes[[#Totals],[antalPeriodenFG]]) * 100)</f>
        <v>0.22331601494850062</v>
      </c>
      <c r="F14" s="66">
        <v>497</v>
      </c>
      <c r="G14" s="66">
        <v>405</v>
      </c>
      <c r="H14" s="63">
        <f>((F14/getAggPBFuelTypes[[#Totals],[antalAret]]) * 100)</f>
        <v>0.59244248420550716</v>
      </c>
      <c r="I14" s="63">
        <f>((G14/getAggPBFuelTypes[[#Totals],[antalAretFG]]) * 100)</f>
        <v>0.44174910832124431</v>
      </c>
      <c r="J14" s="46">
        <f t="shared" si="0"/>
        <v>0.2271604938271605</v>
      </c>
    </row>
    <row r="15" spans="1:13">
      <c r="A15" s="156" t="s">
        <v>477</v>
      </c>
      <c r="B15" s="157">
        <f>SUBTOTAL(109,getAggPBFuelTypes[antalPerioden])</f>
        <v>20586</v>
      </c>
      <c r="C15" s="157">
        <f>SUBTOTAL(109,getAggPBFuelTypes[antalPeriodenFG])</f>
        <v>21942</v>
      </c>
      <c r="D15" s="158">
        <f>SUBTOTAL(109,getAggPBFuelTypes[Column1])</f>
        <v>100.00000000000001</v>
      </c>
      <c r="E15" s="158">
        <f>SUBTOTAL(109,getAggPBFuelTypes[Column1])</f>
        <v>100.00000000000001</v>
      </c>
      <c r="F15" s="157">
        <f>SUBTOTAL(109,getAggPBFuelTypes[antalAret])</f>
        <v>83890</v>
      </c>
      <c r="G15" s="157">
        <f>SUBTOTAL(109,getAggPBFuelTypes[antalAretFG])</f>
        <v>91681</v>
      </c>
      <c r="H15" s="158">
        <f>SUBTOTAL(109,getAggPBFuelTypes[Column1])</f>
        <v>100.00000000000001</v>
      </c>
      <c r="I15" s="158">
        <f>SUBTOTAL(109,getAggPBFuelTypes[Column1])</f>
        <v>100.00000000000001</v>
      </c>
      <c r="J15" s="237"/>
      <c r="M15" s="9"/>
    </row>
    <row r="16" spans="1:13">
      <c r="A16" s="156"/>
      <c r="B16" s="157"/>
      <c r="C16" s="157"/>
      <c r="D16" s="158"/>
      <c r="E16" s="158"/>
      <c r="F16" s="157"/>
      <c r="G16" s="157"/>
      <c r="H16" s="158"/>
      <c r="I16" s="158"/>
      <c r="J16" s="237"/>
      <c r="K16" s="227"/>
      <c r="L16" s="233"/>
    </row>
    <row r="17" spans="1:16">
      <c r="A17" s="27"/>
      <c r="B17" s="27"/>
      <c r="C17" s="27"/>
      <c r="D17" s="63"/>
      <c r="E17" s="63"/>
      <c r="F17" s="27"/>
      <c r="G17" s="27"/>
      <c r="H17" s="63"/>
      <c r="I17" s="63"/>
    </row>
    <row r="18" spans="1:16">
      <c r="A18" s="59" t="s">
        <v>709</v>
      </c>
      <c r="B18" s="27"/>
      <c r="C18" s="27"/>
      <c r="D18" s="27"/>
      <c r="E18" s="27"/>
      <c r="F18" s="27"/>
      <c r="G18" s="27"/>
      <c r="H18" s="65"/>
      <c r="I18" s="27"/>
    </row>
    <row r="19" spans="1:16">
      <c r="A19" s="8" t="s">
        <v>710</v>
      </c>
      <c r="B19" s="27"/>
      <c r="C19" s="27"/>
      <c r="D19" s="27"/>
      <c r="E19" s="27"/>
      <c r="F19" s="27"/>
      <c r="G19" s="27"/>
      <c r="H19" s="65"/>
      <c r="I19" s="27"/>
    </row>
    <row r="20" spans="1:16">
      <c r="A20" s="59" t="s">
        <v>711</v>
      </c>
      <c r="B20" s="27"/>
      <c r="C20" s="27"/>
      <c r="D20" s="27"/>
      <c r="E20" s="27"/>
      <c r="F20" s="27"/>
      <c r="G20" s="27"/>
      <c r="H20" s="65"/>
      <c r="I20" s="27"/>
    </row>
    <row r="21" spans="1:16">
      <c r="A21" s="59" t="s">
        <v>712</v>
      </c>
      <c r="B21" s="27"/>
      <c r="C21" s="27"/>
      <c r="D21" s="27"/>
      <c r="E21" s="27"/>
      <c r="F21" s="27"/>
      <c r="G21" s="27"/>
      <c r="H21" s="65"/>
      <c r="I21" s="27"/>
    </row>
    <row r="22" spans="1:16">
      <c r="A22" s="59" t="s">
        <v>713</v>
      </c>
      <c r="B22" s="27"/>
      <c r="C22" s="27"/>
      <c r="D22" s="27"/>
      <c r="E22" s="27"/>
      <c r="F22" s="27"/>
      <c r="G22" s="27"/>
      <c r="H22" s="65"/>
      <c r="I22" s="27"/>
    </row>
    <row r="23" spans="1:16">
      <c r="A23" s="59" t="s">
        <v>463</v>
      </c>
      <c r="B23" s="27"/>
      <c r="C23" s="27"/>
      <c r="D23" s="27"/>
      <c r="E23" s="27"/>
      <c r="F23" s="27"/>
      <c r="G23" s="27"/>
      <c r="H23" s="65"/>
      <c r="I23" s="27"/>
    </row>
    <row r="28" spans="1:16" ht="20" thickBot="1">
      <c r="L28" s="72" t="s">
        <v>235</v>
      </c>
      <c r="M28" s="72"/>
      <c r="N28" s="72"/>
      <c r="O28" s="72"/>
      <c r="P28" s="127"/>
    </row>
    <row r="29" spans="1:16">
      <c r="L29" s="27"/>
      <c r="M29" s="27"/>
      <c r="N29" s="27"/>
      <c r="O29" s="27"/>
      <c r="P29" s="27"/>
    </row>
    <row r="30" spans="1:16" ht="16" thickBot="1">
      <c r="L30" s="80" t="str">
        <f>Innehåll!D85</f>
        <v>Jan - apr 2023</v>
      </c>
      <c r="M30" s="81" t="s">
        <v>565</v>
      </c>
      <c r="N30" s="27"/>
      <c r="O30" s="27"/>
      <c r="P30" s="27"/>
    </row>
    <row r="31" spans="1:16">
      <c r="L31" s="27"/>
      <c r="M31" s="27"/>
      <c r="N31" s="27"/>
      <c r="O31" s="27"/>
      <c r="P31" s="27"/>
    </row>
    <row r="32" spans="1:16">
      <c r="L32" s="63" t="str">
        <f>A8</f>
        <v>El</v>
      </c>
      <c r="M32" s="63">
        <f t="shared" ref="M32:M38" si="1">INDEX($H$8:$H$15,MATCH(L32,$A$8:$A$15,0))</f>
        <v>35.556085349862911</v>
      </c>
      <c r="N32" s="27"/>
      <c r="P32" s="27"/>
    </row>
    <row r="33" spans="12:16">
      <c r="L33" s="63" t="str">
        <f t="shared" ref="L33:L38" si="2">A9</f>
        <v>Bensin</v>
      </c>
      <c r="M33" s="63">
        <f t="shared" si="1"/>
        <v>22.353081416140181</v>
      </c>
      <c r="N33" s="27"/>
      <c r="P33" s="27"/>
    </row>
    <row r="34" spans="12:16">
      <c r="L34" s="63" t="str">
        <f t="shared" si="2"/>
        <v>Laddhybrid</v>
      </c>
      <c r="M34" s="63">
        <f t="shared" si="1"/>
        <v>20.687805459530338</v>
      </c>
      <c r="N34" s="27"/>
      <c r="P34" s="27"/>
    </row>
    <row r="35" spans="12:16">
      <c r="L35" s="63" t="str">
        <f t="shared" si="2"/>
        <v>Diesel</v>
      </c>
      <c r="M35" s="63">
        <f t="shared" si="1"/>
        <v>9.5827869829538681</v>
      </c>
      <c r="N35" s="27"/>
      <c r="P35" s="27"/>
    </row>
    <row r="36" spans="12:16">
      <c r="L36" s="63" t="str">
        <f t="shared" si="2"/>
        <v>Elhybrid</v>
      </c>
      <c r="M36" s="63">
        <f t="shared" si="1"/>
        <v>9.2597449040410069</v>
      </c>
      <c r="N36" s="27"/>
      <c r="P36" s="27"/>
    </row>
    <row r="37" spans="12:16">
      <c r="L37" s="63" t="str">
        <f t="shared" si="2"/>
        <v>Etanol</v>
      </c>
      <c r="M37" s="63">
        <f t="shared" si="1"/>
        <v>1.9680534032661821</v>
      </c>
      <c r="N37" s="27"/>
      <c r="P37" s="27"/>
    </row>
    <row r="38" spans="12:16">
      <c r="L38" s="63" t="str">
        <f t="shared" si="2"/>
        <v>Gas</v>
      </c>
      <c r="M38" s="63">
        <f t="shared" si="1"/>
        <v>0.59244248420550716</v>
      </c>
      <c r="N38" s="27"/>
      <c r="P38" s="27"/>
    </row>
    <row r="39" spans="12:16">
      <c r="L39" s="27"/>
      <c r="M39" s="63"/>
      <c r="N39" s="27"/>
      <c r="O39" s="27"/>
      <c r="P39" s="27"/>
    </row>
    <row r="40" spans="12:16">
      <c r="M40" s="9"/>
    </row>
    <row r="43" spans="12:16" ht="15" hidden="1" customHeight="1"/>
    <row r="60" spans="1:1">
      <c r="A60" s="27" t="s">
        <v>707</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62"/>
  <sheetViews>
    <sheetView showZeros="0" topLeftCell="B2" workbookViewId="0">
      <selection activeCell="A11" sqref="A11"/>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10"/>
      <c r="O2" s="72" t="s">
        <v>503</v>
      </c>
      <c r="P2" s="72"/>
      <c r="Q2" s="72"/>
      <c r="R2" s="72"/>
      <c r="S2" s="72"/>
      <c r="T2" s="72"/>
      <c r="U2" s="127"/>
    </row>
    <row r="3" spans="1:21" ht="15" customHeight="1">
      <c r="A3" s="10"/>
      <c r="O3" s="27" t="s">
        <v>502</v>
      </c>
      <c r="P3" s="27"/>
      <c r="Q3" s="27"/>
      <c r="R3" s="27"/>
      <c r="S3" s="27"/>
      <c r="T3" s="27"/>
      <c r="U3" s="27"/>
    </row>
    <row r="4" spans="1:21" ht="15" customHeight="1">
      <c r="A4" s="10"/>
      <c r="O4" s="7"/>
      <c r="P4" s="7"/>
      <c r="Q4" s="17"/>
      <c r="R4" s="17"/>
      <c r="S4" s="17"/>
      <c r="T4" s="17"/>
      <c r="U4" s="27"/>
    </row>
    <row r="5" spans="1:21" ht="15" customHeight="1" thickBot="1">
      <c r="A5" s="10"/>
      <c r="O5" s="20" t="s">
        <v>478</v>
      </c>
      <c r="P5" s="20">
        <v>2021</v>
      </c>
      <c r="Q5" s="20">
        <v>2022</v>
      </c>
      <c r="R5" s="20">
        <v>2023</v>
      </c>
      <c r="S5" s="27"/>
      <c r="T5" s="27"/>
      <c r="U5" s="27"/>
    </row>
    <row r="6" spans="1:21" ht="15" customHeight="1">
      <c r="A6" s="10"/>
      <c r="O6" s="17" t="s">
        <v>2</v>
      </c>
      <c r="P6" s="82">
        <v>33.5</v>
      </c>
      <c r="Q6" s="82">
        <v>52.9</v>
      </c>
      <c r="R6" s="82">
        <v>52.1</v>
      </c>
      <c r="S6" s="27"/>
      <c r="T6" s="27"/>
      <c r="U6" s="27"/>
    </row>
    <row r="7" spans="1:21" ht="15" customHeight="1">
      <c r="A7" s="10"/>
      <c r="O7" s="17" t="s">
        <v>3</v>
      </c>
      <c r="P7" s="82">
        <v>34.200000000000003</v>
      </c>
      <c r="Q7" s="82">
        <v>51.6</v>
      </c>
      <c r="R7" s="82">
        <v>54</v>
      </c>
      <c r="S7" s="27"/>
      <c r="T7" s="27"/>
      <c r="U7" s="27"/>
    </row>
    <row r="8" spans="1:21" ht="15" customHeight="1">
      <c r="A8" s="10"/>
      <c r="O8" s="17" t="s">
        <v>4</v>
      </c>
      <c r="P8" s="82">
        <v>37</v>
      </c>
      <c r="Q8" s="82">
        <v>55.6</v>
      </c>
      <c r="R8" s="82">
        <v>59.9</v>
      </c>
      <c r="S8" s="27"/>
      <c r="T8" s="27"/>
      <c r="U8" s="27"/>
    </row>
    <row r="9" spans="1:21" ht="15" customHeight="1">
      <c r="A9" s="10"/>
      <c r="O9" s="17" t="s">
        <v>5</v>
      </c>
      <c r="P9" s="82">
        <v>43.2</v>
      </c>
      <c r="Q9" s="82">
        <v>48.2</v>
      </c>
      <c r="R9" s="82">
        <v>55.8</v>
      </c>
      <c r="S9" s="27"/>
      <c r="T9" s="27"/>
      <c r="U9" s="27"/>
    </row>
    <row r="10" spans="1:21" ht="15" customHeight="1">
      <c r="A10" s="10"/>
      <c r="O10" s="17" t="s">
        <v>6</v>
      </c>
      <c r="P10" s="82">
        <v>39</v>
      </c>
      <c r="Q10" s="82">
        <v>47.4</v>
      </c>
      <c r="R10" s="82"/>
      <c r="S10" s="27"/>
      <c r="T10" s="27"/>
      <c r="U10" s="27"/>
    </row>
    <row r="11" spans="1:21" ht="15" customHeight="1">
      <c r="A11" s="10"/>
      <c r="O11" s="17" t="s">
        <v>7</v>
      </c>
      <c r="P11" s="82">
        <v>49.4</v>
      </c>
      <c r="Q11" s="82">
        <v>55</v>
      </c>
      <c r="R11" s="82"/>
      <c r="S11" s="27"/>
      <c r="T11" s="27"/>
      <c r="U11" s="27"/>
    </row>
    <row r="12" spans="1:21" ht="15" customHeight="1">
      <c r="A12" s="10"/>
      <c r="O12" s="17" t="s">
        <v>8</v>
      </c>
      <c r="P12" s="82">
        <v>37.6</v>
      </c>
      <c r="Q12" s="82">
        <v>49.9</v>
      </c>
      <c r="R12" s="82"/>
      <c r="S12" s="27"/>
      <c r="T12" s="27"/>
      <c r="U12" s="27"/>
    </row>
    <row r="13" spans="1:21" ht="15" customHeight="1">
      <c r="A13" s="10"/>
      <c r="O13" s="17" t="s">
        <v>9</v>
      </c>
      <c r="P13" s="82">
        <v>47.1</v>
      </c>
      <c r="Q13" s="82">
        <v>45.9</v>
      </c>
      <c r="R13" s="82"/>
      <c r="S13" s="27"/>
      <c r="T13" s="27"/>
      <c r="U13" s="27"/>
    </row>
    <row r="14" spans="1:21" ht="15" customHeight="1">
      <c r="A14" s="10"/>
      <c r="O14" s="17" t="s">
        <v>10</v>
      </c>
      <c r="P14" s="82">
        <v>53.9</v>
      </c>
      <c r="Q14" s="82">
        <v>55.1</v>
      </c>
      <c r="R14" s="82"/>
      <c r="S14" s="27"/>
      <c r="T14" s="27"/>
      <c r="U14" s="27"/>
    </row>
    <row r="15" spans="1:21" ht="15" customHeight="1">
      <c r="A15" s="10"/>
      <c r="O15" s="17" t="s">
        <v>11</v>
      </c>
      <c r="P15" s="82">
        <v>50.9</v>
      </c>
      <c r="Q15" s="82">
        <v>59.4</v>
      </c>
      <c r="R15" s="82"/>
      <c r="S15" s="27"/>
      <c r="T15" s="27"/>
      <c r="U15" s="27"/>
    </row>
    <row r="16" spans="1:21" ht="15" customHeight="1">
      <c r="A16" s="10"/>
      <c r="O16" s="17" t="s">
        <v>12</v>
      </c>
      <c r="P16" s="82">
        <v>54.3</v>
      </c>
      <c r="Q16" s="82">
        <v>64.599999999999994</v>
      </c>
      <c r="R16" s="82"/>
      <c r="S16" s="27"/>
      <c r="T16" s="27"/>
      <c r="U16" s="27"/>
    </row>
    <row r="17" spans="1:21" ht="15" customHeight="1">
      <c r="A17" s="10"/>
      <c r="O17" s="28" t="s">
        <v>13</v>
      </c>
      <c r="P17" s="83">
        <v>60.7</v>
      </c>
      <c r="Q17" s="83">
        <v>74.599999999999994</v>
      </c>
      <c r="R17" s="83"/>
      <c r="S17" s="27"/>
      <c r="T17" s="27"/>
      <c r="U17" s="27"/>
    </row>
    <row r="18" spans="1:21" ht="15" customHeight="1">
      <c r="A18" s="10"/>
      <c r="O18" s="7" t="s">
        <v>561</v>
      </c>
      <c r="P18" s="25">
        <f>IF(getAggModelsPB[[#Totals],[antalFGAr]] &gt; 0,getAggRechargeModels[[#Totals],[antalFGAr]]  / getAggModelsPB[[#Totals],[antalFGAr]] * 100,0)</f>
        <v>52.300912948157197</v>
      </c>
      <c r="Q18" s="25">
        <f>IF(getAggModelsPB[[#Totals],[antalÅret]] &gt; 0,getAggRechargeModels[[#Totals],[antalÅret]]  / getAggModelsPB[[#Totals],[antalÅret]] * 100,0)</f>
        <v>56.255811181308857</v>
      </c>
      <c r="R18" s="25">
        <f>IF(getAggModelsPB[[#Totals],[antalÅret]] &gt; 0,getAggRechargeModels[[#Totals],[antalÅret]]  / getAggModelsPB[[#Totals],[antalÅret]] * 100,0)</f>
        <v>56.255811181308857</v>
      </c>
      <c r="S18" s="27"/>
      <c r="T18" s="27"/>
      <c r="U18" s="27"/>
    </row>
    <row r="19" spans="1:21" ht="15" customHeight="1">
      <c r="A19" s="10"/>
      <c r="O19" s="7" t="s">
        <v>560</v>
      </c>
      <c r="P19" s="25">
        <v>45</v>
      </c>
      <c r="Q19" s="25">
        <v>56.1</v>
      </c>
      <c r="R19" s="27"/>
      <c r="S19" s="27"/>
      <c r="T19" s="27"/>
      <c r="U19" s="27"/>
    </row>
    <row r="20" spans="1:21" ht="15" customHeight="1">
      <c r="A20" s="10"/>
    </row>
    <row r="21" spans="1:21" ht="15" customHeight="1">
      <c r="A21" s="10"/>
    </row>
    <row r="22" spans="1:21" ht="15" customHeight="1">
      <c r="A22" s="10"/>
    </row>
    <row r="23" spans="1:21" ht="15" customHeight="1">
      <c r="A23" s="10"/>
    </row>
    <row r="24" spans="1:21" ht="15" customHeight="1">
      <c r="A24" s="10"/>
    </row>
    <row r="25" spans="1:21" ht="15" customHeight="1">
      <c r="A25" s="10"/>
    </row>
    <row r="26" spans="1:21" ht="15" customHeight="1">
      <c r="A26" s="10"/>
    </row>
    <row r="27" spans="1:21" ht="15" customHeight="1">
      <c r="A27" s="10"/>
    </row>
    <row r="28" spans="1:21" ht="15" customHeight="1">
      <c r="A28" s="10"/>
    </row>
    <row r="29" spans="1:21" ht="15" customHeight="1">
      <c r="A29" s="10"/>
    </row>
    <row r="30" spans="1:21" ht="15" customHeight="1">
      <c r="A30" s="10"/>
    </row>
    <row r="31" spans="1:21" ht="15" customHeight="1">
      <c r="A31" s="10"/>
    </row>
    <row r="32" spans="1:21" ht="15" customHeight="1">
      <c r="A32" s="10"/>
    </row>
    <row r="33" spans="1:14" ht="15" customHeight="1">
      <c r="A33" s="10"/>
    </row>
    <row r="34" spans="1:14" ht="15" customHeight="1">
      <c r="A34" s="10"/>
    </row>
    <row r="35" spans="1:14" ht="15" customHeight="1">
      <c r="A35" s="10"/>
    </row>
    <row r="36" spans="1:14" ht="19.25" customHeight="1" thickBot="1">
      <c r="A36" s="72" t="s">
        <v>484</v>
      </c>
      <c r="B36" s="72"/>
      <c r="C36" s="72"/>
    </row>
    <row r="37" spans="1:14" ht="15" customHeight="1">
      <c r="A37" s="10"/>
    </row>
    <row r="38" spans="1:14">
      <c r="A38" s="8" t="s">
        <v>474</v>
      </c>
      <c r="B38" s="59"/>
      <c r="C38" s="59"/>
      <c r="D38" s="59"/>
      <c r="E38" s="59"/>
      <c r="F38" s="59"/>
      <c r="G38" s="59"/>
      <c r="H38" s="273" t="s">
        <v>475</v>
      </c>
      <c r="I38" s="273"/>
      <c r="J38" s="273"/>
      <c r="K38" s="273"/>
      <c r="L38" s="273"/>
      <c r="M38" s="273"/>
      <c r="N38" s="59"/>
    </row>
    <row r="39" spans="1:14">
      <c r="A39" s="117"/>
      <c r="B39" s="128"/>
      <c r="C39" s="128"/>
      <c r="D39" s="274" t="s">
        <v>562</v>
      </c>
      <c r="E39" s="275"/>
      <c r="F39" s="276" t="s">
        <v>562</v>
      </c>
      <c r="G39" s="277"/>
      <c r="H39" s="276" t="s">
        <v>563</v>
      </c>
      <c r="I39" s="277"/>
      <c r="J39" s="276" t="s">
        <v>564</v>
      </c>
      <c r="K39" s="277"/>
      <c r="L39" s="276" t="s">
        <v>564</v>
      </c>
      <c r="M39" s="277"/>
      <c r="N39" s="59"/>
    </row>
    <row r="40" spans="1:14">
      <c r="A40" s="117"/>
      <c r="B40" s="129" t="s">
        <v>476</v>
      </c>
      <c r="C40" s="130" t="s">
        <v>566</v>
      </c>
      <c r="D40" s="131" t="str">
        <f>Innehåll!D79</f>
        <v xml:space="preserve"> 2023-04</v>
      </c>
      <c r="E40" s="131" t="str">
        <f>Innehåll!D80</f>
        <v xml:space="preserve"> 2022-04</v>
      </c>
      <c r="F40" s="131" t="str">
        <f>Innehåll!D81</f>
        <v>YTD  2023</v>
      </c>
      <c r="G40" s="131" t="str">
        <f>Innehåll!D82</f>
        <v>YTD  2022</v>
      </c>
      <c r="H40" s="131" t="str">
        <f>D40</f>
        <v xml:space="preserve"> 2023-04</v>
      </c>
      <c r="I40" s="132" t="str">
        <f>F40</f>
        <v>YTD  2023</v>
      </c>
      <c r="J40" s="131" t="str">
        <f>D40</f>
        <v xml:space="preserve"> 2023-04</v>
      </c>
      <c r="K40" s="133" t="str">
        <f>F40</f>
        <v>YTD  2023</v>
      </c>
      <c r="L40" s="134" t="str">
        <f>E40</f>
        <v xml:space="preserve"> 2022-04</v>
      </c>
      <c r="M40" s="134" t="str">
        <f>G40</f>
        <v>YTD  2022</v>
      </c>
      <c r="N40" s="59"/>
    </row>
    <row r="41" spans="1:14" ht="15" hidden="1" customHeight="1">
      <c r="A41" s="59" t="s">
        <v>33</v>
      </c>
      <c r="B41" s="59" t="s">
        <v>237</v>
      </c>
      <c r="C41" s="59" t="s">
        <v>238</v>
      </c>
      <c r="D41" s="59" t="s">
        <v>35</v>
      </c>
      <c r="E41" s="59" t="s">
        <v>36</v>
      </c>
      <c r="F41" s="59" t="s">
        <v>37</v>
      </c>
      <c r="G41" s="59" t="s">
        <v>38</v>
      </c>
      <c r="H41" s="59" t="s">
        <v>39</v>
      </c>
      <c r="I41" s="59" t="s">
        <v>40</v>
      </c>
      <c r="J41" s="59" t="s">
        <v>41</v>
      </c>
      <c r="K41" s="59" t="s">
        <v>42</v>
      </c>
      <c r="L41" s="59" t="s">
        <v>43</v>
      </c>
      <c r="M41" s="59" t="s">
        <v>44</v>
      </c>
      <c r="N41" s="59"/>
    </row>
    <row r="42" spans="1:14">
      <c r="A42" s="59">
        <v>1</v>
      </c>
      <c r="B42" s="59" t="s">
        <v>629</v>
      </c>
      <c r="C42" s="59" t="s">
        <v>24</v>
      </c>
      <c r="D42" s="24">
        <v>652</v>
      </c>
      <c r="E42" s="24">
        <v>5</v>
      </c>
      <c r="F42" s="24">
        <v>4262</v>
      </c>
      <c r="G42" s="24">
        <v>1959</v>
      </c>
      <c r="H42" s="59">
        <v>12940</v>
      </c>
      <c r="I42" s="59">
        <v>117.56</v>
      </c>
      <c r="J42" s="59">
        <v>5.68</v>
      </c>
      <c r="K42" s="59">
        <v>9.0299999999999994</v>
      </c>
      <c r="L42" s="59">
        <v>0.05</v>
      </c>
      <c r="M42" s="59">
        <v>4.09</v>
      </c>
      <c r="N42" s="59"/>
    </row>
    <row r="43" spans="1:14">
      <c r="A43" s="59">
        <v>2</v>
      </c>
      <c r="B43" s="59" t="s">
        <v>445</v>
      </c>
      <c r="C43" s="59" t="s">
        <v>24</v>
      </c>
      <c r="D43" s="24">
        <v>695</v>
      </c>
      <c r="E43" s="24">
        <v>447</v>
      </c>
      <c r="F43" s="24">
        <v>3442</v>
      </c>
      <c r="G43" s="24">
        <v>1813</v>
      </c>
      <c r="H43" s="59">
        <v>55.48</v>
      </c>
      <c r="I43" s="59">
        <v>89.85</v>
      </c>
      <c r="J43" s="59">
        <v>6.06</v>
      </c>
      <c r="K43" s="59">
        <v>7.29</v>
      </c>
      <c r="L43" s="59">
        <v>4.2300000000000004</v>
      </c>
      <c r="M43" s="59">
        <v>3.78</v>
      </c>
      <c r="N43" s="59"/>
    </row>
    <row r="44" spans="1:14">
      <c r="A44" s="59">
        <v>3</v>
      </c>
      <c r="B44" s="59" t="s">
        <v>415</v>
      </c>
      <c r="C44" s="59" t="s">
        <v>23</v>
      </c>
      <c r="D44" s="24">
        <v>812</v>
      </c>
      <c r="E44" s="24">
        <v>520</v>
      </c>
      <c r="F44" s="24">
        <v>2577</v>
      </c>
      <c r="G44" s="24">
        <v>2577</v>
      </c>
      <c r="H44" s="59">
        <v>56.15</v>
      </c>
      <c r="I44" s="59">
        <v>0</v>
      </c>
      <c r="J44" s="59">
        <v>7.08</v>
      </c>
      <c r="K44" s="59">
        <v>5.46</v>
      </c>
      <c r="L44" s="59">
        <v>4.92</v>
      </c>
      <c r="M44" s="59">
        <v>5.37</v>
      </c>
      <c r="N44" s="59"/>
    </row>
    <row r="45" spans="1:14">
      <c r="A45" s="59">
        <v>4</v>
      </c>
      <c r="B45" s="59" t="s">
        <v>505</v>
      </c>
      <c r="C45" s="59" t="s">
        <v>24</v>
      </c>
      <c r="D45" s="24">
        <v>661</v>
      </c>
      <c r="E45" s="24">
        <v>420</v>
      </c>
      <c r="F45" s="24">
        <v>2553</v>
      </c>
      <c r="G45" s="24">
        <v>2442</v>
      </c>
      <c r="H45" s="59">
        <v>57.38</v>
      </c>
      <c r="I45" s="59">
        <v>4.55</v>
      </c>
      <c r="J45" s="59">
        <v>5.76</v>
      </c>
      <c r="K45" s="59">
        <v>5.41</v>
      </c>
      <c r="L45" s="59">
        <v>3.97</v>
      </c>
      <c r="M45" s="59">
        <v>5.09</v>
      </c>
      <c r="N45" s="59"/>
    </row>
    <row r="46" spans="1:14">
      <c r="A46" s="59">
        <v>5</v>
      </c>
      <c r="B46" s="59" t="s">
        <v>657</v>
      </c>
      <c r="C46" s="59" t="s">
        <v>24</v>
      </c>
      <c r="D46" s="24">
        <v>322</v>
      </c>
      <c r="E46" s="24">
        <v>420</v>
      </c>
      <c r="F46" s="24">
        <v>1610</v>
      </c>
      <c r="G46" s="24">
        <v>1193</v>
      </c>
      <c r="H46" s="59">
        <v>-23.33</v>
      </c>
      <c r="I46" s="59">
        <v>34.950000000000003</v>
      </c>
      <c r="J46" s="59">
        <v>2.81</v>
      </c>
      <c r="K46" s="59">
        <v>3.41</v>
      </c>
      <c r="L46" s="59">
        <v>3.97</v>
      </c>
      <c r="M46" s="59">
        <v>2.4900000000000002</v>
      </c>
      <c r="N46" s="59"/>
    </row>
    <row r="47" spans="1:14">
      <c r="A47" s="59">
        <v>6</v>
      </c>
      <c r="B47" s="59" t="s">
        <v>717</v>
      </c>
      <c r="C47" s="59" t="s">
        <v>23</v>
      </c>
      <c r="D47" s="24">
        <v>282</v>
      </c>
      <c r="E47" s="24">
        <v>330</v>
      </c>
      <c r="F47" s="24">
        <v>1224</v>
      </c>
      <c r="G47" s="24">
        <v>430</v>
      </c>
      <c r="H47" s="59">
        <v>-14.55</v>
      </c>
      <c r="I47" s="59">
        <v>184.65</v>
      </c>
      <c r="J47" s="59">
        <v>2.46</v>
      </c>
      <c r="K47" s="59">
        <v>2.59</v>
      </c>
      <c r="L47" s="59">
        <v>3.12</v>
      </c>
      <c r="M47" s="59">
        <v>0.9</v>
      </c>
      <c r="N47" s="59"/>
    </row>
    <row r="48" spans="1:14">
      <c r="A48" s="59">
        <v>7</v>
      </c>
      <c r="B48" s="59" t="s">
        <v>241</v>
      </c>
      <c r="C48" s="59" t="s">
        <v>24</v>
      </c>
      <c r="D48" s="24">
        <v>326</v>
      </c>
      <c r="E48" s="24">
        <v>670</v>
      </c>
      <c r="F48" s="24">
        <v>1168</v>
      </c>
      <c r="G48" s="24">
        <v>3150</v>
      </c>
      <c r="H48" s="59">
        <v>-51.34</v>
      </c>
      <c r="I48" s="59">
        <v>-62.92</v>
      </c>
      <c r="J48" s="59">
        <v>2.84</v>
      </c>
      <c r="K48" s="59">
        <v>2.4700000000000002</v>
      </c>
      <c r="L48" s="59">
        <v>6.34</v>
      </c>
      <c r="M48" s="59">
        <v>6.57</v>
      </c>
      <c r="N48" s="59"/>
    </row>
    <row r="49" spans="1:14">
      <c r="A49" s="59">
        <v>8</v>
      </c>
      <c r="B49" s="59" t="s">
        <v>393</v>
      </c>
      <c r="C49" s="59" t="s">
        <v>23</v>
      </c>
      <c r="D49" s="24">
        <v>240</v>
      </c>
      <c r="E49" s="24">
        <v>417</v>
      </c>
      <c r="F49" s="24">
        <v>1123</v>
      </c>
      <c r="G49" s="24">
        <v>1751</v>
      </c>
      <c r="H49" s="59">
        <v>-42.45</v>
      </c>
      <c r="I49" s="59">
        <v>-35.869999999999997</v>
      </c>
      <c r="J49" s="59">
        <v>2.09</v>
      </c>
      <c r="K49" s="59">
        <v>2.38</v>
      </c>
      <c r="L49" s="59">
        <v>3.95</v>
      </c>
      <c r="M49" s="59">
        <v>3.65</v>
      </c>
      <c r="N49" s="59"/>
    </row>
    <row r="50" spans="1:14">
      <c r="A50" s="59">
        <v>9</v>
      </c>
      <c r="B50" s="59" t="s">
        <v>665</v>
      </c>
      <c r="C50" s="59" t="s">
        <v>24</v>
      </c>
      <c r="D50" s="24">
        <v>261</v>
      </c>
      <c r="E50" s="24">
        <v>63</v>
      </c>
      <c r="F50" s="24">
        <v>1102</v>
      </c>
      <c r="G50" s="24">
        <v>293</v>
      </c>
      <c r="H50" s="59">
        <v>314.29000000000002</v>
      </c>
      <c r="I50" s="59">
        <v>276.11</v>
      </c>
      <c r="J50" s="59">
        <v>2.27</v>
      </c>
      <c r="K50" s="59">
        <v>2.34</v>
      </c>
      <c r="L50" s="59">
        <v>0.6</v>
      </c>
      <c r="M50" s="59">
        <v>0.61</v>
      </c>
      <c r="N50" s="59"/>
    </row>
    <row r="51" spans="1:14">
      <c r="A51" s="59">
        <v>10</v>
      </c>
      <c r="B51" s="59" t="s">
        <v>594</v>
      </c>
      <c r="C51" s="59" t="s">
        <v>24</v>
      </c>
      <c r="D51" s="24">
        <v>302</v>
      </c>
      <c r="E51" s="24">
        <v>259</v>
      </c>
      <c r="F51" s="24">
        <v>1082</v>
      </c>
      <c r="G51" s="24">
        <v>799</v>
      </c>
      <c r="H51" s="59">
        <v>16.600000000000001</v>
      </c>
      <c r="I51" s="59">
        <v>35.42</v>
      </c>
      <c r="J51" s="59">
        <v>2.63</v>
      </c>
      <c r="K51" s="59">
        <v>2.29</v>
      </c>
      <c r="L51" s="59">
        <v>2.4500000000000002</v>
      </c>
      <c r="M51" s="59">
        <v>1.67</v>
      </c>
      <c r="N51" s="59"/>
    </row>
    <row r="52" spans="1:14">
      <c r="A52" s="59">
        <v>11</v>
      </c>
      <c r="B52" s="59" t="s">
        <v>64</v>
      </c>
      <c r="C52" s="59" t="s">
        <v>24</v>
      </c>
      <c r="D52" s="24">
        <v>61</v>
      </c>
      <c r="E52" s="24">
        <v>4</v>
      </c>
      <c r="F52" s="24">
        <v>1066</v>
      </c>
      <c r="G52" s="24">
        <v>1183</v>
      </c>
      <c r="H52" s="59">
        <v>1425</v>
      </c>
      <c r="I52" s="59">
        <v>-9.89</v>
      </c>
      <c r="J52" s="59">
        <v>0.53</v>
      </c>
      <c r="K52" s="59">
        <v>2.2599999999999998</v>
      </c>
      <c r="L52" s="59">
        <v>0.04</v>
      </c>
      <c r="M52" s="59">
        <v>2.4700000000000002</v>
      </c>
      <c r="N52" s="59"/>
    </row>
    <row r="53" spans="1:14">
      <c r="A53" s="59">
        <v>12</v>
      </c>
      <c r="B53" s="59" t="s">
        <v>439</v>
      </c>
      <c r="C53" s="59" t="s">
        <v>24</v>
      </c>
      <c r="D53" s="24">
        <v>325</v>
      </c>
      <c r="E53" s="24">
        <v>90</v>
      </c>
      <c r="F53" s="24">
        <v>892</v>
      </c>
      <c r="G53" s="24">
        <v>486</v>
      </c>
      <c r="H53" s="59">
        <v>261.11</v>
      </c>
      <c r="I53" s="59">
        <v>83.54</v>
      </c>
      <c r="J53" s="59">
        <v>2.83</v>
      </c>
      <c r="K53" s="59">
        <v>1.89</v>
      </c>
      <c r="L53" s="59">
        <v>0.85</v>
      </c>
      <c r="M53" s="59">
        <v>1.01</v>
      </c>
      <c r="N53" s="59"/>
    </row>
    <row r="54" spans="1:14">
      <c r="A54" s="59">
        <v>13</v>
      </c>
      <c r="B54" s="59" t="s">
        <v>722</v>
      </c>
      <c r="C54" s="59" t="s">
        <v>24</v>
      </c>
      <c r="D54" s="24">
        <v>165</v>
      </c>
      <c r="E54" s="24">
        <v>10</v>
      </c>
      <c r="F54" s="24">
        <v>878</v>
      </c>
      <c r="G54" s="24">
        <v>102</v>
      </c>
      <c r="H54" s="59">
        <v>1550</v>
      </c>
      <c r="I54" s="59">
        <v>760.78</v>
      </c>
      <c r="J54" s="59">
        <v>1.44</v>
      </c>
      <c r="K54" s="59">
        <v>1.86</v>
      </c>
      <c r="L54" s="59">
        <v>0.09</v>
      </c>
      <c r="M54" s="59">
        <v>0.21</v>
      </c>
      <c r="N54" s="59"/>
    </row>
    <row r="55" spans="1:14">
      <c r="A55" s="59">
        <v>14</v>
      </c>
      <c r="B55" s="59" t="s">
        <v>621</v>
      </c>
      <c r="C55" s="59" t="s">
        <v>24</v>
      </c>
      <c r="D55" s="24">
        <v>193</v>
      </c>
      <c r="E55" s="24">
        <v>85</v>
      </c>
      <c r="F55" s="24">
        <v>754</v>
      </c>
      <c r="G55" s="24">
        <v>778</v>
      </c>
      <c r="H55" s="59">
        <v>127.06</v>
      </c>
      <c r="I55" s="59">
        <v>-3.08</v>
      </c>
      <c r="J55" s="59">
        <v>1.68</v>
      </c>
      <c r="K55" s="59">
        <v>1.6</v>
      </c>
      <c r="L55" s="59">
        <v>0.8</v>
      </c>
      <c r="M55" s="59">
        <v>1.62</v>
      </c>
      <c r="N55" s="59"/>
    </row>
    <row r="56" spans="1:14">
      <c r="A56" s="59">
        <v>15</v>
      </c>
      <c r="B56" s="59" t="s">
        <v>431</v>
      </c>
      <c r="C56" s="59" t="s">
        <v>23</v>
      </c>
      <c r="D56" s="24">
        <v>104</v>
      </c>
      <c r="E56" s="24">
        <v>361</v>
      </c>
      <c r="F56" s="24">
        <v>729</v>
      </c>
      <c r="G56" s="24">
        <v>1458</v>
      </c>
      <c r="H56" s="59">
        <v>-71.19</v>
      </c>
      <c r="I56" s="59">
        <v>-50</v>
      </c>
      <c r="J56" s="59">
        <v>0.91</v>
      </c>
      <c r="K56" s="59">
        <v>1.54</v>
      </c>
      <c r="L56" s="59">
        <v>3.42</v>
      </c>
      <c r="M56" s="59">
        <v>3.04</v>
      </c>
      <c r="N56" s="59"/>
    </row>
    <row r="57" spans="1:14">
      <c r="A57" s="59">
        <v>16</v>
      </c>
      <c r="B57" s="59" t="s">
        <v>1014</v>
      </c>
      <c r="C57" s="59" t="s">
        <v>23</v>
      </c>
      <c r="D57" s="24">
        <v>35</v>
      </c>
      <c r="E57" s="24">
        <v>0</v>
      </c>
      <c r="F57" s="24">
        <v>665</v>
      </c>
      <c r="G57" s="24">
        <v>0</v>
      </c>
      <c r="H57" s="59">
        <v>0</v>
      </c>
      <c r="I57" s="59">
        <v>0</v>
      </c>
      <c r="J57" s="59">
        <v>0.3</v>
      </c>
      <c r="K57" s="59">
        <v>1.41</v>
      </c>
      <c r="L57" s="59">
        <v>0</v>
      </c>
      <c r="M57" s="59">
        <v>0</v>
      </c>
      <c r="N57" s="59"/>
    </row>
    <row r="58" spans="1:14">
      <c r="A58" s="59">
        <v>17</v>
      </c>
      <c r="B58" s="59" t="s">
        <v>416</v>
      </c>
      <c r="C58" s="59" t="s">
        <v>23</v>
      </c>
      <c r="D58" s="24">
        <v>197</v>
      </c>
      <c r="E58" s="24">
        <v>138</v>
      </c>
      <c r="F58" s="24">
        <v>645</v>
      </c>
      <c r="G58" s="24">
        <v>879</v>
      </c>
      <c r="H58" s="59">
        <v>42.75</v>
      </c>
      <c r="I58" s="59">
        <v>-26.62</v>
      </c>
      <c r="J58" s="59">
        <v>1.72</v>
      </c>
      <c r="K58" s="59">
        <v>1.37</v>
      </c>
      <c r="L58" s="59">
        <v>1.31</v>
      </c>
      <c r="M58" s="59">
        <v>1.83</v>
      </c>
      <c r="N58" s="59"/>
    </row>
    <row r="59" spans="1:14">
      <c r="A59" s="59">
        <v>18</v>
      </c>
      <c r="B59" s="59" t="s">
        <v>426</v>
      </c>
      <c r="C59" s="59" t="s">
        <v>24</v>
      </c>
      <c r="D59" s="24">
        <v>120</v>
      </c>
      <c r="E59" s="24">
        <v>496</v>
      </c>
      <c r="F59" s="24">
        <v>644</v>
      </c>
      <c r="G59" s="24">
        <v>1684</v>
      </c>
      <c r="H59" s="59">
        <v>-75.81</v>
      </c>
      <c r="I59" s="59">
        <v>-61.76</v>
      </c>
      <c r="J59" s="59">
        <v>1.05</v>
      </c>
      <c r="K59" s="59">
        <v>1.36</v>
      </c>
      <c r="L59" s="59">
        <v>4.6900000000000004</v>
      </c>
      <c r="M59" s="59">
        <v>3.51</v>
      </c>
      <c r="N59" s="59"/>
    </row>
    <row r="60" spans="1:14">
      <c r="A60" s="59">
        <v>19</v>
      </c>
      <c r="B60" s="59" t="s">
        <v>397</v>
      </c>
      <c r="C60" s="59" t="s">
        <v>23</v>
      </c>
      <c r="D60" s="24">
        <v>255</v>
      </c>
      <c r="E60" s="24">
        <v>141</v>
      </c>
      <c r="F60" s="24">
        <v>623</v>
      </c>
      <c r="G60" s="24">
        <v>1058</v>
      </c>
      <c r="H60" s="59">
        <v>80.849999999999994</v>
      </c>
      <c r="I60" s="59">
        <v>-41.12</v>
      </c>
      <c r="J60" s="59">
        <v>2.2200000000000002</v>
      </c>
      <c r="K60" s="59">
        <v>1.32</v>
      </c>
      <c r="L60" s="59">
        <v>1.33</v>
      </c>
      <c r="M60" s="59">
        <v>2.21</v>
      </c>
      <c r="N60" s="59"/>
    </row>
    <row r="61" spans="1:14">
      <c r="A61" s="59">
        <v>20</v>
      </c>
      <c r="B61" s="59" t="s">
        <v>719</v>
      </c>
      <c r="C61" s="59" t="s">
        <v>24</v>
      </c>
      <c r="D61" s="24">
        <v>235</v>
      </c>
      <c r="E61" s="24">
        <v>6</v>
      </c>
      <c r="F61" s="24">
        <v>587</v>
      </c>
      <c r="G61" s="24">
        <v>7</v>
      </c>
      <c r="H61" s="59">
        <v>3816.67</v>
      </c>
      <c r="I61" s="59">
        <v>8285.7099999999991</v>
      </c>
      <c r="J61" s="59">
        <v>2.0499999999999998</v>
      </c>
      <c r="K61" s="59">
        <v>1.24</v>
      </c>
      <c r="L61" s="59">
        <v>0.06</v>
      </c>
      <c r="M61" s="59">
        <v>0.01</v>
      </c>
      <c r="N61" s="59"/>
    </row>
    <row r="62" spans="1:14">
      <c r="A62" s="59">
        <v>21</v>
      </c>
      <c r="B62" s="59" t="s">
        <v>599</v>
      </c>
      <c r="C62" s="59" t="s">
        <v>23</v>
      </c>
      <c r="D62" s="24">
        <v>143</v>
      </c>
      <c r="E62" s="24">
        <v>201</v>
      </c>
      <c r="F62" s="24">
        <v>580</v>
      </c>
      <c r="G62" s="24">
        <v>554</v>
      </c>
      <c r="H62" s="59">
        <v>-28.86</v>
      </c>
      <c r="I62" s="59">
        <v>4.6900000000000004</v>
      </c>
      <c r="J62" s="59">
        <v>1.25</v>
      </c>
      <c r="K62" s="59">
        <v>1.23</v>
      </c>
      <c r="L62" s="59">
        <v>1.9</v>
      </c>
      <c r="M62" s="59">
        <v>1.1599999999999999</v>
      </c>
      <c r="N62" s="59"/>
    </row>
    <row r="63" spans="1:14">
      <c r="A63" s="59">
        <v>22</v>
      </c>
      <c r="B63" s="59" t="s">
        <v>103</v>
      </c>
      <c r="C63" s="59" t="s">
        <v>24</v>
      </c>
      <c r="D63" s="24">
        <v>144</v>
      </c>
      <c r="E63" s="24">
        <v>391</v>
      </c>
      <c r="F63" s="24">
        <v>566</v>
      </c>
      <c r="G63" s="24">
        <v>1219</v>
      </c>
      <c r="H63" s="59">
        <v>-63.17</v>
      </c>
      <c r="I63" s="59">
        <v>-53.57</v>
      </c>
      <c r="J63" s="59">
        <v>1.25</v>
      </c>
      <c r="K63" s="59">
        <v>1.2</v>
      </c>
      <c r="L63" s="59">
        <v>3.7</v>
      </c>
      <c r="M63" s="59">
        <v>2.54</v>
      </c>
      <c r="N63" s="59"/>
    </row>
    <row r="64" spans="1:14">
      <c r="A64" s="59">
        <v>23</v>
      </c>
      <c r="B64" s="59" t="s">
        <v>243</v>
      </c>
      <c r="C64" s="59" t="s">
        <v>23</v>
      </c>
      <c r="D64" s="24">
        <v>180</v>
      </c>
      <c r="E64" s="24">
        <v>91</v>
      </c>
      <c r="F64" s="24">
        <v>557</v>
      </c>
      <c r="G64" s="24">
        <v>481</v>
      </c>
      <c r="H64" s="59">
        <v>97.8</v>
      </c>
      <c r="I64" s="59">
        <v>15.8</v>
      </c>
      <c r="J64" s="59">
        <v>1.57</v>
      </c>
      <c r="K64" s="59">
        <v>1.18</v>
      </c>
      <c r="L64" s="59">
        <v>0.86</v>
      </c>
      <c r="M64" s="59">
        <v>1</v>
      </c>
      <c r="N64" s="59"/>
    </row>
    <row r="65" spans="1:14">
      <c r="A65" s="59">
        <v>24</v>
      </c>
      <c r="B65" s="59" t="s">
        <v>422</v>
      </c>
      <c r="C65" s="59" t="s">
        <v>23</v>
      </c>
      <c r="D65" s="24">
        <v>158</v>
      </c>
      <c r="E65" s="24">
        <v>176</v>
      </c>
      <c r="F65" s="24">
        <v>534</v>
      </c>
      <c r="G65" s="24">
        <v>631</v>
      </c>
      <c r="H65" s="59">
        <v>-10.23</v>
      </c>
      <c r="I65" s="59">
        <v>-15.37</v>
      </c>
      <c r="J65" s="59">
        <v>1.38</v>
      </c>
      <c r="K65" s="59">
        <v>1.1299999999999999</v>
      </c>
      <c r="L65" s="59">
        <v>1.67</v>
      </c>
      <c r="M65" s="59">
        <v>1.32</v>
      </c>
      <c r="N65" s="59"/>
    </row>
    <row r="66" spans="1:14">
      <c r="A66" s="59">
        <v>25</v>
      </c>
      <c r="B66" s="59" t="s">
        <v>1060</v>
      </c>
      <c r="C66" s="59" t="s">
        <v>24</v>
      </c>
      <c r="D66" s="24">
        <v>140</v>
      </c>
      <c r="E66" s="24">
        <v>0</v>
      </c>
      <c r="F66" s="24">
        <v>496</v>
      </c>
      <c r="G66" s="24">
        <v>0</v>
      </c>
      <c r="H66" s="59">
        <v>0</v>
      </c>
      <c r="I66" s="59">
        <v>0</v>
      </c>
      <c r="J66" s="59">
        <v>1.22</v>
      </c>
      <c r="K66" s="59">
        <v>1.05</v>
      </c>
      <c r="L66" s="59">
        <v>0</v>
      </c>
      <c r="M66" s="59">
        <v>0</v>
      </c>
      <c r="N66" s="59"/>
    </row>
    <row r="67" spans="1:14">
      <c r="A67" s="59">
        <v>26</v>
      </c>
      <c r="B67" s="59" t="s">
        <v>434</v>
      </c>
      <c r="C67" s="59" t="s">
        <v>23</v>
      </c>
      <c r="D67" s="24">
        <v>82</v>
      </c>
      <c r="E67" s="24">
        <v>73</v>
      </c>
      <c r="F67" s="24">
        <v>489</v>
      </c>
      <c r="G67" s="24">
        <v>631</v>
      </c>
      <c r="H67" s="59">
        <v>12.33</v>
      </c>
      <c r="I67" s="59">
        <v>-22.5</v>
      </c>
      <c r="J67" s="59">
        <v>0.71</v>
      </c>
      <c r="K67" s="59">
        <v>1.04</v>
      </c>
      <c r="L67" s="59">
        <v>0.69</v>
      </c>
      <c r="M67" s="59">
        <v>1.32</v>
      </c>
      <c r="N67" s="59"/>
    </row>
    <row r="68" spans="1:14">
      <c r="A68" s="59">
        <v>27</v>
      </c>
      <c r="B68" s="59" t="s">
        <v>672</v>
      </c>
      <c r="C68" s="59" t="s">
        <v>23</v>
      </c>
      <c r="D68" s="24">
        <v>155</v>
      </c>
      <c r="E68" s="24">
        <v>89</v>
      </c>
      <c r="F68" s="24">
        <v>485</v>
      </c>
      <c r="G68" s="24">
        <v>241</v>
      </c>
      <c r="H68" s="59">
        <v>74.16</v>
      </c>
      <c r="I68" s="59">
        <v>101.24</v>
      </c>
      <c r="J68" s="59">
        <v>1.35</v>
      </c>
      <c r="K68" s="59">
        <v>1.03</v>
      </c>
      <c r="L68" s="59">
        <v>0.84</v>
      </c>
      <c r="M68" s="59">
        <v>0.5</v>
      </c>
      <c r="N68" s="59"/>
    </row>
    <row r="69" spans="1:14">
      <c r="A69" s="59">
        <v>28</v>
      </c>
      <c r="B69" s="59" t="s">
        <v>718</v>
      </c>
      <c r="C69" s="59" t="s">
        <v>24</v>
      </c>
      <c r="D69" s="24">
        <v>181</v>
      </c>
      <c r="E69" s="24">
        <v>18</v>
      </c>
      <c r="F69" s="24">
        <v>462</v>
      </c>
      <c r="G69" s="24">
        <v>52</v>
      </c>
      <c r="H69" s="59">
        <v>905.56</v>
      </c>
      <c r="I69" s="59">
        <v>788.46</v>
      </c>
      <c r="J69" s="59">
        <v>1.58</v>
      </c>
      <c r="K69" s="59">
        <v>0.98</v>
      </c>
      <c r="L69" s="59">
        <v>0.17</v>
      </c>
      <c r="M69" s="59">
        <v>0.11</v>
      </c>
      <c r="N69" s="59"/>
    </row>
    <row r="70" spans="1:14">
      <c r="A70" s="59">
        <v>29</v>
      </c>
      <c r="B70" s="59" t="s">
        <v>148</v>
      </c>
      <c r="C70" s="59" t="s">
        <v>24</v>
      </c>
      <c r="D70" s="24">
        <v>151</v>
      </c>
      <c r="E70" s="24">
        <v>194</v>
      </c>
      <c r="F70" s="24">
        <v>445</v>
      </c>
      <c r="G70" s="24">
        <v>472</v>
      </c>
      <c r="H70" s="59">
        <v>-22.16</v>
      </c>
      <c r="I70" s="59">
        <v>-5.72</v>
      </c>
      <c r="J70" s="59">
        <v>1.32</v>
      </c>
      <c r="K70" s="59">
        <v>0.94</v>
      </c>
      <c r="L70" s="59">
        <v>1.84</v>
      </c>
      <c r="M70" s="59">
        <v>0.98</v>
      </c>
      <c r="N70" s="59"/>
    </row>
    <row r="71" spans="1:14">
      <c r="A71" s="59">
        <v>30</v>
      </c>
      <c r="B71" s="59" t="s">
        <v>403</v>
      </c>
      <c r="C71" s="59" t="s">
        <v>23</v>
      </c>
      <c r="D71" s="24">
        <v>41</v>
      </c>
      <c r="E71" s="24">
        <v>259</v>
      </c>
      <c r="F71" s="24">
        <v>437</v>
      </c>
      <c r="G71" s="24">
        <v>735</v>
      </c>
      <c r="H71" s="59">
        <v>-84.17</v>
      </c>
      <c r="I71" s="59">
        <v>-40.54</v>
      </c>
      <c r="J71" s="59">
        <v>0.36</v>
      </c>
      <c r="K71" s="59">
        <v>0.93</v>
      </c>
      <c r="L71" s="59">
        <v>2.4500000000000002</v>
      </c>
      <c r="M71" s="59">
        <v>1.53</v>
      </c>
      <c r="N71" s="59"/>
    </row>
    <row r="72" spans="1:14">
      <c r="A72" s="59">
        <v>31</v>
      </c>
      <c r="B72" s="59" t="s">
        <v>724</v>
      </c>
      <c r="C72" s="59" t="s">
        <v>24</v>
      </c>
      <c r="D72" s="24">
        <v>149</v>
      </c>
      <c r="E72" s="24">
        <v>20</v>
      </c>
      <c r="F72" s="24">
        <v>416</v>
      </c>
      <c r="G72" s="24">
        <v>20</v>
      </c>
      <c r="H72" s="59">
        <v>645</v>
      </c>
      <c r="I72" s="59">
        <v>1980</v>
      </c>
      <c r="J72" s="59">
        <v>1.3</v>
      </c>
      <c r="K72" s="59">
        <v>0.88</v>
      </c>
      <c r="L72" s="59">
        <v>0.19</v>
      </c>
      <c r="M72" s="59">
        <v>0.04</v>
      </c>
      <c r="N72" s="59"/>
    </row>
    <row r="73" spans="1:14">
      <c r="A73" s="59">
        <v>32</v>
      </c>
      <c r="B73" s="59" t="s">
        <v>674</v>
      </c>
      <c r="C73" s="59" t="s">
        <v>24</v>
      </c>
      <c r="D73" s="24">
        <v>133</v>
      </c>
      <c r="E73" s="24">
        <v>34</v>
      </c>
      <c r="F73" s="24">
        <v>405</v>
      </c>
      <c r="G73" s="24">
        <v>78</v>
      </c>
      <c r="H73" s="59">
        <v>291.18</v>
      </c>
      <c r="I73" s="59">
        <v>419.23</v>
      </c>
      <c r="J73" s="59">
        <v>1.1599999999999999</v>
      </c>
      <c r="K73" s="59">
        <v>0.86</v>
      </c>
      <c r="L73" s="59">
        <v>0.32</v>
      </c>
      <c r="M73" s="59">
        <v>0.16</v>
      </c>
      <c r="N73" s="59"/>
    </row>
    <row r="74" spans="1:14">
      <c r="A74" s="59">
        <v>33</v>
      </c>
      <c r="B74" s="59" t="s">
        <v>727</v>
      </c>
      <c r="C74" s="59" t="s">
        <v>24</v>
      </c>
      <c r="D74" s="24">
        <v>73</v>
      </c>
      <c r="E74" s="24">
        <v>64</v>
      </c>
      <c r="F74" s="24">
        <v>387</v>
      </c>
      <c r="G74" s="24">
        <v>64</v>
      </c>
      <c r="H74" s="59">
        <v>14.06</v>
      </c>
      <c r="I74" s="59">
        <v>504.69</v>
      </c>
      <c r="J74" s="59">
        <v>0.64</v>
      </c>
      <c r="K74" s="59">
        <v>0.82</v>
      </c>
      <c r="L74" s="59">
        <v>0.61</v>
      </c>
      <c r="M74" s="59">
        <v>0.13</v>
      </c>
      <c r="N74" s="59"/>
    </row>
    <row r="75" spans="1:14">
      <c r="A75" s="59">
        <v>34</v>
      </c>
      <c r="B75" s="59" t="s">
        <v>1041</v>
      </c>
      <c r="C75" s="59" t="s">
        <v>24</v>
      </c>
      <c r="D75" s="24">
        <v>115</v>
      </c>
      <c r="E75" s="24">
        <v>0</v>
      </c>
      <c r="F75" s="24">
        <v>387</v>
      </c>
      <c r="G75" s="24">
        <v>0</v>
      </c>
      <c r="H75" s="59">
        <v>0</v>
      </c>
      <c r="I75" s="59">
        <v>0</v>
      </c>
      <c r="J75" s="59">
        <v>1</v>
      </c>
      <c r="K75" s="59">
        <v>0.82</v>
      </c>
      <c r="L75" s="59">
        <v>0</v>
      </c>
      <c r="M75" s="59">
        <v>0</v>
      </c>
      <c r="N75" s="59"/>
    </row>
    <row r="76" spans="1:14">
      <c r="A76" s="59">
        <v>35</v>
      </c>
      <c r="B76" s="59" t="s">
        <v>108</v>
      </c>
      <c r="C76" s="59" t="s">
        <v>24</v>
      </c>
      <c r="D76" s="24">
        <v>37</v>
      </c>
      <c r="E76" s="24">
        <v>107</v>
      </c>
      <c r="F76" s="24">
        <v>374</v>
      </c>
      <c r="G76" s="24">
        <v>393</v>
      </c>
      <c r="H76" s="59">
        <v>-65.42</v>
      </c>
      <c r="I76" s="59">
        <v>-4.83</v>
      </c>
      <c r="J76" s="59">
        <v>0.32</v>
      </c>
      <c r="K76" s="59">
        <v>0.79</v>
      </c>
      <c r="L76" s="59">
        <v>1.01</v>
      </c>
      <c r="M76" s="59">
        <v>0.82</v>
      </c>
      <c r="N76" s="59"/>
    </row>
    <row r="77" spans="1:14">
      <c r="A77" s="59">
        <v>36</v>
      </c>
      <c r="B77" s="59" t="s">
        <v>239</v>
      </c>
      <c r="C77" s="59" t="s">
        <v>23</v>
      </c>
      <c r="D77" s="24">
        <v>104</v>
      </c>
      <c r="E77" s="24">
        <v>112</v>
      </c>
      <c r="F77" s="24">
        <v>358</v>
      </c>
      <c r="G77" s="24">
        <v>778</v>
      </c>
      <c r="H77" s="59">
        <v>-7.14</v>
      </c>
      <c r="I77" s="59">
        <v>-53.98</v>
      </c>
      <c r="J77" s="59">
        <v>0.91</v>
      </c>
      <c r="K77" s="59">
        <v>0.76</v>
      </c>
      <c r="L77" s="59">
        <v>1.06</v>
      </c>
      <c r="M77" s="59">
        <v>1.62</v>
      </c>
      <c r="N77" s="59"/>
    </row>
    <row r="78" spans="1:14">
      <c r="A78" s="59">
        <v>37</v>
      </c>
      <c r="B78" s="59" t="s">
        <v>666</v>
      </c>
      <c r="C78" s="59" t="s">
        <v>24</v>
      </c>
      <c r="D78" s="24">
        <v>74</v>
      </c>
      <c r="E78" s="24">
        <v>92</v>
      </c>
      <c r="F78" s="24">
        <v>341</v>
      </c>
      <c r="G78" s="24">
        <v>185</v>
      </c>
      <c r="H78" s="59">
        <v>-19.57</v>
      </c>
      <c r="I78" s="59">
        <v>84.32</v>
      </c>
      <c r="J78" s="59">
        <v>0.64</v>
      </c>
      <c r="K78" s="59">
        <v>0.72</v>
      </c>
      <c r="L78" s="59">
        <v>0.87</v>
      </c>
      <c r="M78" s="59">
        <v>0.39</v>
      </c>
      <c r="N78" s="59"/>
    </row>
    <row r="79" spans="1:14">
      <c r="A79" s="59">
        <v>38</v>
      </c>
      <c r="B79" s="59" t="s">
        <v>1062</v>
      </c>
      <c r="C79" s="59" t="s">
        <v>23</v>
      </c>
      <c r="D79" s="24">
        <v>111</v>
      </c>
      <c r="E79" s="24">
        <v>0</v>
      </c>
      <c r="F79" s="24">
        <v>323</v>
      </c>
      <c r="G79" s="24">
        <v>0</v>
      </c>
      <c r="H79" s="59">
        <v>0</v>
      </c>
      <c r="I79" s="59">
        <v>0</v>
      </c>
      <c r="J79" s="59">
        <v>0.97</v>
      </c>
      <c r="K79" s="59">
        <v>0.68</v>
      </c>
      <c r="L79" s="59">
        <v>0</v>
      </c>
      <c r="M79" s="59">
        <v>0</v>
      </c>
      <c r="N79" s="59"/>
    </row>
    <row r="80" spans="1:14">
      <c r="A80" s="59">
        <v>39</v>
      </c>
      <c r="B80" s="59" t="s">
        <v>613</v>
      </c>
      <c r="C80" s="59" t="s">
        <v>24</v>
      </c>
      <c r="D80" s="24">
        <v>58</v>
      </c>
      <c r="E80" s="24">
        <v>233</v>
      </c>
      <c r="F80" s="24">
        <v>318</v>
      </c>
      <c r="G80" s="24">
        <v>563</v>
      </c>
      <c r="H80" s="59">
        <v>-75.11</v>
      </c>
      <c r="I80" s="59">
        <v>-43.52</v>
      </c>
      <c r="J80" s="59">
        <v>0.51</v>
      </c>
      <c r="K80" s="59">
        <v>0.67</v>
      </c>
      <c r="L80" s="59">
        <v>2.2000000000000002</v>
      </c>
      <c r="M80" s="59">
        <v>1.17</v>
      </c>
      <c r="N80" s="59"/>
    </row>
    <row r="81" spans="1:14">
      <c r="A81" s="59">
        <v>40</v>
      </c>
      <c r="B81" s="59" t="s">
        <v>514</v>
      </c>
      <c r="C81" s="59" t="s">
        <v>23</v>
      </c>
      <c r="D81" s="24">
        <v>92</v>
      </c>
      <c r="E81" s="24">
        <v>16</v>
      </c>
      <c r="F81" s="24">
        <v>315</v>
      </c>
      <c r="G81" s="24">
        <v>149</v>
      </c>
      <c r="H81" s="59">
        <v>475</v>
      </c>
      <c r="I81" s="59">
        <v>111.41</v>
      </c>
      <c r="J81" s="59">
        <v>0.8</v>
      </c>
      <c r="K81" s="59">
        <v>0.67</v>
      </c>
      <c r="L81" s="59">
        <v>0.15</v>
      </c>
      <c r="M81" s="59">
        <v>0.31</v>
      </c>
      <c r="N81" s="59"/>
    </row>
    <row r="82" spans="1:14">
      <c r="A82" s="59">
        <v>41</v>
      </c>
      <c r="B82" s="59" t="s">
        <v>417</v>
      </c>
      <c r="C82" s="59" t="s">
        <v>23</v>
      </c>
      <c r="D82" s="24">
        <v>98</v>
      </c>
      <c r="E82" s="24">
        <v>134</v>
      </c>
      <c r="F82" s="24">
        <v>307</v>
      </c>
      <c r="G82" s="24">
        <v>944</v>
      </c>
      <c r="H82" s="59">
        <v>-26.87</v>
      </c>
      <c r="I82" s="59">
        <v>-67.48</v>
      </c>
      <c r="J82" s="59">
        <v>0.85</v>
      </c>
      <c r="K82" s="59">
        <v>0.65</v>
      </c>
      <c r="L82" s="59">
        <v>1.27</v>
      </c>
      <c r="M82" s="59">
        <v>1.97</v>
      </c>
      <c r="N82" s="59"/>
    </row>
    <row r="83" spans="1:14">
      <c r="A83" s="59">
        <v>42</v>
      </c>
      <c r="B83" s="59" t="s">
        <v>667</v>
      </c>
      <c r="C83" s="59" t="s">
        <v>24</v>
      </c>
      <c r="D83" s="24">
        <v>106</v>
      </c>
      <c r="E83" s="24">
        <v>0</v>
      </c>
      <c r="F83" s="24">
        <v>307</v>
      </c>
      <c r="G83" s="24">
        <v>0</v>
      </c>
      <c r="H83" s="59">
        <v>0</v>
      </c>
      <c r="I83" s="59">
        <v>0</v>
      </c>
      <c r="J83" s="59">
        <v>0.92</v>
      </c>
      <c r="K83" s="59">
        <v>0.65</v>
      </c>
      <c r="L83" s="59">
        <v>0</v>
      </c>
      <c r="M83" s="59">
        <v>0</v>
      </c>
      <c r="N83" s="59"/>
    </row>
    <row r="84" spans="1:14">
      <c r="A84" s="59">
        <v>43</v>
      </c>
      <c r="B84" s="59" t="s">
        <v>520</v>
      </c>
      <c r="C84" s="59" t="s">
        <v>24</v>
      </c>
      <c r="D84" s="24">
        <v>68</v>
      </c>
      <c r="E84" s="24">
        <v>24</v>
      </c>
      <c r="F84" s="24">
        <v>301</v>
      </c>
      <c r="G84" s="24">
        <v>175</v>
      </c>
      <c r="H84" s="59">
        <v>183.33</v>
      </c>
      <c r="I84" s="59">
        <v>72</v>
      </c>
      <c r="J84" s="59">
        <v>0.59</v>
      </c>
      <c r="K84" s="59">
        <v>0.64</v>
      </c>
      <c r="L84" s="59">
        <v>0.23</v>
      </c>
      <c r="M84" s="59">
        <v>0.36</v>
      </c>
      <c r="N84" s="59"/>
    </row>
    <row r="85" spans="1:14">
      <c r="A85" s="59">
        <v>44</v>
      </c>
      <c r="B85" s="59" t="s">
        <v>378</v>
      </c>
      <c r="C85" s="59" t="s">
        <v>23</v>
      </c>
      <c r="D85" s="24">
        <v>98</v>
      </c>
      <c r="E85" s="24">
        <v>17</v>
      </c>
      <c r="F85" s="24">
        <v>300</v>
      </c>
      <c r="G85" s="24">
        <v>102</v>
      </c>
      <c r="H85" s="59">
        <v>476.47</v>
      </c>
      <c r="I85" s="59">
        <v>194.12</v>
      </c>
      <c r="J85" s="59">
        <v>0.85</v>
      </c>
      <c r="K85" s="59">
        <v>0.64</v>
      </c>
      <c r="L85" s="59">
        <v>0.16</v>
      </c>
      <c r="M85" s="59">
        <v>0.21</v>
      </c>
      <c r="N85" s="59"/>
    </row>
    <row r="86" spans="1:14">
      <c r="A86" s="59">
        <v>45</v>
      </c>
      <c r="B86" s="59" t="s">
        <v>508</v>
      </c>
      <c r="C86" s="59" t="s">
        <v>24</v>
      </c>
      <c r="D86" s="24">
        <v>4</v>
      </c>
      <c r="E86" s="24">
        <v>60</v>
      </c>
      <c r="F86" s="24">
        <v>300</v>
      </c>
      <c r="G86" s="24">
        <v>83</v>
      </c>
      <c r="H86" s="59">
        <v>-93.33</v>
      </c>
      <c r="I86" s="59">
        <v>261.45</v>
      </c>
      <c r="J86" s="59">
        <v>0.03</v>
      </c>
      <c r="K86" s="59">
        <v>0.64</v>
      </c>
      <c r="L86" s="59">
        <v>0.56999999999999995</v>
      </c>
      <c r="M86" s="59">
        <v>0.17</v>
      </c>
      <c r="N86" s="59"/>
    </row>
    <row r="87" spans="1:14">
      <c r="A87" s="59">
        <v>46</v>
      </c>
      <c r="B87" s="59" t="s">
        <v>515</v>
      </c>
      <c r="C87" s="59" t="s">
        <v>23</v>
      </c>
      <c r="D87" s="24">
        <v>107</v>
      </c>
      <c r="E87" s="24">
        <v>114</v>
      </c>
      <c r="F87" s="24">
        <v>296</v>
      </c>
      <c r="G87" s="24">
        <v>583</v>
      </c>
      <c r="H87" s="59">
        <v>-6.14</v>
      </c>
      <c r="I87" s="59">
        <v>-49.23</v>
      </c>
      <c r="J87" s="59">
        <v>0.93</v>
      </c>
      <c r="K87" s="59">
        <v>0.63</v>
      </c>
      <c r="L87" s="59">
        <v>1.08</v>
      </c>
      <c r="M87" s="59">
        <v>1.22</v>
      </c>
      <c r="N87" s="59"/>
    </row>
    <row r="88" spans="1:14">
      <c r="A88" s="59">
        <v>47</v>
      </c>
      <c r="B88" s="59" t="s">
        <v>627</v>
      </c>
      <c r="C88" s="59" t="s">
        <v>24</v>
      </c>
      <c r="D88" s="24">
        <v>50</v>
      </c>
      <c r="E88" s="24">
        <v>23</v>
      </c>
      <c r="F88" s="24">
        <v>282</v>
      </c>
      <c r="G88" s="24">
        <v>264</v>
      </c>
      <c r="H88" s="59">
        <v>117.39</v>
      </c>
      <c r="I88" s="59">
        <v>6.82</v>
      </c>
      <c r="J88" s="59">
        <v>0.44</v>
      </c>
      <c r="K88" s="59">
        <v>0.6</v>
      </c>
      <c r="L88" s="59">
        <v>0.22</v>
      </c>
      <c r="M88" s="59">
        <v>0.55000000000000004</v>
      </c>
      <c r="N88" s="59"/>
    </row>
    <row r="89" spans="1:14">
      <c r="A89" s="59">
        <v>48</v>
      </c>
      <c r="B89" s="59" t="s">
        <v>446</v>
      </c>
      <c r="C89" s="59" t="s">
        <v>23</v>
      </c>
      <c r="D89" s="24">
        <v>114</v>
      </c>
      <c r="E89" s="24">
        <v>126</v>
      </c>
      <c r="F89" s="24">
        <v>270</v>
      </c>
      <c r="G89" s="24">
        <v>845</v>
      </c>
      <c r="H89" s="59">
        <v>-9.52</v>
      </c>
      <c r="I89" s="59">
        <v>-68.05</v>
      </c>
      <c r="J89" s="59">
        <v>0.99</v>
      </c>
      <c r="K89" s="59">
        <v>0.56999999999999995</v>
      </c>
      <c r="L89" s="59">
        <v>1.19</v>
      </c>
      <c r="M89" s="59">
        <v>1.76</v>
      </c>
      <c r="N89" s="59"/>
    </row>
    <row r="90" spans="1:14">
      <c r="A90" s="59">
        <v>49</v>
      </c>
      <c r="B90" s="59" t="s">
        <v>383</v>
      </c>
      <c r="C90" s="59" t="s">
        <v>24</v>
      </c>
      <c r="D90" s="24">
        <v>56</v>
      </c>
      <c r="E90" s="24">
        <v>40</v>
      </c>
      <c r="F90" s="24">
        <v>257</v>
      </c>
      <c r="G90" s="24">
        <v>315</v>
      </c>
      <c r="H90" s="59">
        <v>40</v>
      </c>
      <c r="I90" s="59">
        <v>-18.41</v>
      </c>
      <c r="J90" s="59">
        <v>0.49</v>
      </c>
      <c r="K90" s="59">
        <v>0.54</v>
      </c>
      <c r="L90" s="59">
        <v>0.38</v>
      </c>
      <c r="M90" s="59">
        <v>0.66</v>
      </c>
      <c r="N90" s="59"/>
    </row>
    <row r="91" spans="1:14">
      <c r="A91" s="59">
        <v>50</v>
      </c>
      <c r="B91" s="59" t="s">
        <v>423</v>
      </c>
      <c r="C91" s="59" t="s">
        <v>24</v>
      </c>
      <c r="D91" s="24">
        <v>56</v>
      </c>
      <c r="E91" s="24">
        <v>52</v>
      </c>
      <c r="F91" s="24">
        <v>249</v>
      </c>
      <c r="G91" s="24">
        <v>291</v>
      </c>
      <c r="H91" s="59">
        <v>7.69</v>
      </c>
      <c r="I91" s="59">
        <v>-14.43</v>
      </c>
      <c r="J91" s="59">
        <v>0.49</v>
      </c>
      <c r="K91" s="59">
        <v>0.53</v>
      </c>
      <c r="L91" s="59">
        <v>0.49</v>
      </c>
      <c r="M91" s="59">
        <v>0.61</v>
      </c>
      <c r="N91" s="59"/>
    </row>
    <row r="92" spans="1:14">
      <c r="A92" s="59">
        <v>51</v>
      </c>
      <c r="B92" s="59" t="s">
        <v>246</v>
      </c>
      <c r="C92" s="59" t="s">
        <v>23</v>
      </c>
      <c r="D92" s="24">
        <v>52</v>
      </c>
      <c r="E92" s="24">
        <v>1</v>
      </c>
      <c r="F92" s="24">
        <v>240</v>
      </c>
      <c r="G92" s="24">
        <v>1</v>
      </c>
      <c r="H92" s="59">
        <v>5100</v>
      </c>
      <c r="I92" s="59">
        <v>23900</v>
      </c>
      <c r="J92" s="59">
        <v>0.45</v>
      </c>
      <c r="K92" s="59">
        <v>0.51</v>
      </c>
      <c r="L92" s="59">
        <v>0.01</v>
      </c>
      <c r="M92" s="59">
        <v>0</v>
      </c>
      <c r="N92" s="59"/>
    </row>
    <row r="93" spans="1:14">
      <c r="A93" s="59">
        <v>52</v>
      </c>
      <c r="B93" s="59" t="s">
        <v>585</v>
      </c>
      <c r="C93" s="59" t="s">
        <v>24</v>
      </c>
      <c r="D93" s="24">
        <v>92</v>
      </c>
      <c r="E93" s="24">
        <v>24</v>
      </c>
      <c r="F93" s="24">
        <v>239</v>
      </c>
      <c r="G93" s="24">
        <v>172</v>
      </c>
      <c r="H93" s="59">
        <v>283.33</v>
      </c>
      <c r="I93" s="59">
        <v>38.950000000000003</v>
      </c>
      <c r="J93" s="59">
        <v>0.8</v>
      </c>
      <c r="K93" s="59">
        <v>0.51</v>
      </c>
      <c r="L93" s="59">
        <v>0.23</v>
      </c>
      <c r="M93" s="59">
        <v>0.36</v>
      </c>
      <c r="N93" s="59"/>
    </row>
    <row r="94" spans="1:14">
      <c r="A94" s="59">
        <v>53</v>
      </c>
      <c r="B94" s="59" t="s">
        <v>587</v>
      </c>
      <c r="C94" s="59" t="s">
        <v>24</v>
      </c>
      <c r="D94" s="24">
        <v>77</v>
      </c>
      <c r="E94" s="24">
        <v>37</v>
      </c>
      <c r="F94" s="24">
        <v>236</v>
      </c>
      <c r="G94" s="24">
        <v>99</v>
      </c>
      <c r="H94" s="67">
        <v>108.11</v>
      </c>
      <c r="I94" s="67">
        <v>138.38</v>
      </c>
      <c r="J94" s="59">
        <v>0.67</v>
      </c>
      <c r="K94" s="59">
        <v>0.5</v>
      </c>
      <c r="L94" s="59">
        <v>0.35</v>
      </c>
      <c r="M94" s="59">
        <v>0.21</v>
      </c>
      <c r="N94" s="59"/>
    </row>
    <row r="95" spans="1:14">
      <c r="A95" s="59">
        <v>54</v>
      </c>
      <c r="B95" s="59" t="s">
        <v>1167</v>
      </c>
      <c r="C95" s="59" t="s">
        <v>24</v>
      </c>
      <c r="D95" s="24">
        <v>190</v>
      </c>
      <c r="E95" s="24">
        <v>0</v>
      </c>
      <c r="F95" s="24">
        <v>234</v>
      </c>
      <c r="G95" s="24">
        <v>0</v>
      </c>
      <c r="H95" s="85">
        <v>0</v>
      </c>
      <c r="I95" s="85">
        <v>0</v>
      </c>
      <c r="J95" s="59">
        <v>1.66</v>
      </c>
      <c r="K95" s="59">
        <v>0.5</v>
      </c>
      <c r="L95" s="59">
        <v>0</v>
      </c>
      <c r="M95" s="59">
        <v>0</v>
      </c>
      <c r="N95" s="59"/>
    </row>
    <row r="96" spans="1:14">
      <c r="A96" s="59">
        <v>55</v>
      </c>
      <c r="B96" s="59" t="s">
        <v>1047</v>
      </c>
      <c r="C96" s="59" t="s">
        <v>24</v>
      </c>
      <c r="D96" s="24">
        <v>83</v>
      </c>
      <c r="E96" s="24">
        <v>0</v>
      </c>
      <c r="F96" s="24">
        <v>232</v>
      </c>
      <c r="G96" s="24">
        <v>0</v>
      </c>
      <c r="H96" s="59">
        <v>0</v>
      </c>
      <c r="I96" s="59">
        <v>0</v>
      </c>
      <c r="J96" s="59">
        <v>0.72</v>
      </c>
      <c r="K96" s="59">
        <v>0.49</v>
      </c>
      <c r="L96" s="59">
        <v>0</v>
      </c>
      <c r="M96" s="59">
        <v>0</v>
      </c>
      <c r="N96" s="59"/>
    </row>
    <row r="97" spans="1:14">
      <c r="A97" s="59">
        <v>56</v>
      </c>
      <c r="B97" s="59" t="s">
        <v>1057</v>
      </c>
      <c r="C97" s="59" t="s">
        <v>24</v>
      </c>
      <c r="D97" s="24">
        <v>60</v>
      </c>
      <c r="E97" s="24">
        <v>0</v>
      </c>
      <c r="F97" s="24">
        <v>232</v>
      </c>
      <c r="G97" s="24">
        <v>0</v>
      </c>
      <c r="H97" s="59">
        <v>0</v>
      </c>
      <c r="I97" s="59">
        <v>0</v>
      </c>
      <c r="J97" s="59">
        <v>0.52</v>
      </c>
      <c r="K97" s="59">
        <v>0.49</v>
      </c>
      <c r="L97" s="59">
        <v>0</v>
      </c>
      <c r="M97" s="59">
        <v>0</v>
      </c>
      <c r="N97" s="59"/>
    </row>
    <row r="98" spans="1:14">
      <c r="A98" s="59">
        <v>57</v>
      </c>
      <c r="B98" s="59" t="s">
        <v>427</v>
      </c>
      <c r="C98" s="59" t="s">
        <v>23</v>
      </c>
      <c r="D98" s="24">
        <v>40</v>
      </c>
      <c r="E98" s="24">
        <v>34</v>
      </c>
      <c r="F98" s="24">
        <v>228</v>
      </c>
      <c r="G98" s="24">
        <v>100</v>
      </c>
      <c r="H98" s="59">
        <v>17.649999999999999</v>
      </c>
      <c r="I98" s="59">
        <v>128</v>
      </c>
      <c r="J98" s="59">
        <v>0.35</v>
      </c>
      <c r="K98" s="59">
        <v>0.48</v>
      </c>
      <c r="L98" s="59">
        <v>0.32</v>
      </c>
      <c r="M98" s="59">
        <v>0.21</v>
      </c>
      <c r="N98" s="59"/>
    </row>
    <row r="99" spans="1:14">
      <c r="A99" s="59">
        <v>58</v>
      </c>
      <c r="B99" s="59" t="s">
        <v>127</v>
      </c>
      <c r="C99" s="59" t="s">
        <v>23</v>
      </c>
      <c r="D99" s="24">
        <v>29</v>
      </c>
      <c r="E99" s="24">
        <v>56</v>
      </c>
      <c r="F99" s="24">
        <v>221</v>
      </c>
      <c r="G99" s="24">
        <v>247</v>
      </c>
      <c r="H99" s="59">
        <v>-48.21</v>
      </c>
      <c r="I99" s="59">
        <v>-10.53</v>
      </c>
      <c r="J99" s="59">
        <v>0.25</v>
      </c>
      <c r="K99" s="59">
        <v>0.47</v>
      </c>
      <c r="L99" s="59">
        <v>0.53</v>
      </c>
      <c r="M99" s="59">
        <v>0.52</v>
      </c>
      <c r="N99" s="59"/>
    </row>
    <row r="100" spans="1:14">
      <c r="A100" s="59">
        <v>59</v>
      </c>
      <c r="B100" s="59" t="s">
        <v>688</v>
      </c>
      <c r="C100" s="59" t="s">
        <v>24</v>
      </c>
      <c r="D100" s="24">
        <v>61</v>
      </c>
      <c r="E100" s="24">
        <v>14</v>
      </c>
      <c r="F100" s="24">
        <v>221</v>
      </c>
      <c r="G100" s="24">
        <v>148</v>
      </c>
      <c r="H100" s="59">
        <v>335.71</v>
      </c>
      <c r="I100" s="59">
        <v>49.32</v>
      </c>
      <c r="J100" s="59">
        <v>0.53</v>
      </c>
      <c r="K100" s="59">
        <v>0.47</v>
      </c>
      <c r="L100" s="59">
        <v>0.13</v>
      </c>
      <c r="M100" s="59">
        <v>0.31</v>
      </c>
      <c r="N100" s="59"/>
    </row>
    <row r="101" spans="1:14">
      <c r="A101" s="59">
        <v>60</v>
      </c>
      <c r="B101" s="59" t="s">
        <v>433</v>
      </c>
      <c r="C101" s="59" t="s">
        <v>24</v>
      </c>
      <c r="D101" s="24">
        <v>22</v>
      </c>
      <c r="E101" s="24">
        <v>26</v>
      </c>
      <c r="F101" s="24">
        <v>219</v>
      </c>
      <c r="G101" s="24">
        <v>464</v>
      </c>
      <c r="H101" s="59">
        <v>-15.38</v>
      </c>
      <c r="I101" s="59">
        <v>-52.8</v>
      </c>
      <c r="J101" s="59">
        <v>0.19</v>
      </c>
      <c r="K101" s="59">
        <v>0.46</v>
      </c>
      <c r="L101" s="59">
        <v>0.25</v>
      </c>
      <c r="M101" s="59">
        <v>0.97</v>
      </c>
      <c r="N101" s="59"/>
    </row>
    <row r="102" spans="1:14">
      <c r="A102" s="59">
        <v>61</v>
      </c>
      <c r="B102" s="59" t="s">
        <v>394</v>
      </c>
      <c r="C102" s="59" t="s">
        <v>23</v>
      </c>
      <c r="D102" s="24">
        <v>51</v>
      </c>
      <c r="E102" s="24">
        <v>130</v>
      </c>
      <c r="F102" s="24">
        <v>208</v>
      </c>
      <c r="G102" s="24">
        <v>452</v>
      </c>
      <c r="H102" s="59">
        <v>-60.77</v>
      </c>
      <c r="I102" s="59">
        <v>-53.98</v>
      </c>
      <c r="J102" s="59">
        <v>0.44</v>
      </c>
      <c r="K102" s="59">
        <v>0.44</v>
      </c>
      <c r="L102" s="59">
        <v>1.23</v>
      </c>
      <c r="M102" s="59">
        <v>0.94</v>
      </c>
      <c r="N102" s="59"/>
    </row>
    <row r="103" spans="1:14">
      <c r="A103" s="59">
        <v>62</v>
      </c>
      <c r="B103" s="59" t="s">
        <v>428</v>
      </c>
      <c r="C103" s="59" t="s">
        <v>24</v>
      </c>
      <c r="D103" s="24">
        <v>37</v>
      </c>
      <c r="E103" s="24">
        <v>39</v>
      </c>
      <c r="F103" s="24">
        <v>166</v>
      </c>
      <c r="G103" s="24">
        <v>234</v>
      </c>
      <c r="H103" s="59">
        <v>-5.13</v>
      </c>
      <c r="I103" s="59">
        <v>-29.06</v>
      </c>
      <c r="J103" s="59">
        <v>0.32</v>
      </c>
      <c r="K103" s="59">
        <v>0.35</v>
      </c>
      <c r="L103" s="59">
        <v>0.37</v>
      </c>
      <c r="M103" s="59">
        <v>0.49</v>
      </c>
      <c r="N103" s="59"/>
    </row>
    <row r="104" spans="1:14">
      <c r="A104" s="59">
        <v>63</v>
      </c>
      <c r="B104" s="59" t="s">
        <v>453</v>
      </c>
      <c r="C104" s="59" t="s">
        <v>23</v>
      </c>
      <c r="D104" s="24">
        <v>17</v>
      </c>
      <c r="E104" s="24">
        <v>66</v>
      </c>
      <c r="F104" s="24">
        <v>153</v>
      </c>
      <c r="G104" s="24">
        <v>298</v>
      </c>
      <c r="H104" s="59">
        <v>-74.239999999999995</v>
      </c>
      <c r="I104" s="59">
        <v>-48.66</v>
      </c>
      <c r="J104" s="59">
        <v>0.15</v>
      </c>
      <c r="K104" s="59">
        <v>0.32</v>
      </c>
      <c r="L104" s="59">
        <v>0.62</v>
      </c>
      <c r="M104" s="59">
        <v>0.62</v>
      </c>
      <c r="N104" s="59"/>
    </row>
    <row r="105" spans="1:14">
      <c r="A105" s="59">
        <v>64</v>
      </c>
      <c r="B105" s="59" t="s">
        <v>372</v>
      </c>
      <c r="C105" s="59" t="s">
        <v>23</v>
      </c>
      <c r="D105" s="24">
        <v>28</v>
      </c>
      <c r="E105" s="24">
        <v>68</v>
      </c>
      <c r="F105" s="24">
        <v>148</v>
      </c>
      <c r="G105" s="24">
        <v>234</v>
      </c>
      <c r="H105" s="59">
        <v>-58.82</v>
      </c>
      <c r="I105" s="59">
        <v>-36.75</v>
      </c>
      <c r="J105" s="59">
        <v>0.24</v>
      </c>
      <c r="K105" s="59">
        <v>0.31</v>
      </c>
      <c r="L105" s="59">
        <v>0.64</v>
      </c>
      <c r="M105" s="59">
        <v>0.49</v>
      </c>
      <c r="N105" s="59"/>
    </row>
    <row r="106" spans="1:14">
      <c r="A106" s="59">
        <v>65</v>
      </c>
      <c r="B106" s="59" t="s">
        <v>419</v>
      </c>
      <c r="C106" s="59" t="s">
        <v>23</v>
      </c>
      <c r="D106" s="24">
        <v>39</v>
      </c>
      <c r="E106" s="24">
        <v>64</v>
      </c>
      <c r="F106" s="24">
        <v>145</v>
      </c>
      <c r="G106" s="24">
        <v>171</v>
      </c>
      <c r="H106" s="59">
        <v>-39.06</v>
      </c>
      <c r="I106" s="59">
        <v>-15.2</v>
      </c>
      <c r="J106" s="59">
        <v>0.34</v>
      </c>
      <c r="K106" s="59">
        <v>0.31</v>
      </c>
      <c r="L106" s="59">
        <v>0.61</v>
      </c>
      <c r="M106" s="59">
        <v>0.36</v>
      </c>
      <c r="N106" s="59"/>
    </row>
    <row r="107" spans="1:14">
      <c r="A107" s="59">
        <v>66</v>
      </c>
      <c r="B107" s="59" t="s">
        <v>614</v>
      </c>
      <c r="C107" s="59" t="s">
        <v>23</v>
      </c>
      <c r="D107" s="24">
        <v>5</v>
      </c>
      <c r="E107" s="24">
        <v>49</v>
      </c>
      <c r="F107" s="24">
        <v>142</v>
      </c>
      <c r="G107" s="24">
        <v>765</v>
      </c>
      <c r="H107" s="59">
        <v>-89.8</v>
      </c>
      <c r="I107" s="59">
        <v>-81.44</v>
      </c>
      <c r="J107" s="59">
        <v>0.04</v>
      </c>
      <c r="K107" s="59">
        <v>0.3</v>
      </c>
      <c r="L107" s="59">
        <v>0.46</v>
      </c>
      <c r="M107" s="59">
        <v>1.6</v>
      </c>
      <c r="N107" s="59"/>
    </row>
    <row r="108" spans="1:14">
      <c r="A108" s="59">
        <v>67</v>
      </c>
      <c r="B108" s="59" t="s">
        <v>396</v>
      </c>
      <c r="C108" s="59" t="s">
        <v>23</v>
      </c>
      <c r="D108" s="24">
        <v>6</v>
      </c>
      <c r="E108" s="24">
        <v>45</v>
      </c>
      <c r="F108" s="24">
        <v>137</v>
      </c>
      <c r="G108" s="24">
        <v>263</v>
      </c>
      <c r="H108" s="59">
        <v>-86.67</v>
      </c>
      <c r="I108" s="59">
        <v>-47.91</v>
      </c>
      <c r="J108" s="59">
        <v>0.05</v>
      </c>
      <c r="K108" s="59">
        <v>0.28999999999999998</v>
      </c>
      <c r="L108" s="59">
        <v>0.43</v>
      </c>
      <c r="M108" s="59">
        <v>0.55000000000000004</v>
      </c>
      <c r="N108" s="59"/>
    </row>
    <row r="109" spans="1:14">
      <c r="A109" s="59">
        <v>68</v>
      </c>
      <c r="B109" s="59" t="s">
        <v>412</v>
      </c>
      <c r="C109" s="59" t="s">
        <v>23</v>
      </c>
      <c r="D109" s="24">
        <v>64</v>
      </c>
      <c r="E109" s="24">
        <v>113</v>
      </c>
      <c r="F109" s="24">
        <v>134</v>
      </c>
      <c r="G109" s="24">
        <v>349</v>
      </c>
      <c r="H109" s="59">
        <v>-43.36</v>
      </c>
      <c r="I109" s="59">
        <v>-61.6</v>
      </c>
      <c r="J109" s="59">
        <v>0.56000000000000005</v>
      </c>
      <c r="K109" s="59">
        <v>0.28000000000000003</v>
      </c>
      <c r="L109" s="59">
        <v>1.07</v>
      </c>
      <c r="M109" s="59">
        <v>0.73</v>
      </c>
      <c r="N109" s="59"/>
    </row>
    <row r="110" spans="1:14">
      <c r="A110" s="59">
        <v>69</v>
      </c>
      <c r="B110" s="59" t="s">
        <v>240</v>
      </c>
      <c r="C110" s="59" t="s">
        <v>23</v>
      </c>
      <c r="D110" s="24">
        <v>38</v>
      </c>
      <c r="E110" s="24">
        <v>92</v>
      </c>
      <c r="F110" s="24">
        <v>132</v>
      </c>
      <c r="G110" s="24">
        <v>322</v>
      </c>
      <c r="H110" s="59">
        <v>-58.7</v>
      </c>
      <c r="I110" s="59">
        <v>-59.01</v>
      </c>
      <c r="J110" s="59">
        <v>0.33</v>
      </c>
      <c r="K110" s="59">
        <v>0.28000000000000003</v>
      </c>
      <c r="L110" s="59">
        <v>0.87</v>
      </c>
      <c r="M110" s="59">
        <v>0.67</v>
      </c>
      <c r="N110" s="59"/>
    </row>
    <row r="111" spans="1:14">
      <c r="A111" s="59">
        <v>70</v>
      </c>
      <c r="B111" s="59" t="s">
        <v>681</v>
      </c>
      <c r="C111" s="59" t="s">
        <v>23</v>
      </c>
      <c r="D111" s="24">
        <v>38</v>
      </c>
      <c r="E111" s="24">
        <v>40</v>
      </c>
      <c r="F111" s="24">
        <v>132</v>
      </c>
      <c r="G111" s="24">
        <v>101</v>
      </c>
      <c r="H111" s="59">
        <v>-5</v>
      </c>
      <c r="I111" s="59">
        <v>30.69</v>
      </c>
      <c r="J111" s="59">
        <v>0.33</v>
      </c>
      <c r="K111" s="59">
        <v>0.28000000000000003</v>
      </c>
      <c r="L111" s="59">
        <v>0.38</v>
      </c>
      <c r="M111" s="59">
        <v>0.21</v>
      </c>
      <c r="N111" s="59"/>
    </row>
    <row r="112" spans="1:14">
      <c r="A112" s="59">
        <v>71</v>
      </c>
      <c r="B112" s="59" t="s">
        <v>668</v>
      </c>
      <c r="C112" s="59" t="s">
        <v>24</v>
      </c>
      <c r="D112" s="24">
        <v>19</v>
      </c>
      <c r="E112" s="24">
        <v>29</v>
      </c>
      <c r="F112" s="24">
        <v>128</v>
      </c>
      <c r="G112" s="24">
        <v>105</v>
      </c>
      <c r="H112" s="59">
        <v>-34.479999999999997</v>
      </c>
      <c r="I112" s="59">
        <v>21.9</v>
      </c>
      <c r="J112" s="59">
        <v>0.17</v>
      </c>
      <c r="K112" s="59">
        <v>0.27</v>
      </c>
      <c r="L112" s="59">
        <v>0.27</v>
      </c>
      <c r="M112" s="59">
        <v>0.22</v>
      </c>
      <c r="N112" s="59"/>
    </row>
    <row r="113" spans="1:14">
      <c r="A113" s="59">
        <v>72</v>
      </c>
      <c r="B113" s="59" t="s">
        <v>424</v>
      </c>
      <c r="C113" s="59" t="s">
        <v>23</v>
      </c>
      <c r="D113" s="24">
        <v>41</v>
      </c>
      <c r="E113" s="24">
        <v>147</v>
      </c>
      <c r="F113" s="24">
        <v>125</v>
      </c>
      <c r="G113" s="24">
        <v>585</v>
      </c>
      <c r="H113" s="59">
        <v>-72.11</v>
      </c>
      <c r="I113" s="59">
        <v>-78.63</v>
      </c>
      <c r="J113" s="59">
        <v>0.36</v>
      </c>
      <c r="K113" s="59">
        <v>0.26</v>
      </c>
      <c r="L113" s="59">
        <v>1.39</v>
      </c>
      <c r="M113" s="59">
        <v>1.22</v>
      </c>
      <c r="N113" s="59"/>
    </row>
    <row r="114" spans="1:14">
      <c r="A114" s="59">
        <v>73</v>
      </c>
      <c r="B114" s="59" t="s">
        <v>84</v>
      </c>
      <c r="C114" s="59" t="s">
        <v>23</v>
      </c>
      <c r="D114" s="24">
        <v>44</v>
      </c>
      <c r="E114" s="24">
        <v>51</v>
      </c>
      <c r="F114" s="24">
        <v>124</v>
      </c>
      <c r="G114" s="24">
        <v>267</v>
      </c>
      <c r="H114" s="59">
        <v>-13.73</v>
      </c>
      <c r="I114" s="59">
        <v>-53.56</v>
      </c>
      <c r="J114" s="59">
        <v>0.38</v>
      </c>
      <c r="K114" s="59">
        <v>0.26</v>
      </c>
      <c r="L114" s="59">
        <v>0.48</v>
      </c>
      <c r="M114" s="59">
        <v>0.56000000000000005</v>
      </c>
      <c r="N114" s="59"/>
    </row>
    <row r="115" spans="1:14">
      <c r="A115" s="59">
        <v>74</v>
      </c>
      <c r="B115" s="59" t="s">
        <v>380</v>
      </c>
      <c r="C115" s="59" t="s">
        <v>23</v>
      </c>
      <c r="D115" s="24">
        <v>23</v>
      </c>
      <c r="E115" s="24">
        <v>146</v>
      </c>
      <c r="F115" s="24">
        <v>117</v>
      </c>
      <c r="G115" s="24">
        <v>522</v>
      </c>
      <c r="H115" s="59">
        <v>-84.25</v>
      </c>
      <c r="I115" s="59">
        <v>-77.59</v>
      </c>
      <c r="J115" s="59">
        <v>0.2</v>
      </c>
      <c r="K115" s="59">
        <v>0.25</v>
      </c>
      <c r="L115" s="59">
        <v>1.38</v>
      </c>
      <c r="M115" s="59">
        <v>1.0900000000000001</v>
      </c>
      <c r="N115" s="59"/>
    </row>
    <row r="116" spans="1:14">
      <c r="A116" s="59">
        <v>75</v>
      </c>
      <c r="B116" s="59" t="s">
        <v>395</v>
      </c>
      <c r="C116" s="59" t="s">
        <v>23</v>
      </c>
      <c r="D116" s="24">
        <v>24</v>
      </c>
      <c r="E116" s="24">
        <v>8</v>
      </c>
      <c r="F116" s="24">
        <v>112</v>
      </c>
      <c r="G116" s="24">
        <v>42</v>
      </c>
      <c r="H116" s="59">
        <v>200</v>
      </c>
      <c r="I116" s="59">
        <v>166.67</v>
      </c>
      <c r="J116" s="59">
        <v>0.21</v>
      </c>
      <c r="K116" s="59">
        <v>0.24</v>
      </c>
      <c r="L116" s="59">
        <v>0.08</v>
      </c>
      <c r="M116" s="59">
        <v>0.09</v>
      </c>
      <c r="N116" s="59"/>
    </row>
    <row r="117" spans="1:14">
      <c r="A117" s="59">
        <v>76</v>
      </c>
      <c r="B117" s="59" t="s">
        <v>1074</v>
      </c>
      <c r="C117" s="59" t="s">
        <v>23</v>
      </c>
      <c r="D117" s="24">
        <v>30</v>
      </c>
      <c r="E117" s="24">
        <v>0</v>
      </c>
      <c r="F117" s="24">
        <v>112</v>
      </c>
      <c r="G117" s="24">
        <v>0</v>
      </c>
      <c r="H117" s="59">
        <v>0</v>
      </c>
      <c r="I117" s="59">
        <v>0</v>
      </c>
      <c r="J117" s="59">
        <v>0.26</v>
      </c>
      <c r="K117" s="59">
        <v>0.24</v>
      </c>
      <c r="L117" s="59">
        <v>0</v>
      </c>
      <c r="M117" s="59">
        <v>0</v>
      </c>
      <c r="N117" s="59"/>
    </row>
    <row r="118" spans="1:14">
      <c r="A118" s="59">
        <v>77</v>
      </c>
      <c r="B118" s="59" t="s">
        <v>598</v>
      </c>
      <c r="C118" s="59" t="s">
        <v>24</v>
      </c>
      <c r="D118" s="24">
        <v>10</v>
      </c>
      <c r="E118" s="24">
        <v>13</v>
      </c>
      <c r="F118" s="24">
        <v>101</v>
      </c>
      <c r="G118" s="24">
        <v>315</v>
      </c>
      <c r="H118" s="59">
        <v>-23.08</v>
      </c>
      <c r="I118" s="59">
        <v>-67.94</v>
      </c>
      <c r="J118" s="59">
        <v>0.09</v>
      </c>
      <c r="K118" s="59">
        <v>0.21</v>
      </c>
      <c r="L118" s="59">
        <v>0.12</v>
      </c>
      <c r="M118" s="59">
        <v>0.66</v>
      </c>
      <c r="N118" s="59"/>
    </row>
    <row r="119" spans="1:14">
      <c r="A119" s="59">
        <v>78</v>
      </c>
      <c r="B119" s="59" t="s">
        <v>436</v>
      </c>
      <c r="C119" s="59" t="s">
        <v>23</v>
      </c>
      <c r="D119" s="24">
        <v>22</v>
      </c>
      <c r="E119" s="24">
        <v>28</v>
      </c>
      <c r="F119" s="24">
        <v>100</v>
      </c>
      <c r="G119" s="24">
        <v>178</v>
      </c>
      <c r="H119" s="59">
        <v>-21.43</v>
      </c>
      <c r="I119" s="59">
        <v>-43.82</v>
      </c>
      <c r="J119" s="59">
        <v>0.19</v>
      </c>
      <c r="K119" s="59">
        <v>0.21</v>
      </c>
      <c r="L119" s="59">
        <v>0.26</v>
      </c>
      <c r="M119" s="59">
        <v>0.37</v>
      </c>
      <c r="N119" s="59"/>
    </row>
    <row r="120" spans="1:14">
      <c r="A120" s="59">
        <v>79</v>
      </c>
      <c r="B120" s="59" t="s">
        <v>184</v>
      </c>
      <c r="C120" s="59" t="s">
        <v>23</v>
      </c>
      <c r="D120" s="24">
        <v>24</v>
      </c>
      <c r="E120" s="24">
        <v>46</v>
      </c>
      <c r="F120" s="24">
        <v>100</v>
      </c>
      <c r="G120" s="24">
        <v>169</v>
      </c>
      <c r="H120" s="59">
        <v>-47.83</v>
      </c>
      <c r="I120" s="59">
        <v>-40.83</v>
      </c>
      <c r="J120" s="59">
        <v>0.21</v>
      </c>
      <c r="K120" s="59">
        <v>0.21</v>
      </c>
      <c r="L120" s="59">
        <v>0.44</v>
      </c>
      <c r="M120" s="59">
        <v>0.35</v>
      </c>
      <c r="N120" s="59"/>
    </row>
    <row r="121" spans="1:14">
      <c r="A121" s="59">
        <v>80</v>
      </c>
      <c r="B121" s="59" t="s">
        <v>620</v>
      </c>
      <c r="C121" s="59" t="s">
        <v>24</v>
      </c>
      <c r="D121" s="24">
        <v>15</v>
      </c>
      <c r="E121" s="24">
        <v>128</v>
      </c>
      <c r="F121" s="24">
        <v>93</v>
      </c>
      <c r="G121" s="24">
        <v>549</v>
      </c>
      <c r="H121" s="59">
        <v>-88.28</v>
      </c>
      <c r="I121" s="59">
        <v>-83.06</v>
      </c>
      <c r="J121" s="59">
        <v>0.13</v>
      </c>
      <c r="K121" s="59">
        <v>0.2</v>
      </c>
      <c r="L121" s="59">
        <v>1.21</v>
      </c>
      <c r="M121" s="59">
        <v>1.1399999999999999</v>
      </c>
      <c r="N121" s="59"/>
    </row>
    <row r="122" spans="1:14">
      <c r="A122" s="59">
        <v>81</v>
      </c>
      <c r="B122" s="59" t="s">
        <v>464</v>
      </c>
      <c r="C122" s="59" t="s">
        <v>24</v>
      </c>
      <c r="D122" s="24">
        <v>17</v>
      </c>
      <c r="E122" s="24">
        <v>6</v>
      </c>
      <c r="F122" s="24">
        <v>91</v>
      </c>
      <c r="G122" s="24">
        <v>31</v>
      </c>
      <c r="H122" s="59">
        <v>183.33</v>
      </c>
      <c r="I122" s="59">
        <v>193.55</v>
      </c>
      <c r="J122" s="59">
        <v>0.15</v>
      </c>
      <c r="K122" s="59">
        <v>0.19</v>
      </c>
      <c r="L122" s="59">
        <v>0.06</v>
      </c>
      <c r="M122" s="59">
        <v>0.06</v>
      </c>
      <c r="N122" s="59"/>
    </row>
    <row r="123" spans="1:14">
      <c r="A123" s="59">
        <v>82</v>
      </c>
      <c r="B123" s="59" t="s">
        <v>88</v>
      </c>
      <c r="C123" s="59" t="s">
        <v>24</v>
      </c>
      <c r="D123" s="24">
        <v>21</v>
      </c>
      <c r="E123" s="24">
        <v>58</v>
      </c>
      <c r="F123" s="24">
        <v>90</v>
      </c>
      <c r="G123" s="24">
        <v>255</v>
      </c>
      <c r="H123" s="59">
        <v>-63.79</v>
      </c>
      <c r="I123" s="59">
        <v>-64.709999999999994</v>
      </c>
      <c r="J123" s="59">
        <v>0.18</v>
      </c>
      <c r="K123" s="59">
        <v>0.19</v>
      </c>
      <c r="L123" s="59">
        <v>0.55000000000000004</v>
      </c>
      <c r="M123" s="59">
        <v>0.53</v>
      </c>
      <c r="N123" s="59"/>
    </row>
    <row r="124" spans="1:14">
      <c r="A124" s="59">
        <v>83</v>
      </c>
      <c r="B124" s="59" t="s">
        <v>1023</v>
      </c>
      <c r="C124" s="59" t="s">
        <v>23</v>
      </c>
      <c r="D124" s="24">
        <v>19</v>
      </c>
      <c r="E124" s="24">
        <v>0</v>
      </c>
      <c r="F124" s="24">
        <v>90</v>
      </c>
      <c r="G124" s="24">
        <v>0</v>
      </c>
      <c r="H124" s="59">
        <v>0</v>
      </c>
      <c r="I124" s="59">
        <v>0</v>
      </c>
      <c r="J124" s="59">
        <v>0.17</v>
      </c>
      <c r="K124" s="59">
        <v>0.19</v>
      </c>
      <c r="L124" s="59">
        <v>0</v>
      </c>
      <c r="M124" s="59">
        <v>0</v>
      </c>
      <c r="N124" s="59"/>
    </row>
    <row r="125" spans="1:14">
      <c r="A125" s="59">
        <v>84</v>
      </c>
      <c r="B125" s="59" t="s">
        <v>1040</v>
      </c>
      <c r="C125" s="59" t="s">
        <v>24</v>
      </c>
      <c r="D125" s="24">
        <v>19</v>
      </c>
      <c r="E125" s="24">
        <v>0</v>
      </c>
      <c r="F125" s="24">
        <v>83</v>
      </c>
      <c r="G125" s="24">
        <v>0</v>
      </c>
      <c r="H125" s="59">
        <v>0</v>
      </c>
      <c r="I125" s="59">
        <v>0</v>
      </c>
      <c r="J125" s="59">
        <v>0.17</v>
      </c>
      <c r="K125" s="59">
        <v>0.18</v>
      </c>
      <c r="L125" s="59">
        <v>0</v>
      </c>
      <c r="M125" s="59">
        <v>0</v>
      </c>
      <c r="N125" s="59"/>
    </row>
    <row r="126" spans="1:14">
      <c r="A126" s="59">
        <v>85</v>
      </c>
      <c r="B126" s="59" t="s">
        <v>658</v>
      </c>
      <c r="C126" s="59" t="s">
        <v>23</v>
      </c>
      <c r="D126" s="24">
        <v>7</v>
      </c>
      <c r="E126" s="24">
        <v>17</v>
      </c>
      <c r="F126" s="24">
        <v>82</v>
      </c>
      <c r="G126" s="24">
        <v>121</v>
      </c>
      <c r="H126" s="59">
        <v>-58.82</v>
      </c>
      <c r="I126" s="59">
        <v>-32.229999999999997</v>
      </c>
      <c r="J126" s="59">
        <v>0.06</v>
      </c>
      <c r="K126" s="59">
        <v>0.17</v>
      </c>
      <c r="L126" s="59">
        <v>0.16</v>
      </c>
      <c r="M126" s="59">
        <v>0.25</v>
      </c>
      <c r="N126" s="59"/>
    </row>
    <row r="127" spans="1:14">
      <c r="A127" s="59">
        <v>86</v>
      </c>
      <c r="B127" s="59" t="s">
        <v>405</v>
      </c>
      <c r="C127" s="59" t="s">
        <v>23</v>
      </c>
      <c r="D127" s="24">
        <v>18</v>
      </c>
      <c r="E127" s="24">
        <v>22</v>
      </c>
      <c r="F127" s="24">
        <v>82</v>
      </c>
      <c r="G127" s="24">
        <v>96</v>
      </c>
      <c r="H127" s="59">
        <v>-18.18</v>
      </c>
      <c r="I127" s="59">
        <v>-14.58</v>
      </c>
      <c r="J127" s="59">
        <v>0.16</v>
      </c>
      <c r="K127" s="59">
        <v>0.17</v>
      </c>
      <c r="L127" s="59">
        <v>0.21</v>
      </c>
      <c r="M127" s="59">
        <v>0.2</v>
      </c>
      <c r="N127" s="59"/>
    </row>
    <row r="128" spans="1:14">
      <c r="A128" s="59">
        <v>87</v>
      </c>
      <c r="B128" s="59" t="s">
        <v>418</v>
      </c>
      <c r="C128" s="59" t="s">
        <v>24</v>
      </c>
      <c r="D128" s="24">
        <v>21</v>
      </c>
      <c r="E128" s="24">
        <v>36</v>
      </c>
      <c r="F128" s="24">
        <v>79</v>
      </c>
      <c r="G128" s="24">
        <v>259</v>
      </c>
      <c r="H128" s="59">
        <v>-41.67</v>
      </c>
      <c r="I128" s="59">
        <v>-69.5</v>
      </c>
      <c r="J128" s="59">
        <v>0.18</v>
      </c>
      <c r="K128" s="59">
        <v>0.17</v>
      </c>
      <c r="L128" s="59">
        <v>0.34</v>
      </c>
      <c r="M128" s="59">
        <v>0.54</v>
      </c>
      <c r="N128" s="59"/>
    </row>
    <row r="129" spans="1:14">
      <c r="A129" s="59">
        <v>88</v>
      </c>
      <c r="B129" s="59" t="s">
        <v>1131</v>
      </c>
      <c r="C129" s="59" t="s">
        <v>24</v>
      </c>
      <c r="D129" s="24">
        <v>44</v>
      </c>
      <c r="E129" s="24">
        <v>0</v>
      </c>
      <c r="F129" s="24">
        <v>75</v>
      </c>
      <c r="G129" s="24">
        <v>0</v>
      </c>
      <c r="H129" s="59">
        <v>0</v>
      </c>
      <c r="I129" s="59">
        <v>0</v>
      </c>
      <c r="J129" s="59">
        <v>0.38</v>
      </c>
      <c r="K129" s="59">
        <v>0.16</v>
      </c>
      <c r="L129" s="59">
        <v>0</v>
      </c>
      <c r="M129" s="59">
        <v>0</v>
      </c>
      <c r="N129" s="59"/>
    </row>
    <row r="130" spans="1:14">
      <c r="A130" s="59">
        <v>89</v>
      </c>
      <c r="B130" s="59" t="s">
        <v>165</v>
      </c>
      <c r="C130" s="59" t="s">
        <v>23</v>
      </c>
      <c r="D130" s="24">
        <v>16</v>
      </c>
      <c r="E130" s="24">
        <v>56</v>
      </c>
      <c r="F130" s="24">
        <v>72</v>
      </c>
      <c r="G130" s="24">
        <v>133</v>
      </c>
      <c r="H130" s="59">
        <v>-71.430000000000007</v>
      </c>
      <c r="I130" s="59">
        <v>-45.86</v>
      </c>
      <c r="J130" s="59">
        <v>0.14000000000000001</v>
      </c>
      <c r="K130" s="59">
        <v>0.15</v>
      </c>
      <c r="L130" s="59">
        <v>0.53</v>
      </c>
      <c r="M130" s="59">
        <v>0.28000000000000003</v>
      </c>
      <c r="N130" s="59"/>
    </row>
    <row r="131" spans="1:14">
      <c r="A131" s="59">
        <v>90</v>
      </c>
      <c r="B131" s="59" t="s">
        <v>49</v>
      </c>
      <c r="C131" s="59" t="s">
        <v>23</v>
      </c>
      <c r="D131" s="24">
        <v>27</v>
      </c>
      <c r="E131" s="24">
        <v>17</v>
      </c>
      <c r="F131" s="24">
        <v>70</v>
      </c>
      <c r="G131" s="24">
        <v>96</v>
      </c>
      <c r="H131" s="59">
        <v>58.82</v>
      </c>
      <c r="I131" s="59">
        <v>-27.08</v>
      </c>
      <c r="J131" s="59">
        <v>0.24</v>
      </c>
      <c r="K131" s="59">
        <v>0.15</v>
      </c>
      <c r="L131" s="59">
        <v>0.16</v>
      </c>
      <c r="M131" s="59">
        <v>0.2</v>
      </c>
      <c r="N131" s="59"/>
    </row>
    <row r="132" spans="1:14">
      <c r="A132" s="59">
        <v>91</v>
      </c>
      <c r="B132" s="59" t="s">
        <v>435</v>
      </c>
      <c r="C132" s="59" t="s">
        <v>23</v>
      </c>
      <c r="D132" s="24">
        <v>48</v>
      </c>
      <c r="E132" s="24">
        <v>11</v>
      </c>
      <c r="F132" s="24">
        <v>66</v>
      </c>
      <c r="G132" s="24">
        <v>57</v>
      </c>
      <c r="H132" s="59">
        <v>336.36</v>
      </c>
      <c r="I132" s="59">
        <v>15.79</v>
      </c>
      <c r="J132" s="59">
        <v>0.42</v>
      </c>
      <c r="K132" s="59">
        <v>0.14000000000000001</v>
      </c>
      <c r="L132" s="59">
        <v>0.1</v>
      </c>
      <c r="M132" s="59">
        <v>0.12</v>
      </c>
      <c r="N132" s="59"/>
    </row>
    <row r="133" spans="1:14">
      <c r="A133" s="59">
        <v>92</v>
      </c>
      <c r="B133" s="59" t="s">
        <v>247</v>
      </c>
      <c r="C133" s="59" t="s">
        <v>23</v>
      </c>
      <c r="D133" s="24">
        <v>20</v>
      </c>
      <c r="E133" s="24">
        <v>23</v>
      </c>
      <c r="F133" s="24">
        <v>65</v>
      </c>
      <c r="G133" s="24">
        <v>36</v>
      </c>
      <c r="H133" s="59">
        <v>-13.04</v>
      </c>
      <c r="I133" s="59">
        <v>80.56</v>
      </c>
      <c r="J133" s="59">
        <v>0.17</v>
      </c>
      <c r="K133" s="59">
        <v>0.14000000000000001</v>
      </c>
      <c r="L133" s="59">
        <v>0.22</v>
      </c>
      <c r="M133" s="59">
        <v>0.08</v>
      </c>
      <c r="N133" s="59"/>
    </row>
    <row r="134" spans="1:14">
      <c r="A134" s="59">
        <v>93</v>
      </c>
      <c r="B134" s="59" t="s">
        <v>432</v>
      </c>
      <c r="C134" s="59" t="s">
        <v>23</v>
      </c>
      <c r="D134" s="24">
        <v>18</v>
      </c>
      <c r="E134" s="24">
        <v>42</v>
      </c>
      <c r="F134" s="24">
        <v>63</v>
      </c>
      <c r="G134" s="24">
        <v>247</v>
      </c>
      <c r="H134" s="59">
        <v>-57.14</v>
      </c>
      <c r="I134" s="59">
        <v>-74.489999999999995</v>
      </c>
      <c r="J134" s="59">
        <v>0.16</v>
      </c>
      <c r="K134" s="59">
        <v>0.13</v>
      </c>
      <c r="L134" s="59">
        <v>0.4</v>
      </c>
      <c r="M134" s="59">
        <v>0.52</v>
      </c>
      <c r="N134" s="59"/>
    </row>
    <row r="135" spans="1:14">
      <c r="A135" s="59">
        <v>94</v>
      </c>
      <c r="B135" s="59" t="s">
        <v>454</v>
      </c>
      <c r="C135" s="59" t="s">
        <v>23</v>
      </c>
      <c r="D135" s="24">
        <v>28</v>
      </c>
      <c r="E135" s="24">
        <v>23</v>
      </c>
      <c r="F135" s="24">
        <v>63</v>
      </c>
      <c r="G135" s="24">
        <v>167</v>
      </c>
      <c r="H135" s="59">
        <v>21.74</v>
      </c>
      <c r="I135" s="59">
        <v>-62.28</v>
      </c>
      <c r="J135" s="59">
        <v>0.24</v>
      </c>
      <c r="K135" s="59">
        <v>0.13</v>
      </c>
      <c r="L135" s="59">
        <v>0.22</v>
      </c>
      <c r="M135" s="59">
        <v>0.35</v>
      </c>
      <c r="N135" s="59"/>
    </row>
    <row r="136" spans="1:14">
      <c r="A136" s="59">
        <v>95</v>
      </c>
      <c r="B136" s="59" t="s">
        <v>1071</v>
      </c>
      <c r="C136" s="59" t="s">
        <v>23</v>
      </c>
      <c r="D136" s="24">
        <v>0</v>
      </c>
      <c r="E136" s="24">
        <v>0</v>
      </c>
      <c r="F136" s="24">
        <v>63</v>
      </c>
      <c r="G136" s="24">
        <v>0</v>
      </c>
      <c r="H136" s="59">
        <v>0</v>
      </c>
      <c r="I136" s="59">
        <v>0</v>
      </c>
      <c r="J136" s="59">
        <v>0</v>
      </c>
      <c r="K136" s="59">
        <v>0.13</v>
      </c>
      <c r="L136" s="59">
        <v>0</v>
      </c>
      <c r="M136" s="59">
        <v>0</v>
      </c>
      <c r="N136" s="59"/>
    </row>
    <row r="137" spans="1:14">
      <c r="A137" s="59">
        <v>96</v>
      </c>
      <c r="B137" s="59" t="s">
        <v>420</v>
      </c>
      <c r="C137" s="59" t="s">
        <v>24</v>
      </c>
      <c r="D137" s="24">
        <v>0</v>
      </c>
      <c r="E137" s="24">
        <v>26</v>
      </c>
      <c r="F137" s="24">
        <v>58</v>
      </c>
      <c r="G137" s="24">
        <v>180</v>
      </c>
      <c r="H137" s="59">
        <v>-100</v>
      </c>
      <c r="I137" s="59">
        <v>-67.78</v>
      </c>
      <c r="J137" s="59">
        <v>0</v>
      </c>
      <c r="K137" s="59">
        <v>0.12</v>
      </c>
      <c r="L137" s="59">
        <v>0.25</v>
      </c>
      <c r="M137" s="59">
        <v>0.38</v>
      </c>
      <c r="N137" s="59"/>
    </row>
    <row r="138" spans="1:14">
      <c r="A138" s="59">
        <v>97</v>
      </c>
      <c r="B138" s="59" t="s">
        <v>159</v>
      </c>
      <c r="C138" s="59" t="s">
        <v>23</v>
      </c>
      <c r="D138" s="24">
        <v>0</v>
      </c>
      <c r="E138" s="24">
        <v>6</v>
      </c>
      <c r="F138" s="24">
        <v>56</v>
      </c>
      <c r="G138" s="24">
        <v>60</v>
      </c>
      <c r="H138" s="59">
        <v>-100</v>
      </c>
      <c r="I138" s="59">
        <v>-6.67</v>
      </c>
      <c r="J138" s="59">
        <v>0</v>
      </c>
      <c r="K138" s="59">
        <v>0.12</v>
      </c>
      <c r="L138" s="59">
        <v>0.06</v>
      </c>
      <c r="M138" s="59">
        <v>0.13</v>
      </c>
      <c r="N138" s="59"/>
    </row>
    <row r="139" spans="1:14">
      <c r="A139" s="59">
        <v>98</v>
      </c>
      <c r="B139" s="59" t="s">
        <v>149</v>
      </c>
      <c r="C139" s="59" t="s">
        <v>24</v>
      </c>
      <c r="D139" s="24">
        <v>21</v>
      </c>
      <c r="E139" s="24">
        <v>0</v>
      </c>
      <c r="F139" s="24">
        <v>56</v>
      </c>
      <c r="G139" s="24">
        <v>0</v>
      </c>
      <c r="H139" s="59">
        <v>0</v>
      </c>
      <c r="I139" s="59">
        <v>0</v>
      </c>
      <c r="J139" s="59">
        <v>0.18</v>
      </c>
      <c r="K139" s="59">
        <v>0.12</v>
      </c>
      <c r="L139" s="59">
        <v>0</v>
      </c>
      <c r="M139" s="59">
        <v>0</v>
      </c>
      <c r="N139" s="59"/>
    </row>
    <row r="140" spans="1:14">
      <c r="A140" s="59">
        <v>99</v>
      </c>
      <c r="B140" s="59" t="s">
        <v>1016</v>
      </c>
      <c r="C140" s="59" t="s">
        <v>24</v>
      </c>
      <c r="D140" s="24">
        <v>13</v>
      </c>
      <c r="E140" s="24">
        <v>0</v>
      </c>
      <c r="F140" s="24">
        <v>55</v>
      </c>
      <c r="G140" s="24">
        <v>0</v>
      </c>
      <c r="H140" s="59">
        <v>0</v>
      </c>
      <c r="I140" s="59">
        <v>0</v>
      </c>
      <c r="J140" s="59">
        <v>0.11</v>
      </c>
      <c r="K140" s="59">
        <v>0.12</v>
      </c>
      <c r="L140" s="59">
        <v>0</v>
      </c>
      <c r="M140" s="59">
        <v>0</v>
      </c>
      <c r="N140" s="59"/>
    </row>
    <row r="141" spans="1:14">
      <c r="A141" s="59">
        <v>100</v>
      </c>
      <c r="B141" s="59" t="s">
        <v>523</v>
      </c>
      <c r="C141" s="59" t="s">
        <v>23</v>
      </c>
      <c r="D141" s="24">
        <v>16</v>
      </c>
      <c r="E141" s="24">
        <v>14</v>
      </c>
      <c r="F141" s="24">
        <v>50</v>
      </c>
      <c r="G141" s="24">
        <v>81</v>
      </c>
      <c r="H141" s="59">
        <v>14.29</v>
      </c>
      <c r="I141" s="59">
        <v>-38.270000000000003</v>
      </c>
      <c r="J141" s="59">
        <v>0.14000000000000001</v>
      </c>
      <c r="K141" s="59">
        <v>0.11</v>
      </c>
      <c r="L141" s="59">
        <v>0.13</v>
      </c>
      <c r="M141" s="59">
        <v>0.17</v>
      </c>
      <c r="N141" s="59"/>
    </row>
    <row r="142" spans="1:14">
      <c r="A142" s="59">
        <v>101</v>
      </c>
      <c r="B142" s="59" t="s">
        <v>625</v>
      </c>
      <c r="C142" s="59" t="s">
        <v>23</v>
      </c>
      <c r="D142" s="24">
        <v>6</v>
      </c>
      <c r="E142" s="24">
        <v>0</v>
      </c>
      <c r="F142" s="24">
        <v>50</v>
      </c>
      <c r="G142" s="24">
        <v>40</v>
      </c>
      <c r="H142" s="59">
        <v>0</v>
      </c>
      <c r="I142" s="59">
        <v>25</v>
      </c>
      <c r="J142" s="59">
        <v>0.05</v>
      </c>
      <c r="K142" s="59">
        <v>0.11</v>
      </c>
      <c r="L142" s="59">
        <v>0</v>
      </c>
      <c r="M142" s="59">
        <v>0.08</v>
      </c>
      <c r="N142" s="59"/>
    </row>
    <row r="143" spans="1:14">
      <c r="A143" s="59">
        <v>102</v>
      </c>
      <c r="B143" s="59" t="s">
        <v>1132</v>
      </c>
      <c r="C143" s="59" t="s">
        <v>23</v>
      </c>
      <c r="D143" s="24">
        <v>23</v>
      </c>
      <c r="E143" s="24">
        <v>0</v>
      </c>
      <c r="F143" s="24">
        <v>49</v>
      </c>
      <c r="G143" s="24">
        <v>0</v>
      </c>
      <c r="H143" s="59">
        <v>0</v>
      </c>
      <c r="I143" s="59">
        <v>0</v>
      </c>
      <c r="J143" s="59">
        <v>0.2</v>
      </c>
      <c r="K143" s="59">
        <v>0.1</v>
      </c>
      <c r="L143" s="59">
        <v>0</v>
      </c>
      <c r="M143" s="59">
        <v>0</v>
      </c>
      <c r="N143" s="59"/>
    </row>
    <row r="144" spans="1:14">
      <c r="A144" s="59">
        <v>103</v>
      </c>
      <c r="B144" s="59" t="s">
        <v>737</v>
      </c>
      <c r="C144" s="59" t="s">
        <v>24</v>
      </c>
      <c r="D144" s="24">
        <v>10</v>
      </c>
      <c r="E144" s="24">
        <v>0</v>
      </c>
      <c r="F144" s="24">
        <v>49</v>
      </c>
      <c r="G144" s="24">
        <v>0</v>
      </c>
      <c r="H144" s="59">
        <v>0</v>
      </c>
      <c r="I144" s="59">
        <v>0</v>
      </c>
      <c r="J144" s="59">
        <v>0.09</v>
      </c>
      <c r="K144" s="59">
        <v>0.1</v>
      </c>
      <c r="L144" s="59">
        <v>0</v>
      </c>
      <c r="M144" s="59">
        <v>0</v>
      </c>
      <c r="N144" s="59"/>
    </row>
    <row r="145" spans="1:14">
      <c r="A145" s="59">
        <v>104</v>
      </c>
      <c r="B145" s="59" t="s">
        <v>640</v>
      </c>
      <c r="C145" s="59" t="s">
        <v>24</v>
      </c>
      <c r="D145" s="24">
        <v>7</v>
      </c>
      <c r="E145" s="24">
        <v>58</v>
      </c>
      <c r="F145" s="24">
        <v>47</v>
      </c>
      <c r="G145" s="24">
        <v>144</v>
      </c>
      <c r="H145" s="59">
        <v>-87.93</v>
      </c>
      <c r="I145" s="59">
        <v>-67.36</v>
      </c>
      <c r="J145" s="59">
        <v>0.06</v>
      </c>
      <c r="K145" s="59">
        <v>0.1</v>
      </c>
      <c r="L145" s="59">
        <v>0.55000000000000004</v>
      </c>
      <c r="M145" s="59">
        <v>0.3</v>
      </c>
      <c r="N145" s="59"/>
    </row>
    <row r="146" spans="1:14">
      <c r="A146" s="59">
        <v>105</v>
      </c>
      <c r="B146" s="59" t="s">
        <v>577</v>
      </c>
      <c r="C146" s="59" t="s">
        <v>23</v>
      </c>
      <c r="D146" s="24">
        <v>16</v>
      </c>
      <c r="E146" s="24">
        <v>26</v>
      </c>
      <c r="F146" s="24">
        <v>47</v>
      </c>
      <c r="G146" s="24">
        <v>61</v>
      </c>
      <c r="H146" s="59">
        <v>-38.46</v>
      </c>
      <c r="I146" s="59">
        <v>-22.95</v>
      </c>
      <c r="J146" s="59">
        <v>0.14000000000000001</v>
      </c>
      <c r="K146" s="59">
        <v>0.1</v>
      </c>
      <c r="L146" s="59">
        <v>0.25</v>
      </c>
      <c r="M146" s="59">
        <v>0.13</v>
      </c>
      <c r="N146" s="59"/>
    </row>
    <row r="147" spans="1:14">
      <c r="A147" s="59">
        <v>106</v>
      </c>
      <c r="B147" s="59" t="s">
        <v>667</v>
      </c>
      <c r="C147" s="59" t="s">
        <v>24</v>
      </c>
      <c r="D147" s="24">
        <v>7</v>
      </c>
      <c r="E147" s="24">
        <v>133</v>
      </c>
      <c r="F147" s="24">
        <v>45</v>
      </c>
      <c r="G147" s="24">
        <v>237</v>
      </c>
      <c r="H147" s="59">
        <v>-94.74</v>
      </c>
      <c r="I147" s="59">
        <v>-81.010000000000005</v>
      </c>
      <c r="J147" s="59">
        <v>0.06</v>
      </c>
      <c r="K147" s="59">
        <v>0.1</v>
      </c>
      <c r="L147" s="59">
        <v>1.26</v>
      </c>
      <c r="M147" s="59">
        <v>0.49</v>
      </c>
      <c r="N147" s="59"/>
    </row>
    <row r="148" spans="1:14">
      <c r="A148" s="59">
        <v>107</v>
      </c>
      <c r="B148" s="59" t="s">
        <v>682</v>
      </c>
      <c r="C148" s="59" t="s">
        <v>24</v>
      </c>
      <c r="D148" s="24">
        <v>6</v>
      </c>
      <c r="E148" s="24">
        <v>0</v>
      </c>
      <c r="F148" s="24">
        <v>44</v>
      </c>
      <c r="G148" s="24">
        <v>3</v>
      </c>
      <c r="H148" s="59">
        <v>0</v>
      </c>
      <c r="I148" s="59">
        <v>1366.67</v>
      </c>
      <c r="J148" s="59">
        <v>0.05</v>
      </c>
      <c r="K148" s="59">
        <v>0.09</v>
      </c>
      <c r="L148" s="59">
        <v>0</v>
      </c>
      <c r="M148" s="59">
        <v>0.01</v>
      </c>
      <c r="N148" s="59"/>
    </row>
    <row r="149" spans="1:14">
      <c r="A149" s="59">
        <v>108</v>
      </c>
      <c r="B149" s="59" t="s">
        <v>689</v>
      </c>
      <c r="C149" s="59" t="s">
        <v>24</v>
      </c>
      <c r="D149" s="24">
        <v>12</v>
      </c>
      <c r="E149" s="24">
        <v>29</v>
      </c>
      <c r="F149" s="24">
        <v>42</v>
      </c>
      <c r="G149" s="24">
        <v>94</v>
      </c>
      <c r="H149" s="59">
        <v>-58.62</v>
      </c>
      <c r="I149" s="59">
        <v>-55.32</v>
      </c>
      <c r="J149" s="59">
        <v>0.1</v>
      </c>
      <c r="K149" s="59">
        <v>0.09</v>
      </c>
      <c r="L149" s="59">
        <v>0.27</v>
      </c>
      <c r="M149" s="59">
        <v>0.2</v>
      </c>
      <c r="N149" s="59"/>
    </row>
    <row r="150" spans="1:14">
      <c r="A150" s="59">
        <v>109</v>
      </c>
      <c r="B150" s="59" t="s">
        <v>518</v>
      </c>
      <c r="C150" s="59" t="s">
        <v>23</v>
      </c>
      <c r="D150" s="24">
        <v>15</v>
      </c>
      <c r="E150" s="24">
        <v>18</v>
      </c>
      <c r="F150" s="24">
        <v>42</v>
      </c>
      <c r="G150" s="24">
        <v>58</v>
      </c>
      <c r="H150" s="59">
        <v>-16.670000000000002</v>
      </c>
      <c r="I150" s="59">
        <v>-27.59</v>
      </c>
      <c r="J150" s="59">
        <v>0.13</v>
      </c>
      <c r="K150" s="59">
        <v>0.09</v>
      </c>
      <c r="L150" s="59">
        <v>0.17</v>
      </c>
      <c r="M150" s="59">
        <v>0.12</v>
      </c>
      <c r="N150" s="59"/>
    </row>
    <row r="151" spans="1:14">
      <c r="A151" s="59">
        <v>110</v>
      </c>
      <c r="B151" s="59" t="s">
        <v>1061</v>
      </c>
      <c r="C151" s="59" t="s">
        <v>24</v>
      </c>
      <c r="D151" s="24">
        <v>8</v>
      </c>
      <c r="E151" s="24">
        <v>0</v>
      </c>
      <c r="F151" s="24">
        <v>42</v>
      </c>
      <c r="G151" s="24">
        <v>0</v>
      </c>
      <c r="H151" s="59">
        <v>0</v>
      </c>
      <c r="I151" s="59">
        <v>0</v>
      </c>
      <c r="J151" s="59">
        <v>7.0000000000000007E-2</v>
      </c>
      <c r="K151" s="59">
        <v>0.09</v>
      </c>
      <c r="L151" s="59">
        <v>0</v>
      </c>
      <c r="M151" s="59">
        <v>0</v>
      </c>
      <c r="N151" s="59"/>
    </row>
    <row r="152" spans="1:14">
      <c r="A152" s="59">
        <v>111</v>
      </c>
      <c r="B152" s="59" t="s">
        <v>1068</v>
      </c>
      <c r="C152" s="59" t="s">
        <v>24</v>
      </c>
      <c r="D152" s="24">
        <v>8</v>
      </c>
      <c r="E152" s="24">
        <v>0</v>
      </c>
      <c r="F152" s="24">
        <v>41</v>
      </c>
      <c r="G152" s="24">
        <v>0</v>
      </c>
      <c r="H152" s="59">
        <v>0</v>
      </c>
      <c r="I152" s="59">
        <v>0</v>
      </c>
      <c r="J152" s="59">
        <v>7.0000000000000007E-2</v>
      </c>
      <c r="K152" s="59">
        <v>0.09</v>
      </c>
      <c r="L152" s="59">
        <v>0</v>
      </c>
      <c r="M152" s="59">
        <v>0</v>
      </c>
      <c r="N152" s="59"/>
    </row>
    <row r="153" spans="1:14">
      <c r="A153" s="59">
        <v>112</v>
      </c>
      <c r="B153" s="59" t="s">
        <v>1075</v>
      </c>
      <c r="C153" s="59" t="s">
        <v>24</v>
      </c>
      <c r="D153" s="24">
        <v>16</v>
      </c>
      <c r="E153" s="24">
        <v>0</v>
      </c>
      <c r="F153" s="24">
        <v>39</v>
      </c>
      <c r="G153" s="24">
        <v>0</v>
      </c>
      <c r="H153" s="59">
        <v>0</v>
      </c>
      <c r="I153" s="59">
        <v>0</v>
      </c>
      <c r="J153" s="59">
        <v>0.14000000000000001</v>
      </c>
      <c r="K153" s="59">
        <v>0.08</v>
      </c>
      <c r="L153" s="59">
        <v>0</v>
      </c>
      <c r="M153" s="59">
        <v>0</v>
      </c>
      <c r="N153" s="59"/>
    </row>
    <row r="154" spans="1:14">
      <c r="A154" s="59">
        <v>113</v>
      </c>
      <c r="B154" s="59" t="s">
        <v>79</v>
      </c>
      <c r="C154" s="59" t="s">
        <v>23</v>
      </c>
      <c r="D154" s="24">
        <v>11</v>
      </c>
      <c r="E154" s="24">
        <v>174</v>
      </c>
      <c r="F154" s="24">
        <v>38</v>
      </c>
      <c r="G154" s="24">
        <v>552</v>
      </c>
      <c r="H154" s="67">
        <v>-93.68</v>
      </c>
      <c r="I154" s="67">
        <v>-93.12</v>
      </c>
      <c r="J154" s="59">
        <v>0.1</v>
      </c>
      <c r="K154" s="59">
        <v>0.08</v>
      </c>
      <c r="L154" s="59">
        <v>1.65</v>
      </c>
      <c r="M154" s="59">
        <v>1.1499999999999999</v>
      </c>
      <c r="N154" s="59"/>
    </row>
    <row r="155" spans="1:14">
      <c r="A155" s="59">
        <v>114</v>
      </c>
      <c r="B155" s="59" t="s">
        <v>1170</v>
      </c>
      <c r="C155" s="59" t="s">
        <v>23</v>
      </c>
      <c r="D155" s="24">
        <v>38</v>
      </c>
      <c r="E155" s="24">
        <v>0</v>
      </c>
      <c r="F155" s="24">
        <v>38</v>
      </c>
      <c r="G155" s="24">
        <v>0</v>
      </c>
      <c r="H155" s="59">
        <v>0</v>
      </c>
      <c r="I155" s="59">
        <v>0</v>
      </c>
      <c r="J155" s="59">
        <v>0.33</v>
      </c>
      <c r="K155" s="59">
        <v>0.08</v>
      </c>
      <c r="L155" s="59">
        <v>0</v>
      </c>
      <c r="M155" s="59">
        <v>0</v>
      </c>
      <c r="N155" s="59"/>
    </row>
    <row r="156" spans="1:14">
      <c r="A156" s="59">
        <v>115</v>
      </c>
      <c r="B156" s="59" t="s">
        <v>455</v>
      </c>
      <c r="C156" s="59" t="s">
        <v>24</v>
      </c>
      <c r="D156" s="24">
        <v>5</v>
      </c>
      <c r="E156" s="24">
        <v>43</v>
      </c>
      <c r="F156" s="24">
        <v>36</v>
      </c>
      <c r="G156" s="24">
        <v>150</v>
      </c>
      <c r="H156" s="59">
        <v>-88.37</v>
      </c>
      <c r="I156" s="59">
        <v>-76</v>
      </c>
      <c r="J156" s="59">
        <v>0.04</v>
      </c>
      <c r="K156" s="59">
        <v>0.08</v>
      </c>
      <c r="L156" s="59">
        <v>0.41</v>
      </c>
      <c r="M156" s="59">
        <v>0.31</v>
      </c>
      <c r="N156" s="59"/>
    </row>
    <row r="157" spans="1:14">
      <c r="A157" s="59">
        <v>116</v>
      </c>
      <c r="B157" s="59" t="s">
        <v>137</v>
      </c>
      <c r="C157" s="59" t="s">
        <v>23</v>
      </c>
      <c r="D157" s="24">
        <v>7</v>
      </c>
      <c r="E157" s="24">
        <v>4</v>
      </c>
      <c r="F157" s="24">
        <v>36</v>
      </c>
      <c r="G157" s="24">
        <v>13</v>
      </c>
      <c r="H157" s="59">
        <v>75</v>
      </c>
      <c r="I157" s="59">
        <v>176.92</v>
      </c>
      <c r="J157" s="59">
        <v>0.06</v>
      </c>
      <c r="K157" s="59">
        <v>0.08</v>
      </c>
      <c r="L157" s="59">
        <v>0.04</v>
      </c>
      <c r="M157" s="59">
        <v>0.03</v>
      </c>
      <c r="N157" s="59"/>
    </row>
    <row r="158" spans="1:14">
      <c r="A158" s="59">
        <v>117</v>
      </c>
      <c r="B158" s="59" t="s">
        <v>638</v>
      </c>
      <c r="C158" s="59" t="s">
        <v>23</v>
      </c>
      <c r="D158" s="24">
        <v>10</v>
      </c>
      <c r="E158" s="24">
        <v>5</v>
      </c>
      <c r="F158" s="24">
        <v>35</v>
      </c>
      <c r="G158" s="24">
        <v>21</v>
      </c>
      <c r="H158" s="59">
        <v>100</v>
      </c>
      <c r="I158" s="59">
        <v>66.67</v>
      </c>
      <c r="J158" s="59">
        <v>0.09</v>
      </c>
      <c r="K158" s="59">
        <v>7.0000000000000007E-2</v>
      </c>
      <c r="L158" s="59">
        <v>0.05</v>
      </c>
      <c r="M158" s="59">
        <v>0.04</v>
      </c>
      <c r="N158" s="59"/>
    </row>
    <row r="159" spans="1:14">
      <c r="A159" s="59">
        <v>118</v>
      </c>
      <c r="B159" s="59" t="s">
        <v>458</v>
      </c>
      <c r="C159" s="59" t="s">
        <v>23</v>
      </c>
      <c r="D159" s="24">
        <v>16</v>
      </c>
      <c r="E159" s="24">
        <v>1</v>
      </c>
      <c r="F159" s="24">
        <v>32</v>
      </c>
      <c r="G159" s="24">
        <v>23</v>
      </c>
      <c r="H159" s="59">
        <v>1500</v>
      </c>
      <c r="I159" s="59">
        <v>39.130000000000003</v>
      </c>
      <c r="J159" s="59">
        <v>0.14000000000000001</v>
      </c>
      <c r="K159" s="59">
        <v>7.0000000000000007E-2</v>
      </c>
      <c r="L159" s="59">
        <v>0.01</v>
      </c>
      <c r="M159" s="59">
        <v>0.05</v>
      </c>
      <c r="N159" s="59"/>
    </row>
    <row r="160" spans="1:14">
      <c r="A160" s="59">
        <v>119</v>
      </c>
      <c r="B160" s="59" t="s">
        <v>1094</v>
      </c>
      <c r="C160" s="59" t="s">
        <v>24</v>
      </c>
      <c r="D160" s="24">
        <v>3</v>
      </c>
      <c r="E160" s="24">
        <v>0</v>
      </c>
      <c r="F160" s="24">
        <v>32</v>
      </c>
      <c r="G160" s="24">
        <v>0</v>
      </c>
      <c r="H160" s="59">
        <v>0</v>
      </c>
      <c r="I160" s="59">
        <v>0</v>
      </c>
      <c r="J160" s="59">
        <v>0.03</v>
      </c>
      <c r="K160" s="59">
        <v>7.0000000000000007E-2</v>
      </c>
      <c r="L160" s="59">
        <v>0</v>
      </c>
      <c r="M160" s="59">
        <v>0</v>
      </c>
      <c r="N160" s="59"/>
    </row>
    <row r="161" spans="1:14">
      <c r="A161" s="59">
        <v>120</v>
      </c>
      <c r="B161" s="59" t="s">
        <v>449</v>
      </c>
      <c r="C161" s="59" t="s">
        <v>23</v>
      </c>
      <c r="D161" s="24">
        <v>1</v>
      </c>
      <c r="E161" s="24">
        <v>2</v>
      </c>
      <c r="F161" s="24">
        <v>31</v>
      </c>
      <c r="G161" s="24">
        <v>18</v>
      </c>
      <c r="H161" s="59">
        <v>-50</v>
      </c>
      <c r="I161" s="59">
        <v>72.22</v>
      </c>
      <c r="J161" s="59">
        <v>0.01</v>
      </c>
      <c r="K161" s="59">
        <v>7.0000000000000007E-2</v>
      </c>
      <c r="L161" s="59">
        <v>0.02</v>
      </c>
      <c r="M161" s="59">
        <v>0.04</v>
      </c>
      <c r="N161" s="59"/>
    </row>
    <row r="162" spans="1:14">
      <c r="A162" s="59">
        <v>121</v>
      </c>
      <c r="B162" s="59" t="s">
        <v>1129</v>
      </c>
      <c r="C162" s="59" t="s">
        <v>23</v>
      </c>
      <c r="D162" s="24">
        <v>4</v>
      </c>
      <c r="E162" s="24">
        <v>0</v>
      </c>
      <c r="F162" s="24">
        <v>31</v>
      </c>
      <c r="G162" s="24">
        <v>0</v>
      </c>
      <c r="H162" s="59">
        <v>0</v>
      </c>
      <c r="I162" s="59">
        <v>0</v>
      </c>
      <c r="J162" s="59">
        <v>0.03</v>
      </c>
      <c r="K162" s="59">
        <v>7.0000000000000007E-2</v>
      </c>
      <c r="L162" s="59">
        <v>0</v>
      </c>
      <c r="M162" s="59">
        <v>0</v>
      </c>
      <c r="N162" s="59"/>
    </row>
    <row r="163" spans="1:14">
      <c r="A163" s="59">
        <v>122</v>
      </c>
      <c r="B163" s="59" t="s">
        <v>450</v>
      </c>
      <c r="C163" s="59" t="s">
        <v>23</v>
      </c>
      <c r="D163" s="24">
        <v>12</v>
      </c>
      <c r="E163" s="24">
        <v>5</v>
      </c>
      <c r="F163" s="24">
        <v>30</v>
      </c>
      <c r="G163" s="24">
        <v>36</v>
      </c>
      <c r="H163" s="59">
        <v>140</v>
      </c>
      <c r="I163" s="59">
        <v>-16.670000000000002</v>
      </c>
      <c r="J163" s="59">
        <v>0.1</v>
      </c>
      <c r="K163" s="59">
        <v>0.06</v>
      </c>
      <c r="L163" s="59">
        <v>0.05</v>
      </c>
      <c r="M163" s="59">
        <v>0.08</v>
      </c>
      <c r="N163" s="59"/>
    </row>
    <row r="164" spans="1:14">
      <c r="A164" s="59">
        <v>123</v>
      </c>
      <c r="B164" s="59" t="s">
        <v>451</v>
      </c>
      <c r="C164" s="59" t="s">
        <v>23</v>
      </c>
      <c r="D164" s="24">
        <v>6</v>
      </c>
      <c r="E164" s="24">
        <v>4</v>
      </c>
      <c r="F164" s="24">
        <v>30</v>
      </c>
      <c r="G164" s="24">
        <v>33</v>
      </c>
      <c r="H164" s="59">
        <v>50</v>
      </c>
      <c r="I164" s="59">
        <v>-9.09</v>
      </c>
      <c r="J164" s="59">
        <v>0.05</v>
      </c>
      <c r="K164" s="59">
        <v>0.06</v>
      </c>
      <c r="L164" s="59">
        <v>0.04</v>
      </c>
      <c r="M164" s="59">
        <v>7.0000000000000007E-2</v>
      </c>
      <c r="N164" s="59"/>
    </row>
    <row r="165" spans="1:14">
      <c r="A165" s="59">
        <v>124</v>
      </c>
      <c r="B165" s="59" t="s">
        <v>1093</v>
      </c>
      <c r="C165" s="59" t="s">
        <v>23</v>
      </c>
      <c r="D165" s="24">
        <v>8</v>
      </c>
      <c r="E165" s="24">
        <v>0</v>
      </c>
      <c r="F165" s="24">
        <v>29</v>
      </c>
      <c r="G165" s="24">
        <v>0</v>
      </c>
      <c r="H165" s="59">
        <v>0</v>
      </c>
      <c r="I165" s="59">
        <v>0</v>
      </c>
      <c r="J165" s="59">
        <v>7.0000000000000007E-2</v>
      </c>
      <c r="K165" s="59">
        <v>0.06</v>
      </c>
      <c r="L165" s="59">
        <v>0</v>
      </c>
      <c r="M165" s="59">
        <v>0</v>
      </c>
      <c r="N165" s="59"/>
    </row>
    <row r="166" spans="1:14">
      <c r="A166" s="59">
        <v>125</v>
      </c>
      <c r="B166" s="59" t="s">
        <v>441</v>
      </c>
      <c r="C166" s="59" t="s">
        <v>23</v>
      </c>
      <c r="D166" s="24">
        <v>21</v>
      </c>
      <c r="E166" s="24">
        <v>10</v>
      </c>
      <c r="F166" s="24">
        <v>25</v>
      </c>
      <c r="G166" s="24">
        <v>81</v>
      </c>
      <c r="H166" s="59">
        <v>110</v>
      </c>
      <c r="I166" s="59">
        <v>-69.14</v>
      </c>
      <c r="J166" s="59">
        <v>0.18</v>
      </c>
      <c r="K166" s="59">
        <v>0.05</v>
      </c>
      <c r="L166" s="59">
        <v>0.09</v>
      </c>
      <c r="M166" s="59">
        <v>0.17</v>
      </c>
      <c r="N166" s="59"/>
    </row>
    <row r="167" spans="1:14">
      <c r="A167" s="59">
        <v>126</v>
      </c>
      <c r="B167" s="59" t="s">
        <v>1117</v>
      </c>
      <c r="C167" s="59" t="s">
        <v>24</v>
      </c>
      <c r="D167" s="24">
        <v>2</v>
      </c>
      <c r="E167" s="24">
        <v>0</v>
      </c>
      <c r="F167" s="24">
        <v>25</v>
      </c>
      <c r="G167" s="24">
        <v>0</v>
      </c>
      <c r="H167" s="59">
        <v>0</v>
      </c>
      <c r="I167" s="59">
        <v>0</v>
      </c>
      <c r="J167" s="59">
        <v>0.02</v>
      </c>
      <c r="K167" s="59">
        <v>0.05</v>
      </c>
      <c r="L167" s="59">
        <v>0</v>
      </c>
      <c r="M167" s="59">
        <v>0</v>
      </c>
      <c r="N167" s="59"/>
    </row>
    <row r="168" spans="1:14">
      <c r="A168" s="59">
        <v>127</v>
      </c>
      <c r="B168" s="59" t="s">
        <v>1097</v>
      </c>
      <c r="C168" s="59" t="s">
        <v>24</v>
      </c>
      <c r="D168" s="24">
        <v>5</v>
      </c>
      <c r="E168" s="24">
        <v>0</v>
      </c>
      <c r="F168" s="24">
        <v>24</v>
      </c>
      <c r="G168" s="24">
        <v>0</v>
      </c>
      <c r="H168" s="59">
        <v>0</v>
      </c>
      <c r="I168" s="59">
        <v>0</v>
      </c>
      <c r="J168" s="59">
        <v>0.04</v>
      </c>
      <c r="K168" s="59">
        <v>0.05</v>
      </c>
      <c r="L168" s="59">
        <v>0</v>
      </c>
      <c r="M168" s="59">
        <v>0</v>
      </c>
      <c r="N168" s="59"/>
    </row>
    <row r="169" spans="1:14">
      <c r="A169" s="59">
        <v>128</v>
      </c>
      <c r="B169" s="59" t="s">
        <v>675</v>
      </c>
      <c r="C169" s="59" t="s">
        <v>23</v>
      </c>
      <c r="D169" s="24">
        <v>7</v>
      </c>
      <c r="E169" s="24">
        <v>2</v>
      </c>
      <c r="F169" s="24">
        <v>23</v>
      </c>
      <c r="G169" s="24">
        <v>68</v>
      </c>
      <c r="H169" s="59">
        <v>250</v>
      </c>
      <c r="I169" s="59">
        <v>-66.180000000000007</v>
      </c>
      <c r="J169" s="59">
        <v>0.06</v>
      </c>
      <c r="K169" s="59">
        <v>0.05</v>
      </c>
      <c r="L169" s="59">
        <v>0.02</v>
      </c>
      <c r="M169" s="59">
        <v>0.14000000000000001</v>
      </c>
      <c r="N169" s="59"/>
    </row>
    <row r="170" spans="1:14">
      <c r="A170" s="59">
        <v>129</v>
      </c>
      <c r="B170" s="59" t="s">
        <v>151</v>
      </c>
      <c r="C170" s="59" t="s">
        <v>23</v>
      </c>
      <c r="D170" s="24">
        <v>3</v>
      </c>
      <c r="E170" s="24">
        <v>1</v>
      </c>
      <c r="F170" s="24">
        <v>23</v>
      </c>
      <c r="G170" s="24">
        <v>35</v>
      </c>
      <c r="H170" s="59">
        <v>200</v>
      </c>
      <c r="I170" s="59">
        <v>-34.29</v>
      </c>
      <c r="J170" s="59">
        <v>0.03</v>
      </c>
      <c r="K170" s="59">
        <v>0.05</v>
      </c>
      <c r="L170" s="59">
        <v>0.01</v>
      </c>
      <c r="M170" s="59">
        <v>7.0000000000000007E-2</v>
      </c>
      <c r="N170" s="59"/>
    </row>
    <row r="171" spans="1:14">
      <c r="A171" s="59">
        <v>130</v>
      </c>
      <c r="B171" s="59" t="s">
        <v>734</v>
      </c>
      <c r="C171" s="59" t="s">
        <v>24</v>
      </c>
      <c r="D171" s="24">
        <v>1</v>
      </c>
      <c r="E171" s="24">
        <v>0</v>
      </c>
      <c r="F171" s="24">
        <v>22</v>
      </c>
      <c r="G171" s="24">
        <v>0</v>
      </c>
      <c r="H171" s="59">
        <v>0</v>
      </c>
      <c r="I171" s="59">
        <v>0</v>
      </c>
      <c r="J171" s="59">
        <v>0.01</v>
      </c>
      <c r="K171" s="59">
        <v>0.05</v>
      </c>
      <c r="L171" s="59">
        <v>0</v>
      </c>
      <c r="M171" s="59">
        <v>0</v>
      </c>
      <c r="N171" s="59"/>
    </row>
    <row r="172" spans="1:14">
      <c r="A172" s="59">
        <v>131</v>
      </c>
      <c r="B172" s="59" t="s">
        <v>1114</v>
      </c>
      <c r="C172" s="59" t="s">
        <v>24</v>
      </c>
      <c r="D172" s="24">
        <v>6</v>
      </c>
      <c r="E172" s="24">
        <v>0</v>
      </c>
      <c r="F172" s="24">
        <v>22</v>
      </c>
      <c r="G172" s="24">
        <v>0</v>
      </c>
      <c r="H172" s="59">
        <v>0</v>
      </c>
      <c r="I172" s="59">
        <v>0</v>
      </c>
      <c r="J172" s="59">
        <v>0.05</v>
      </c>
      <c r="K172" s="59">
        <v>0.05</v>
      </c>
      <c r="L172" s="59">
        <v>0</v>
      </c>
      <c r="M172" s="59">
        <v>0</v>
      </c>
      <c r="N172" s="59"/>
    </row>
    <row r="173" spans="1:14">
      <c r="A173" s="59">
        <v>132</v>
      </c>
      <c r="B173" s="59" t="s">
        <v>1072</v>
      </c>
      <c r="C173" s="59" t="s">
        <v>24</v>
      </c>
      <c r="D173" s="24">
        <v>10</v>
      </c>
      <c r="E173" s="24">
        <v>0</v>
      </c>
      <c r="F173" s="24">
        <v>22</v>
      </c>
      <c r="G173" s="24">
        <v>0</v>
      </c>
      <c r="H173" s="59">
        <v>0</v>
      </c>
      <c r="I173" s="59">
        <v>0</v>
      </c>
      <c r="J173" s="59">
        <v>0.09</v>
      </c>
      <c r="K173" s="59">
        <v>0.05</v>
      </c>
      <c r="L173" s="59">
        <v>0</v>
      </c>
      <c r="M173" s="59">
        <v>0</v>
      </c>
      <c r="N173" s="59"/>
    </row>
    <row r="174" spans="1:14">
      <c r="A174" s="59">
        <v>133</v>
      </c>
      <c r="B174" s="59" t="s">
        <v>1116</v>
      </c>
      <c r="C174" s="59" t="s">
        <v>23</v>
      </c>
      <c r="D174" s="24">
        <v>11</v>
      </c>
      <c r="E174" s="24">
        <v>0</v>
      </c>
      <c r="F174" s="24">
        <v>22</v>
      </c>
      <c r="G174" s="24">
        <v>0</v>
      </c>
      <c r="H174" s="59">
        <v>0</v>
      </c>
      <c r="I174" s="59">
        <v>0</v>
      </c>
      <c r="J174" s="59">
        <v>0.1</v>
      </c>
      <c r="K174" s="59">
        <v>0.05</v>
      </c>
      <c r="L174" s="59">
        <v>0</v>
      </c>
      <c r="M174" s="59">
        <v>0</v>
      </c>
      <c r="N174" s="59"/>
    </row>
    <row r="175" spans="1:14">
      <c r="A175" s="59">
        <v>134</v>
      </c>
      <c r="B175" s="59" t="s">
        <v>421</v>
      </c>
      <c r="C175" s="59" t="s">
        <v>24</v>
      </c>
      <c r="D175" s="24">
        <v>4</v>
      </c>
      <c r="E175" s="24">
        <v>11</v>
      </c>
      <c r="F175" s="24">
        <v>19</v>
      </c>
      <c r="G175" s="24">
        <v>67</v>
      </c>
      <c r="H175" s="59">
        <v>-63.64</v>
      </c>
      <c r="I175" s="59">
        <v>-71.64</v>
      </c>
      <c r="J175" s="59">
        <v>0.03</v>
      </c>
      <c r="K175" s="59">
        <v>0.04</v>
      </c>
      <c r="L175" s="59">
        <v>0.1</v>
      </c>
      <c r="M175" s="59">
        <v>0.14000000000000001</v>
      </c>
      <c r="N175" s="59"/>
    </row>
    <row r="176" spans="1:14">
      <c r="A176" s="59">
        <v>135</v>
      </c>
      <c r="B176" s="59" t="s">
        <v>676</v>
      </c>
      <c r="C176" s="59" t="s">
        <v>24</v>
      </c>
      <c r="D176" s="24">
        <v>7</v>
      </c>
      <c r="E176" s="24">
        <v>0</v>
      </c>
      <c r="F176" s="24">
        <v>19</v>
      </c>
      <c r="G176" s="24">
        <v>6</v>
      </c>
      <c r="H176" s="59">
        <v>0</v>
      </c>
      <c r="I176" s="59">
        <v>216.67</v>
      </c>
      <c r="J176" s="59">
        <v>0.06</v>
      </c>
      <c r="K176" s="59">
        <v>0.04</v>
      </c>
      <c r="L176" s="59">
        <v>0</v>
      </c>
      <c r="M176" s="59">
        <v>0.01</v>
      </c>
      <c r="N176" s="59"/>
    </row>
    <row r="177" spans="1:14">
      <c r="A177" s="59">
        <v>136</v>
      </c>
      <c r="B177" s="59" t="s">
        <v>517</v>
      </c>
      <c r="C177" s="59" t="s">
        <v>23</v>
      </c>
      <c r="D177" s="24">
        <v>7</v>
      </c>
      <c r="E177" s="24">
        <v>8</v>
      </c>
      <c r="F177" s="24">
        <v>18</v>
      </c>
      <c r="G177" s="24">
        <v>34</v>
      </c>
      <c r="H177" s="67">
        <v>-12.5</v>
      </c>
      <c r="I177" s="67">
        <v>-47.06</v>
      </c>
      <c r="J177" s="59">
        <v>0.06</v>
      </c>
      <c r="K177" s="59">
        <v>0.04</v>
      </c>
      <c r="L177" s="59">
        <v>0.08</v>
      </c>
      <c r="M177" s="59">
        <v>7.0000000000000007E-2</v>
      </c>
      <c r="N177" s="59"/>
    </row>
    <row r="178" spans="1:14">
      <c r="A178" s="59">
        <v>137</v>
      </c>
      <c r="B178" s="59" t="s">
        <v>525</v>
      </c>
      <c r="C178" s="59" t="s">
        <v>24</v>
      </c>
      <c r="D178" s="24">
        <v>0</v>
      </c>
      <c r="E178" s="24">
        <v>9</v>
      </c>
      <c r="F178" s="24">
        <v>18</v>
      </c>
      <c r="G178" s="24">
        <v>31</v>
      </c>
      <c r="H178" s="59">
        <v>-100</v>
      </c>
      <c r="I178" s="59">
        <v>-41.94</v>
      </c>
      <c r="J178" s="59">
        <v>0</v>
      </c>
      <c r="K178" s="59">
        <v>0.04</v>
      </c>
      <c r="L178" s="59">
        <v>0.09</v>
      </c>
      <c r="M178" s="59">
        <v>0.06</v>
      </c>
      <c r="N178" s="59"/>
    </row>
    <row r="179" spans="1:14">
      <c r="A179" s="59">
        <v>138</v>
      </c>
      <c r="B179" s="59" t="s">
        <v>600</v>
      </c>
      <c r="C179" s="59" t="s">
        <v>24</v>
      </c>
      <c r="D179" s="24">
        <v>12</v>
      </c>
      <c r="E179" s="24">
        <v>1</v>
      </c>
      <c r="F179" s="24">
        <v>18</v>
      </c>
      <c r="G179" s="24">
        <v>25</v>
      </c>
      <c r="H179" s="59">
        <v>1100</v>
      </c>
      <c r="I179" s="59">
        <v>-28</v>
      </c>
      <c r="J179" s="59">
        <v>0.1</v>
      </c>
      <c r="K179" s="59">
        <v>0.04</v>
      </c>
      <c r="L179" s="59">
        <v>0.01</v>
      </c>
      <c r="M179" s="59">
        <v>0.05</v>
      </c>
      <c r="N179" s="59"/>
    </row>
    <row r="180" spans="1:14">
      <c r="A180" s="59">
        <v>139</v>
      </c>
      <c r="B180" s="59" t="s">
        <v>452</v>
      </c>
      <c r="C180" s="59" t="s">
        <v>24</v>
      </c>
      <c r="D180" s="24">
        <v>5</v>
      </c>
      <c r="E180" s="24">
        <v>6</v>
      </c>
      <c r="F180" s="24">
        <v>18</v>
      </c>
      <c r="G180" s="24">
        <v>14</v>
      </c>
      <c r="H180" s="67">
        <v>-16.670000000000002</v>
      </c>
      <c r="I180" s="67">
        <v>28.57</v>
      </c>
      <c r="J180" s="59">
        <v>0.04</v>
      </c>
      <c r="K180" s="59">
        <v>0.04</v>
      </c>
      <c r="L180" s="59">
        <v>0.06</v>
      </c>
      <c r="M180" s="59">
        <v>0.03</v>
      </c>
      <c r="N180" s="59"/>
    </row>
    <row r="181" spans="1:14">
      <c r="A181" s="59">
        <v>140</v>
      </c>
      <c r="B181" s="59" t="s">
        <v>1022</v>
      </c>
      <c r="C181" s="59" t="s">
        <v>23</v>
      </c>
      <c r="D181" s="24">
        <v>1</v>
      </c>
      <c r="E181" s="24">
        <v>0</v>
      </c>
      <c r="F181" s="24">
        <v>18</v>
      </c>
      <c r="G181" s="24">
        <v>0</v>
      </c>
      <c r="H181" s="59">
        <v>0</v>
      </c>
      <c r="I181" s="59">
        <v>0</v>
      </c>
      <c r="J181" s="59">
        <v>0.01</v>
      </c>
      <c r="K181" s="59">
        <v>0.04</v>
      </c>
      <c r="L181" s="59">
        <v>0</v>
      </c>
      <c r="M181" s="59">
        <v>0</v>
      </c>
      <c r="N181" s="59"/>
    </row>
    <row r="182" spans="1:14">
      <c r="A182" s="59">
        <v>141</v>
      </c>
      <c r="B182" s="59" t="s">
        <v>728</v>
      </c>
      <c r="C182" s="59" t="s">
        <v>23</v>
      </c>
      <c r="D182" s="24">
        <v>2</v>
      </c>
      <c r="E182" s="24">
        <v>1</v>
      </c>
      <c r="F182" s="24">
        <v>17</v>
      </c>
      <c r="G182" s="24">
        <v>1</v>
      </c>
      <c r="H182" s="59">
        <v>100</v>
      </c>
      <c r="I182" s="59">
        <v>1600</v>
      </c>
      <c r="J182" s="59">
        <v>0.02</v>
      </c>
      <c r="K182" s="59">
        <v>0.04</v>
      </c>
      <c r="L182" s="59">
        <v>0.01</v>
      </c>
      <c r="M182" s="59">
        <v>0</v>
      </c>
      <c r="N182" s="59"/>
    </row>
    <row r="183" spans="1:14">
      <c r="A183" s="59">
        <v>142</v>
      </c>
      <c r="B183" s="59" t="s">
        <v>1130</v>
      </c>
      <c r="C183" s="59" t="s">
        <v>24</v>
      </c>
      <c r="D183" s="24">
        <v>5</v>
      </c>
      <c r="E183" s="24">
        <v>1</v>
      </c>
      <c r="F183" s="24">
        <v>16</v>
      </c>
      <c r="G183" s="24">
        <v>30</v>
      </c>
      <c r="H183" s="59">
        <v>400</v>
      </c>
      <c r="I183" s="59">
        <v>-46.67</v>
      </c>
      <c r="J183" s="59">
        <v>0.04</v>
      </c>
      <c r="K183" s="59">
        <v>0.03</v>
      </c>
      <c r="L183" s="59">
        <v>0.01</v>
      </c>
      <c r="M183" s="59">
        <v>0.06</v>
      </c>
      <c r="N183" s="59"/>
    </row>
    <row r="184" spans="1:14">
      <c r="A184" s="59">
        <v>143</v>
      </c>
      <c r="B184" s="59" t="s">
        <v>583</v>
      </c>
      <c r="C184" s="59" t="s">
        <v>24</v>
      </c>
      <c r="D184" s="24">
        <v>3</v>
      </c>
      <c r="E184" s="24">
        <v>14</v>
      </c>
      <c r="F184" s="24">
        <v>15</v>
      </c>
      <c r="G184" s="24">
        <v>64</v>
      </c>
      <c r="H184" s="59">
        <v>-78.569999999999993</v>
      </c>
      <c r="I184" s="59">
        <v>-76.56</v>
      </c>
      <c r="J184" s="59">
        <v>0.03</v>
      </c>
      <c r="K184" s="59">
        <v>0.03</v>
      </c>
      <c r="L184" s="59">
        <v>0.13</v>
      </c>
      <c r="M184" s="59">
        <v>0.13</v>
      </c>
      <c r="N184" s="59"/>
    </row>
    <row r="185" spans="1:14">
      <c r="A185" s="59">
        <v>144</v>
      </c>
      <c r="B185" s="59" t="s">
        <v>440</v>
      </c>
      <c r="C185" s="59" t="s">
        <v>23</v>
      </c>
      <c r="D185" s="24">
        <v>5</v>
      </c>
      <c r="E185" s="24">
        <v>9</v>
      </c>
      <c r="F185" s="24">
        <v>15</v>
      </c>
      <c r="G185" s="24">
        <v>41</v>
      </c>
      <c r="H185" s="59">
        <v>-44.44</v>
      </c>
      <c r="I185" s="59">
        <v>-63.41</v>
      </c>
      <c r="J185" s="59">
        <v>0.04</v>
      </c>
      <c r="K185" s="59">
        <v>0.03</v>
      </c>
      <c r="L185" s="59">
        <v>0.09</v>
      </c>
      <c r="M185" s="59">
        <v>0.09</v>
      </c>
      <c r="N185" s="59"/>
    </row>
    <row r="186" spans="1:14">
      <c r="A186" s="59">
        <v>145</v>
      </c>
      <c r="B186" s="59" t="s">
        <v>623</v>
      </c>
      <c r="C186" s="59" t="s">
        <v>23</v>
      </c>
      <c r="D186" s="24">
        <v>14</v>
      </c>
      <c r="E186" s="24">
        <v>13</v>
      </c>
      <c r="F186" s="24">
        <v>14</v>
      </c>
      <c r="G186" s="24">
        <v>110</v>
      </c>
      <c r="H186" s="59">
        <v>7.69</v>
      </c>
      <c r="I186" s="59">
        <v>-87.27</v>
      </c>
      <c r="J186" s="59">
        <v>0.12</v>
      </c>
      <c r="K186" s="59">
        <v>0.03</v>
      </c>
      <c r="L186" s="59">
        <v>0.12</v>
      </c>
      <c r="M186" s="59">
        <v>0.23</v>
      </c>
      <c r="N186" s="59"/>
    </row>
    <row r="187" spans="1:14">
      <c r="A187" s="59">
        <v>146</v>
      </c>
      <c r="B187" s="59" t="s">
        <v>250</v>
      </c>
      <c r="C187" s="59" t="s">
        <v>23</v>
      </c>
      <c r="D187" s="24">
        <v>11</v>
      </c>
      <c r="E187" s="24">
        <v>2</v>
      </c>
      <c r="F187" s="24">
        <v>14</v>
      </c>
      <c r="G187" s="24">
        <v>19</v>
      </c>
      <c r="H187" s="59">
        <v>450</v>
      </c>
      <c r="I187" s="59">
        <v>-26.32</v>
      </c>
      <c r="J187" s="59">
        <v>0.1</v>
      </c>
      <c r="K187" s="59">
        <v>0.03</v>
      </c>
      <c r="L187" s="59">
        <v>0.02</v>
      </c>
      <c r="M187" s="59">
        <v>0.04</v>
      </c>
      <c r="N187" s="59"/>
    </row>
    <row r="188" spans="1:14">
      <c r="A188" s="59">
        <v>147</v>
      </c>
      <c r="B188" s="59" t="s">
        <v>202</v>
      </c>
      <c r="C188" s="59" t="s">
        <v>23</v>
      </c>
      <c r="D188" s="24">
        <v>2</v>
      </c>
      <c r="E188" s="24">
        <v>0</v>
      </c>
      <c r="F188" s="24">
        <v>14</v>
      </c>
      <c r="G188" s="24">
        <v>0</v>
      </c>
      <c r="H188" s="59">
        <v>0</v>
      </c>
      <c r="I188" s="59">
        <v>0</v>
      </c>
      <c r="J188" s="59">
        <v>0.02</v>
      </c>
      <c r="K188" s="59">
        <v>0.03</v>
      </c>
      <c r="L188" s="59">
        <v>0</v>
      </c>
      <c r="M188" s="59">
        <v>0</v>
      </c>
      <c r="N188" s="59"/>
    </row>
    <row r="189" spans="1:14">
      <c r="A189" s="59">
        <v>148</v>
      </c>
      <c r="B189" s="59" t="s">
        <v>1098</v>
      </c>
      <c r="C189" s="59" t="s">
        <v>23</v>
      </c>
      <c r="D189" s="24">
        <v>8</v>
      </c>
      <c r="E189" s="24">
        <v>0</v>
      </c>
      <c r="F189" s="24">
        <v>14</v>
      </c>
      <c r="G189" s="24">
        <v>0</v>
      </c>
      <c r="H189" s="59">
        <v>0</v>
      </c>
      <c r="I189" s="59">
        <v>0</v>
      </c>
      <c r="J189" s="59">
        <v>7.0000000000000007E-2</v>
      </c>
      <c r="K189" s="59">
        <v>0.03</v>
      </c>
      <c r="L189" s="59">
        <v>0</v>
      </c>
      <c r="M189" s="59">
        <v>0</v>
      </c>
      <c r="N189" s="59"/>
    </row>
    <row r="190" spans="1:14">
      <c r="A190" s="59">
        <v>149</v>
      </c>
      <c r="B190" s="59" t="s">
        <v>522</v>
      </c>
      <c r="C190" s="59" t="s">
        <v>24</v>
      </c>
      <c r="D190" s="24">
        <v>3</v>
      </c>
      <c r="E190" s="24">
        <v>7</v>
      </c>
      <c r="F190" s="24">
        <v>13</v>
      </c>
      <c r="G190" s="24">
        <v>36</v>
      </c>
      <c r="H190" s="59">
        <v>-57.14</v>
      </c>
      <c r="I190" s="59">
        <v>-63.89</v>
      </c>
      <c r="J190" s="59">
        <v>0.03</v>
      </c>
      <c r="K190" s="59">
        <v>0.03</v>
      </c>
      <c r="L190" s="59">
        <v>7.0000000000000007E-2</v>
      </c>
      <c r="M190" s="59">
        <v>0.08</v>
      </c>
      <c r="N190" s="59"/>
    </row>
    <row r="191" spans="1:14">
      <c r="A191" s="59">
        <v>150</v>
      </c>
      <c r="B191" s="59" t="s">
        <v>1073</v>
      </c>
      <c r="C191" s="59" t="s">
        <v>24</v>
      </c>
      <c r="D191" s="24">
        <v>2</v>
      </c>
      <c r="E191" s="24">
        <v>0</v>
      </c>
      <c r="F191" s="24">
        <v>13</v>
      </c>
      <c r="G191" s="24">
        <v>0</v>
      </c>
      <c r="H191" s="59">
        <v>0</v>
      </c>
      <c r="I191" s="59">
        <v>0</v>
      </c>
      <c r="J191" s="59">
        <v>0.02</v>
      </c>
      <c r="K191" s="59">
        <v>0.03</v>
      </c>
      <c r="L191" s="59">
        <v>0</v>
      </c>
      <c r="M191" s="59">
        <v>0</v>
      </c>
      <c r="N191" s="59"/>
    </row>
    <row r="192" spans="1:14">
      <c r="A192" s="59">
        <v>151</v>
      </c>
      <c r="B192" s="59" t="s">
        <v>732</v>
      </c>
      <c r="C192" s="59" t="s">
        <v>23</v>
      </c>
      <c r="D192" s="24">
        <v>3</v>
      </c>
      <c r="E192" s="24">
        <v>0</v>
      </c>
      <c r="F192" s="24">
        <v>12</v>
      </c>
      <c r="G192" s="24">
        <v>0</v>
      </c>
      <c r="H192" s="59">
        <v>0</v>
      </c>
      <c r="I192" s="59">
        <v>0</v>
      </c>
      <c r="J192" s="59">
        <v>0.03</v>
      </c>
      <c r="K192" s="59">
        <v>0.03</v>
      </c>
      <c r="L192" s="59">
        <v>0</v>
      </c>
      <c r="M192" s="59">
        <v>0</v>
      </c>
      <c r="N192" s="59"/>
    </row>
    <row r="193" spans="1:14">
      <c r="A193" s="59">
        <v>152</v>
      </c>
      <c r="B193" s="59" t="s">
        <v>1202</v>
      </c>
      <c r="C193" s="59" t="s">
        <v>24</v>
      </c>
      <c r="D193" s="24">
        <v>12</v>
      </c>
      <c r="E193" s="24">
        <v>0</v>
      </c>
      <c r="F193" s="24">
        <v>12</v>
      </c>
      <c r="G193" s="24">
        <v>0</v>
      </c>
      <c r="H193" s="59">
        <v>0</v>
      </c>
      <c r="I193" s="59">
        <v>0</v>
      </c>
      <c r="J193" s="59">
        <v>0.1</v>
      </c>
      <c r="K193" s="59">
        <v>0.03</v>
      </c>
      <c r="L193" s="59">
        <v>0</v>
      </c>
      <c r="M193" s="59">
        <v>0</v>
      </c>
      <c r="N193" s="59"/>
    </row>
    <row r="194" spans="1:14">
      <c r="A194" s="59">
        <v>153</v>
      </c>
      <c r="B194" s="59" t="s">
        <v>141</v>
      </c>
      <c r="C194" s="59" t="s">
        <v>23</v>
      </c>
      <c r="D194" s="24">
        <v>3</v>
      </c>
      <c r="E194" s="24">
        <v>11</v>
      </c>
      <c r="F194" s="24">
        <v>11</v>
      </c>
      <c r="G194" s="24">
        <v>54</v>
      </c>
      <c r="H194" s="59">
        <v>-72.73</v>
      </c>
      <c r="I194" s="59">
        <v>-79.63</v>
      </c>
      <c r="J194" s="59">
        <v>0.03</v>
      </c>
      <c r="K194" s="59">
        <v>0.02</v>
      </c>
      <c r="L194" s="59">
        <v>0.1</v>
      </c>
      <c r="M194" s="59">
        <v>0.11</v>
      </c>
      <c r="N194" s="59"/>
    </row>
    <row r="195" spans="1:14">
      <c r="A195" s="59">
        <v>154</v>
      </c>
      <c r="B195" s="59" t="s">
        <v>457</v>
      </c>
      <c r="C195" s="59" t="s">
        <v>23</v>
      </c>
      <c r="D195" s="24">
        <v>3</v>
      </c>
      <c r="E195" s="24">
        <v>19</v>
      </c>
      <c r="F195" s="24">
        <v>11</v>
      </c>
      <c r="G195" s="24">
        <v>36</v>
      </c>
      <c r="H195" s="59">
        <v>-84.21</v>
      </c>
      <c r="I195" s="59">
        <v>-69.44</v>
      </c>
      <c r="J195" s="59">
        <v>0.03</v>
      </c>
      <c r="K195" s="59">
        <v>0.02</v>
      </c>
      <c r="L195" s="59">
        <v>0.18</v>
      </c>
      <c r="M195" s="59">
        <v>0.08</v>
      </c>
      <c r="N195" s="59"/>
    </row>
    <row r="196" spans="1:14">
      <c r="A196" s="59">
        <v>155</v>
      </c>
      <c r="B196" s="59" t="s">
        <v>460</v>
      </c>
      <c r="C196" s="59" t="s">
        <v>24</v>
      </c>
      <c r="D196" s="24">
        <v>5</v>
      </c>
      <c r="E196" s="24">
        <v>2</v>
      </c>
      <c r="F196" s="24">
        <v>11</v>
      </c>
      <c r="G196" s="24">
        <v>8</v>
      </c>
      <c r="H196" s="67">
        <v>150</v>
      </c>
      <c r="I196" s="67">
        <v>37.5</v>
      </c>
      <c r="J196" s="67">
        <v>0.04</v>
      </c>
      <c r="K196" s="67">
        <v>0.02</v>
      </c>
      <c r="L196" s="67">
        <v>0.02</v>
      </c>
      <c r="M196" s="67">
        <v>0.02</v>
      </c>
      <c r="N196" s="59"/>
    </row>
    <row r="197" spans="1:14">
      <c r="A197" s="59">
        <v>156</v>
      </c>
      <c r="B197" s="59" t="s">
        <v>519</v>
      </c>
      <c r="C197" s="59" t="s">
        <v>23</v>
      </c>
      <c r="D197" s="24">
        <v>6</v>
      </c>
      <c r="E197" s="24">
        <v>1</v>
      </c>
      <c r="F197" s="24">
        <v>11</v>
      </c>
      <c r="G197" s="24">
        <v>5</v>
      </c>
      <c r="H197" s="59">
        <v>500</v>
      </c>
      <c r="I197" s="59">
        <v>120</v>
      </c>
      <c r="J197" s="59">
        <v>0.05</v>
      </c>
      <c r="K197" s="59">
        <v>0.02</v>
      </c>
      <c r="L197" s="59">
        <v>0.01</v>
      </c>
      <c r="M197" s="59">
        <v>0.01</v>
      </c>
      <c r="N197" s="59"/>
    </row>
    <row r="198" spans="1:14">
      <c r="A198" s="59">
        <v>157</v>
      </c>
      <c r="B198" s="59" t="s">
        <v>183</v>
      </c>
      <c r="C198" s="59" t="s">
        <v>23</v>
      </c>
      <c r="D198" s="24">
        <v>0</v>
      </c>
      <c r="E198" s="24">
        <v>5</v>
      </c>
      <c r="F198" s="24">
        <v>10</v>
      </c>
      <c r="G198" s="24">
        <v>10</v>
      </c>
      <c r="H198" s="59">
        <v>-100</v>
      </c>
      <c r="I198" s="59">
        <v>0</v>
      </c>
      <c r="J198" s="59">
        <v>0</v>
      </c>
      <c r="K198" s="59">
        <v>0.02</v>
      </c>
      <c r="L198" s="59">
        <v>0.05</v>
      </c>
      <c r="M198" s="59">
        <v>0.02</v>
      </c>
      <c r="N198" s="59"/>
    </row>
    <row r="199" spans="1:14">
      <c r="A199" s="59">
        <v>158</v>
      </c>
      <c r="B199" s="59" t="s">
        <v>720</v>
      </c>
      <c r="C199" s="59" t="s">
        <v>23</v>
      </c>
      <c r="D199" s="24">
        <v>7</v>
      </c>
      <c r="E199" s="24">
        <v>2</v>
      </c>
      <c r="F199" s="24">
        <v>10</v>
      </c>
      <c r="G199" s="24">
        <v>2</v>
      </c>
      <c r="H199" s="59">
        <v>250</v>
      </c>
      <c r="I199" s="59">
        <v>400</v>
      </c>
      <c r="J199" s="59">
        <v>0.06</v>
      </c>
      <c r="K199" s="59">
        <v>0.02</v>
      </c>
      <c r="L199" s="59">
        <v>0.02</v>
      </c>
      <c r="M199" s="59">
        <v>0</v>
      </c>
      <c r="N199" s="59"/>
    </row>
    <row r="200" spans="1:14">
      <c r="A200" s="59">
        <v>159</v>
      </c>
      <c r="B200" s="59" t="s">
        <v>673</v>
      </c>
      <c r="C200" s="59" t="s">
        <v>24</v>
      </c>
      <c r="D200" s="24">
        <v>3</v>
      </c>
      <c r="E200" s="24">
        <v>9</v>
      </c>
      <c r="F200" s="24">
        <v>9</v>
      </c>
      <c r="G200" s="24">
        <v>27</v>
      </c>
      <c r="H200" s="59">
        <v>-66.67</v>
      </c>
      <c r="I200" s="59">
        <v>-66.67</v>
      </c>
      <c r="J200" s="59">
        <v>0.03</v>
      </c>
      <c r="K200" s="59">
        <v>0.02</v>
      </c>
      <c r="L200" s="59">
        <v>0.09</v>
      </c>
      <c r="M200" s="59">
        <v>0.06</v>
      </c>
      <c r="N200" s="59"/>
    </row>
    <row r="201" spans="1:14">
      <c r="A201" s="59">
        <v>160</v>
      </c>
      <c r="B201" s="59" t="s">
        <v>639</v>
      </c>
      <c r="C201" s="59" t="s">
        <v>24</v>
      </c>
      <c r="D201" s="24">
        <v>1</v>
      </c>
      <c r="E201" s="24">
        <v>0</v>
      </c>
      <c r="F201" s="24">
        <v>9</v>
      </c>
      <c r="G201" s="24">
        <v>14</v>
      </c>
      <c r="H201" s="59">
        <v>0</v>
      </c>
      <c r="I201" s="59">
        <v>-35.71</v>
      </c>
      <c r="J201" s="59">
        <v>0.01</v>
      </c>
      <c r="K201" s="59">
        <v>0.02</v>
      </c>
      <c r="L201" s="59">
        <v>0</v>
      </c>
      <c r="M201" s="59">
        <v>0.03</v>
      </c>
      <c r="N201" s="59"/>
    </row>
    <row r="202" spans="1:14">
      <c r="A202" s="59">
        <v>161</v>
      </c>
      <c r="B202" s="59" t="s">
        <v>1137</v>
      </c>
      <c r="C202" s="59" t="s">
        <v>24</v>
      </c>
      <c r="D202" s="24">
        <v>4</v>
      </c>
      <c r="E202" s="24">
        <v>5</v>
      </c>
      <c r="F202" s="24">
        <v>9</v>
      </c>
      <c r="G202" s="24">
        <v>6</v>
      </c>
      <c r="H202" s="59">
        <v>-20</v>
      </c>
      <c r="I202" s="59">
        <v>50</v>
      </c>
      <c r="J202" s="59">
        <v>0.03</v>
      </c>
      <c r="K202" s="59">
        <v>0.02</v>
      </c>
      <c r="L202" s="59">
        <v>0.05</v>
      </c>
      <c r="M202" s="59">
        <v>0.01</v>
      </c>
      <c r="N202" s="59"/>
    </row>
    <row r="203" spans="1:14">
      <c r="A203" s="59">
        <v>162</v>
      </c>
      <c r="B203" s="59" t="s">
        <v>1168</v>
      </c>
      <c r="C203" s="59" t="s">
        <v>24</v>
      </c>
      <c r="D203" s="24">
        <v>3</v>
      </c>
      <c r="E203" s="24">
        <v>0</v>
      </c>
      <c r="F203" s="24">
        <v>9</v>
      </c>
      <c r="G203" s="24">
        <v>0</v>
      </c>
      <c r="H203" s="59">
        <v>0</v>
      </c>
      <c r="I203" s="59">
        <v>0</v>
      </c>
      <c r="J203" s="59">
        <v>0.03</v>
      </c>
      <c r="K203" s="59">
        <v>0.02</v>
      </c>
      <c r="L203" s="59">
        <v>0</v>
      </c>
      <c r="M203" s="59">
        <v>0</v>
      </c>
      <c r="N203" s="59"/>
    </row>
    <row r="204" spans="1:14">
      <c r="A204" s="59">
        <v>163</v>
      </c>
      <c r="B204" s="59" t="s">
        <v>1195</v>
      </c>
      <c r="C204" s="59" t="s">
        <v>23</v>
      </c>
      <c r="D204" s="24">
        <v>8</v>
      </c>
      <c r="E204" s="24">
        <v>0</v>
      </c>
      <c r="F204" s="24">
        <v>8</v>
      </c>
      <c r="G204" s="24">
        <v>0</v>
      </c>
      <c r="H204" s="59">
        <v>0</v>
      </c>
      <c r="I204" s="59">
        <v>0</v>
      </c>
      <c r="J204" s="59">
        <v>7.0000000000000007E-2</v>
      </c>
      <c r="K204" s="59">
        <v>0.02</v>
      </c>
      <c r="L204" s="59">
        <v>0</v>
      </c>
      <c r="M204" s="59">
        <v>0</v>
      </c>
      <c r="N204" s="59"/>
    </row>
    <row r="205" spans="1:14">
      <c r="A205" s="59">
        <v>164</v>
      </c>
      <c r="B205" s="59" t="s">
        <v>524</v>
      </c>
      <c r="C205" s="59" t="s">
        <v>23</v>
      </c>
      <c r="D205" s="24">
        <v>0</v>
      </c>
      <c r="E205" s="24">
        <v>4</v>
      </c>
      <c r="F205" s="24">
        <v>7</v>
      </c>
      <c r="G205" s="24">
        <v>16</v>
      </c>
      <c r="H205" s="59">
        <v>-100</v>
      </c>
      <c r="I205" s="59">
        <v>-56.25</v>
      </c>
      <c r="J205" s="59">
        <v>0</v>
      </c>
      <c r="K205" s="59">
        <v>0.01</v>
      </c>
      <c r="L205" s="59">
        <v>0.04</v>
      </c>
      <c r="M205" s="59">
        <v>0.03</v>
      </c>
      <c r="N205" s="59"/>
    </row>
    <row r="206" spans="1:14">
      <c r="A206" s="152">
        <v>165</v>
      </c>
      <c r="B206" s="152" t="s">
        <v>379</v>
      </c>
      <c r="C206" s="152" t="s">
        <v>23</v>
      </c>
      <c r="D206" s="159">
        <v>0</v>
      </c>
      <c r="E206" s="159">
        <v>1</v>
      </c>
      <c r="F206" s="159">
        <v>7</v>
      </c>
      <c r="G206" s="159">
        <v>5</v>
      </c>
      <c r="H206" s="152">
        <v>-100</v>
      </c>
      <c r="I206" s="152">
        <v>40</v>
      </c>
      <c r="J206" s="152">
        <v>0</v>
      </c>
      <c r="K206" s="152">
        <v>0.01</v>
      </c>
      <c r="L206" s="152">
        <v>0.01</v>
      </c>
      <c r="M206" s="152">
        <v>0.01</v>
      </c>
      <c r="N206" s="59"/>
    </row>
    <row r="207" spans="1:14">
      <c r="A207" s="152">
        <v>166</v>
      </c>
      <c r="B207" s="152" t="s">
        <v>1122</v>
      </c>
      <c r="C207" s="152" t="s">
        <v>24</v>
      </c>
      <c r="D207" s="159">
        <v>0</v>
      </c>
      <c r="E207" s="159">
        <v>0</v>
      </c>
      <c r="F207" s="159">
        <v>7</v>
      </c>
      <c r="G207" s="159">
        <v>0</v>
      </c>
      <c r="H207" s="152">
        <v>0</v>
      </c>
      <c r="I207" s="152">
        <v>0</v>
      </c>
      <c r="J207" s="152">
        <v>0</v>
      </c>
      <c r="K207" s="152">
        <v>0.01</v>
      </c>
      <c r="L207" s="152">
        <v>0</v>
      </c>
      <c r="M207" s="152">
        <v>0</v>
      </c>
      <c r="N207" s="59"/>
    </row>
    <row r="208" spans="1:14">
      <c r="A208" s="152">
        <v>167</v>
      </c>
      <c r="B208" s="152" t="s">
        <v>398</v>
      </c>
      <c r="C208" s="152" t="s">
        <v>23</v>
      </c>
      <c r="D208" s="159">
        <v>0</v>
      </c>
      <c r="E208" s="159">
        <v>10</v>
      </c>
      <c r="F208" s="159">
        <v>6</v>
      </c>
      <c r="G208" s="159">
        <v>43</v>
      </c>
      <c r="H208" s="152">
        <v>-100</v>
      </c>
      <c r="I208" s="152">
        <v>-86.05</v>
      </c>
      <c r="J208" s="152">
        <v>0</v>
      </c>
      <c r="K208" s="152">
        <v>0.01</v>
      </c>
      <c r="L208" s="152">
        <v>0.09</v>
      </c>
      <c r="M208" s="152">
        <v>0.09</v>
      </c>
      <c r="N208" s="59"/>
    </row>
    <row r="209" spans="1:14">
      <c r="A209" s="152">
        <v>168</v>
      </c>
      <c r="B209" s="152" t="s">
        <v>244</v>
      </c>
      <c r="C209" s="152" t="s">
        <v>23</v>
      </c>
      <c r="D209" s="159">
        <v>0</v>
      </c>
      <c r="E209" s="159">
        <v>2</v>
      </c>
      <c r="F209" s="159">
        <v>6</v>
      </c>
      <c r="G209" s="159">
        <v>15</v>
      </c>
      <c r="H209" s="152">
        <v>-100</v>
      </c>
      <c r="I209" s="152">
        <v>-60</v>
      </c>
      <c r="J209" s="152">
        <v>0</v>
      </c>
      <c r="K209" s="152">
        <v>0.01</v>
      </c>
      <c r="L209" s="152">
        <v>0.02</v>
      </c>
      <c r="M209" s="152">
        <v>0.03</v>
      </c>
      <c r="N209" s="59"/>
    </row>
    <row r="210" spans="1:14">
      <c r="A210" s="152">
        <v>169</v>
      </c>
      <c r="B210" s="152" t="s">
        <v>1048</v>
      </c>
      <c r="C210" s="152" t="s">
        <v>24</v>
      </c>
      <c r="D210" s="159">
        <v>0</v>
      </c>
      <c r="E210" s="159">
        <v>0</v>
      </c>
      <c r="F210" s="159">
        <v>6</v>
      </c>
      <c r="G210" s="159">
        <v>0</v>
      </c>
      <c r="H210" s="152">
        <v>0</v>
      </c>
      <c r="I210" s="152">
        <v>0</v>
      </c>
      <c r="J210" s="152">
        <v>0</v>
      </c>
      <c r="K210" s="152">
        <v>0.01</v>
      </c>
      <c r="L210" s="152">
        <v>0</v>
      </c>
      <c r="M210" s="152">
        <v>0</v>
      </c>
      <c r="N210" s="59"/>
    </row>
    <row r="211" spans="1:14">
      <c r="A211" s="152">
        <v>170</v>
      </c>
      <c r="B211" s="152" t="s">
        <v>409</v>
      </c>
      <c r="C211" s="152" t="s">
        <v>24</v>
      </c>
      <c r="D211" s="159">
        <v>0</v>
      </c>
      <c r="E211" s="159">
        <v>11</v>
      </c>
      <c r="F211" s="159">
        <v>5</v>
      </c>
      <c r="G211" s="159">
        <v>59</v>
      </c>
      <c r="H211" s="152">
        <v>-100</v>
      </c>
      <c r="I211" s="152">
        <v>-91.53</v>
      </c>
      <c r="J211" s="152">
        <v>0</v>
      </c>
      <c r="K211" s="152">
        <v>0.01</v>
      </c>
      <c r="L211" s="152">
        <v>0.1</v>
      </c>
      <c r="M211" s="152">
        <v>0.12</v>
      </c>
      <c r="N211" s="59"/>
    </row>
    <row r="212" spans="1:14">
      <c r="A212" s="152">
        <v>171</v>
      </c>
      <c r="B212" s="152" t="s">
        <v>624</v>
      </c>
      <c r="C212" s="152" t="s">
        <v>23</v>
      </c>
      <c r="D212" s="159">
        <v>2</v>
      </c>
      <c r="E212" s="159">
        <v>3</v>
      </c>
      <c r="F212" s="159">
        <v>5</v>
      </c>
      <c r="G212" s="159">
        <v>28</v>
      </c>
      <c r="H212" s="152">
        <v>-33.33</v>
      </c>
      <c r="I212" s="152">
        <v>-82.14</v>
      </c>
      <c r="J212" s="152">
        <v>0.02</v>
      </c>
      <c r="K212" s="152">
        <v>0.01</v>
      </c>
      <c r="L212" s="152">
        <v>0.03</v>
      </c>
      <c r="M212" s="152">
        <v>0.06</v>
      </c>
      <c r="N212" s="59"/>
    </row>
    <row r="213" spans="1:14">
      <c r="A213" s="152">
        <v>172</v>
      </c>
      <c r="B213" s="152" t="s">
        <v>444</v>
      </c>
      <c r="C213" s="152" t="s">
        <v>23</v>
      </c>
      <c r="D213" s="159">
        <v>0</v>
      </c>
      <c r="E213" s="159">
        <v>2</v>
      </c>
      <c r="F213" s="159">
        <v>5</v>
      </c>
      <c r="G213" s="159">
        <v>23</v>
      </c>
      <c r="H213" s="152">
        <v>-100</v>
      </c>
      <c r="I213" s="152">
        <v>-78.260000000000005</v>
      </c>
      <c r="J213" s="152">
        <v>0</v>
      </c>
      <c r="K213" s="152">
        <v>0.01</v>
      </c>
      <c r="L213" s="152">
        <v>0.02</v>
      </c>
      <c r="M213" s="152">
        <v>0.05</v>
      </c>
      <c r="N213" s="59"/>
    </row>
    <row r="214" spans="1:14">
      <c r="A214" s="152">
        <v>173</v>
      </c>
      <c r="B214" s="152" t="s">
        <v>442</v>
      </c>
      <c r="C214" s="152" t="s">
        <v>23</v>
      </c>
      <c r="D214" s="159">
        <v>1</v>
      </c>
      <c r="E214" s="159">
        <v>0</v>
      </c>
      <c r="F214" s="159">
        <v>5</v>
      </c>
      <c r="G214" s="159">
        <v>13</v>
      </c>
      <c r="H214" s="152">
        <v>0</v>
      </c>
      <c r="I214" s="152">
        <v>-61.54</v>
      </c>
      <c r="J214" s="152">
        <v>0.01</v>
      </c>
      <c r="K214" s="152">
        <v>0.01</v>
      </c>
      <c r="L214" s="152">
        <v>0</v>
      </c>
      <c r="M214" s="152">
        <v>0.03</v>
      </c>
      <c r="N214" s="59"/>
    </row>
    <row r="215" spans="1:14">
      <c r="A215" s="152">
        <v>174</v>
      </c>
      <c r="B215" s="152" t="s">
        <v>1119</v>
      </c>
      <c r="C215" s="152" t="s">
        <v>24</v>
      </c>
      <c r="D215" s="159">
        <v>0</v>
      </c>
      <c r="E215" s="159">
        <v>3</v>
      </c>
      <c r="F215" s="159">
        <v>5</v>
      </c>
      <c r="G215" s="159">
        <v>8</v>
      </c>
      <c r="H215" s="154">
        <v>-100</v>
      </c>
      <c r="I215" s="154">
        <v>-37.5</v>
      </c>
      <c r="J215" s="154">
        <v>0</v>
      </c>
      <c r="K215" s="154">
        <v>0.01</v>
      </c>
      <c r="L215" s="154">
        <v>0.03</v>
      </c>
      <c r="M215" s="154">
        <v>0.02</v>
      </c>
      <c r="N215" s="59"/>
    </row>
    <row r="216" spans="1:14">
      <c r="A216" s="152">
        <v>175</v>
      </c>
      <c r="B216" s="152" t="s">
        <v>412</v>
      </c>
      <c r="C216" s="152" t="s">
        <v>23</v>
      </c>
      <c r="D216" s="159">
        <v>1</v>
      </c>
      <c r="E216" s="159">
        <v>0</v>
      </c>
      <c r="F216" s="159">
        <v>5</v>
      </c>
      <c r="G216" s="159">
        <v>0</v>
      </c>
      <c r="H216" s="152">
        <v>0</v>
      </c>
      <c r="I216" s="152">
        <v>0</v>
      </c>
      <c r="J216" s="152">
        <v>0.01</v>
      </c>
      <c r="K216" s="152">
        <v>0.01</v>
      </c>
      <c r="L216" s="152">
        <v>0</v>
      </c>
      <c r="M216" s="152">
        <v>0</v>
      </c>
      <c r="N216" s="59"/>
    </row>
    <row r="217" spans="1:14">
      <c r="A217" s="152">
        <v>176</v>
      </c>
      <c r="B217" s="152" t="s">
        <v>1134</v>
      </c>
      <c r="C217" s="152" t="s">
        <v>23</v>
      </c>
      <c r="D217" s="159">
        <v>0</v>
      </c>
      <c r="E217" s="159">
        <v>0</v>
      </c>
      <c r="F217" s="159">
        <v>5</v>
      </c>
      <c r="G217" s="159">
        <v>0</v>
      </c>
      <c r="H217" s="152">
        <v>0</v>
      </c>
      <c r="I217" s="152">
        <v>0</v>
      </c>
      <c r="J217" s="152">
        <v>0</v>
      </c>
      <c r="K217" s="152">
        <v>0.01</v>
      </c>
      <c r="L217" s="152">
        <v>0</v>
      </c>
      <c r="M217" s="152">
        <v>0</v>
      </c>
      <c r="N217" s="59"/>
    </row>
    <row r="218" spans="1:14">
      <c r="A218" s="152">
        <v>177</v>
      </c>
      <c r="B218" s="152" t="s">
        <v>516</v>
      </c>
      <c r="C218" s="152" t="s">
        <v>23</v>
      </c>
      <c r="D218" s="159">
        <v>2</v>
      </c>
      <c r="E218" s="159">
        <v>7</v>
      </c>
      <c r="F218" s="159">
        <v>4</v>
      </c>
      <c r="G218" s="159">
        <v>25</v>
      </c>
      <c r="H218" s="152">
        <v>-71.430000000000007</v>
      </c>
      <c r="I218" s="152">
        <v>-84</v>
      </c>
      <c r="J218" s="152">
        <v>0.02</v>
      </c>
      <c r="K218" s="152">
        <v>0.01</v>
      </c>
      <c r="L218" s="152">
        <v>7.0000000000000007E-2</v>
      </c>
      <c r="M218" s="152">
        <v>0.05</v>
      </c>
      <c r="N218" s="59"/>
    </row>
    <row r="219" spans="1:14">
      <c r="A219" s="152">
        <v>178</v>
      </c>
      <c r="B219" s="152" t="s">
        <v>1174</v>
      </c>
      <c r="C219" s="152" t="s">
        <v>24</v>
      </c>
      <c r="D219" s="159">
        <v>0</v>
      </c>
      <c r="E219" s="159">
        <v>0</v>
      </c>
      <c r="F219" s="159">
        <v>4</v>
      </c>
      <c r="G219" s="159">
        <v>0</v>
      </c>
      <c r="H219" s="152">
        <v>0</v>
      </c>
      <c r="I219" s="152">
        <v>0</v>
      </c>
      <c r="J219" s="152">
        <v>0</v>
      </c>
      <c r="K219" s="152">
        <v>0.01</v>
      </c>
      <c r="L219" s="152">
        <v>0</v>
      </c>
      <c r="M219" s="152">
        <v>0</v>
      </c>
      <c r="N219" s="59"/>
    </row>
    <row r="220" spans="1:14">
      <c r="A220" s="152">
        <v>179</v>
      </c>
      <c r="B220" s="152" t="s">
        <v>152</v>
      </c>
      <c r="C220" s="152" t="s">
        <v>23</v>
      </c>
      <c r="D220" s="159">
        <v>1</v>
      </c>
      <c r="E220" s="159">
        <v>15</v>
      </c>
      <c r="F220" s="159">
        <v>3</v>
      </c>
      <c r="G220" s="159">
        <v>81</v>
      </c>
      <c r="H220" s="152">
        <v>-93.33</v>
      </c>
      <c r="I220" s="152">
        <v>-96.3</v>
      </c>
      <c r="J220" s="152">
        <v>0.01</v>
      </c>
      <c r="K220" s="152">
        <v>0.01</v>
      </c>
      <c r="L220" s="152">
        <v>0.14000000000000001</v>
      </c>
      <c r="M220" s="152">
        <v>0.17</v>
      </c>
      <c r="N220" s="59"/>
    </row>
    <row r="221" spans="1:14">
      <c r="A221" s="152">
        <v>180</v>
      </c>
      <c r="B221" s="152" t="s">
        <v>1133</v>
      </c>
      <c r="C221" s="152" t="s">
        <v>23</v>
      </c>
      <c r="D221" s="159">
        <v>0</v>
      </c>
      <c r="E221" s="159">
        <v>0</v>
      </c>
      <c r="F221" s="159">
        <v>3</v>
      </c>
      <c r="G221" s="159">
        <v>2</v>
      </c>
      <c r="H221" s="152">
        <v>0</v>
      </c>
      <c r="I221" s="152">
        <v>50</v>
      </c>
      <c r="J221" s="152">
        <v>0</v>
      </c>
      <c r="K221" s="152">
        <v>0.01</v>
      </c>
      <c r="L221" s="152">
        <v>0</v>
      </c>
      <c r="M221" s="152">
        <v>0</v>
      </c>
      <c r="N221" s="59"/>
    </row>
    <row r="222" spans="1:14">
      <c r="A222" s="152">
        <v>181</v>
      </c>
      <c r="B222" s="152" t="s">
        <v>1203</v>
      </c>
      <c r="C222" s="152" t="s">
        <v>1204</v>
      </c>
      <c r="D222" s="159">
        <v>0</v>
      </c>
      <c r="E222" s="159">
        <v>0</v>
      </c>
      <c r="F222" s="159">
        <v>3</v>
      </c>
      <c r="G222" s="159">
        <v>0</v>
      </c>
      <c r="H222" s="152">
        <v>0</v>
      </c>
      <c r="I222" s="152">
        <v>0</v>
      </c>
      <c r="J222" s="152">
        <v>0</v>
      </c>
      <c r="K222" s="152">
        <v>0.01</v>
      </c>
      <c r="L222" s="152">
        <v>0</v>
      </c>
      <c r="M222" s="152">
        <v>0</v>
      </c>
      <c r="N222" s="59"/>
    </row>
    <row r="223" spans="1:14">
      <c r="A223" s="152">
        <v>182</v>
      </c>
      <c r="B223" s="152" t="s">
        <v>242</v>
      </c>
      <c r="C223" s="152" t="s">
        <v>24</v>
      </c>
      <c r="D223" s="159">
        <v>0</v>
      </c>
      <c r="E223" s="159">
        <v>294</v>
      </c>
      <c r="F223" s="159">
        <v>2</v>
      </c>
      <c r="G223" s="159">
        <v>1171</v>
      </c>
      <c r="H223" s="152">
        <v>-100</v>
      </c>
      <c r="I223" s="152">
        <v>-99.83</v>
      </c>
      <c r="J223" s="152">
        <v>0</v>
      </c>
      <c r="K223" s="152">
        <v>0</v>
      </c>
      <c r="L223" s="152">
        <v>2.78</v>
      </c>
      <c r="M223" s="152">
        <v>2.44</v>
      </c>
      <c r="N223" s="59"/>
    </row>
    <row r="224" spans="1:14">
      <c r="A224" s="152">
        <v>183</v>
      </c>
      <c r="B224" s="152" t="s">
        <v>578</v>
      </c>
      <c r="C224" s="152" t="s">
        <v>23</v>
      </c>
      <c r="D224" s="159">
        <v>2</v>
      </c>
      <c r="E224" s="159">
        <v>0</v>
      </c>
      <c r="F224" s="159">
        <v>2</v>
      </c>
      <c r="G224" s="159">
        <v>2</v>
      </c>
      <c r="H224" s="152">
        <v>0</v>
      </c>
      <c r="I224" s="152">
        <v>0</v>
      </c>
      <c r="J224" s="152">
        <v>0.02</v>
      </c>
      <c r="K224" s="152">
        <v>0</v>
      </c>
      <c r="L224" s="152">
        <v>0</v>
      </c>
      <c r="M224" s="152">
        <v>0</v>
      </c>
      <c r="N224" s="59"/>
    </row>
    <row r="225" spans="1:14">
      <c r="A225" s="152">
        <v>184</v>
      </c>
      <c r="B225" s="152" t="s">
        <v>513</v>
      </c>
      <c r="C225" s="152" t="s">
        <v>1024</v>
      </c>
      <c r="D225" s="159">
        <v>0</v>
      </c>
      <c r="E225" s="159">
        <v>0</v>
      </c>
      <c r="F225" s="159">
        <v>2</v>
      </c>
      <c r="G225" s="159">
        <v>2</v>
      </c>
      <c r="H225" s="152">
        <v>0</v>
      </c>
      <c r="I225" s="152">
        <v>0</v>
      </c>
      <c r="J225" s="152">
        <v>0</v>
      </c>
      <c r="K225" s="152">
        <v>0</v>
      </c>
      <c r="L225" s="152">
        <v>0</v>
      </c>
      <c r="M225" s="152">
        <v>0</v>
      </c>
      <c r="N225" s="59"/>
    </row>
    <row r="226" spans="1:14">
      <c r="A226" s="152">
        <v>185</v>
      </c>
      <c r="B226" s="152" t="s">
        <v>699</v>
      </c>
      <c r="C226" s="152" t="s">
        <v>23</v>
      </c>
      <c r="D226" s="159">
        <v>0</v>
      </c>
      <c r="E226" s="159">
        <v>1</v>
      </c>
      <c r="F226" s="159">
        <v>2</v>
      </c>
      <c r="G226" s="159">
        <v>1</v>
      </c>
      <c r="H226" s="152">
        <v>-100</v>
      </c>
      <c r="I226" s="152">
        <v>100</v>
      </c>
      <c r="J226" s="152">
        <v>0</v>
      </c>
      <c r="K226" s="152">
        <v>0</v>
      </c>
      <c r="L226" s="152">
        <v>0.01</v>
      </c>
      <c r="M226" s="152">
        <v>0</v>
      </c>
      <c r="N226" s="59"/>
    </row>
    <row r="227" spans="1:14">
      <c r="A227" s="152">
        <v>186</v>
      </c>
      <c r="B227" s="152" t="s">
        <v>1136</v>
      </c>
      <c r="C227" s="152" t="s">
        <v>23</v>
      </c>
      <c r="D227" s="159">
        <v>1</v>
      </c>
      <c r="E227" s="159">
        <v>1</v>
      </c>
      <c r="F227" s="159">
        <v>2</v>
      </c>
      <c r="G227" s="159">
        <v>1</v>
      </c>
      <c r="H227" s="152">
        <v>0</v>
      </c>
      <c r="I227" s="152">
        <v>100</v>
      </c>
      <c r="J227" s="152">
        <v>0.01</v>
      </c>
      <c r="K227" s="152">
        <v>0</v>
      </c>
      <c r="L227" s="152">
        <v>0.01</v>
      </c>
      <c r="M227" s="152">
        <v>0</v>
      </c>
      <c r="N227" s="59"/>
    </row>
    <row r="228" spans="1:14">
      <c r="A228" s="152">
        <v>187</v>
      </c>
      <c r="B228" s="152" t="s">
        <v>1205</v>
      </c>
      <c r="C228" s="152" t="s">
        <v>23</v>
      </c>
      <c r="D228" s="159">
        <v>2</v>
      </c>
      <c r="E228" s="159">
        <v>0</v>
      </c>
      <c r="F228" s="159">
        <v>2</v>
      </c>
      <c r="G228" s="159">
        <v>0</v>
      </c>
      <c r="H228" s="152">
        <v>0</v>
      </c>
      <c r="I228" s="152">
        <v>0</v>
      </c>
      <c r="J228" s="152">
        <v>0.02</v>
      </c>
      <c r="K228" s="152">
        <v>0</v>
      </c>
      <c r="L228" s="152">
        <v>0</v>
      </c>
      <c r="M228" s="152">
        <v>0</v>
      </c>
      <c r="N228" s="59"/>
    </row>
    <row r="229" spans="1:14">
      <c r="A229" s="152">
        <v>188</v>
      </c>
      <c r="B229" s="152" t="s">
        <v>1099</v>
      </c>
      <c r="C229" s="152" t="s">
        <v>23</v>
      </c>
      <c r="D229" s="159">
        <v>0</v>
      </c>
      <c r="E229" s="159">
        <v>0</v>
      </c>
      <c r="F229" s="159">
        <v>2</v>
      </c>
      <c r="G229" s="159">
        <v>0</v>
      </c>
      <c r="H229" s="152">
        <v>0</v>
      </c>
      <c r="I229" s="152">
        <v>0</v>
      </c>
      <c r="J229" s="152">
        <v>0</v>
      </c>
      <c r="K229" s="152">
        <v>0</v>
      </c>
      <c r="L229" s="152">
        <v>0</v>
      </c>
      <c r="M229" s="152">
        <v>0</v>
      </c>
      <c r="N229" s="59"/>
    </row>
    <row r="230" spans="1:14">
      <c r="A230" s="152">
        <v>189</v>
      </c>
      <c r="B230" s="152" t="s">
        <v>1196</v>
      </c>
      <c r="C230" s="152" t="s">
        <v>24</v>
      </c>
      <c r="D230" s="159">
        <v>2</v>
      </c>
      <c r="E230" s="159">
        <v>0</v>
      </c>
      <c r="F230" s="159">
        <v>2</v>
      </c>
      <c r="G230" s="159">
        <v>0</v>
      </c>
      <c r="H230" s="152">
        <v>0</v>
      </c>
      <c r="I230" s="152">
        <v>0</v>
      </c>
      <c r="J230" s="152">
        <v>0.02</v>
      </c>
      <c r="K230" s="152">
        <v>0</v>
      </c>
      <c r="L230" s="152">
        <v>0</v>
      </c>
      <c r="M230" s="152">
        <v>0</v>
      </c>
      <c r="N230" s="59"/>
    </row>
    <row r="231" spans="1:14">
      <c r="A231" s="152">
        <v>190</v>
      </c>
      <c r="B231" s="152" t="s">
        <v>443</v>
      </c>
      <c r="C231" s="152" t="s">
        <v>23</v>
      </c>
      <c r="D231" s="159">
        <v>0</v>
      </c>
      <c r="E231" s="159">
        <v>20</v>
      </c>
      <c r="F231" s="159">
        <v>1</v>
      </c>
      <c r="G231" s="159">
        <v>82</v>
      </c>
      <c r="H231" s="152">
        <v>-100</v>
      </c>
      <c r="I231" s="152">
        <v>-98.78</v>
      </c>
      <c r="J231" s="152">
        <v>0</v>
      </c>
      <c r="K231" s="152">
        <v>0</v>
      </c>
      <c r="L231" s="152">
        <v>0.19</v>
      </c>
      <c r="M231" s="152">
        <v>0.17</v>
      </c>
      <c r="N231" s="59"/>
    </row>
    <row r="232" spans="1:14">
      <c r="A232" s="152">
        <v>191</v>
      </c>
      <c r="B232" s="152" t="s">
        <v>1138</v>
      </c>
      <c r="C232" s="152" t="s">
        <v>23</v>
      </c>
      <c r="D232" s="159">
        <v>1</v>
      </c>
      <c r="E232" s="159">
        <v>11</v>
      </c>
      <c r="F232" s="159">
        <v>1</v>
      </c>
      <c r="G232" s="159">
        <v>32</v>
      </c>
      <c r="H232" s="152">
        <v>-90.91</v>
      </c>
      <c r="I232" s="152">
        <v>-96.88</v>
      </c>
      <c r="J232" s="152">
        <v>0.01</v>
      </c>
      <c r="K232" s="152">
        <v>0</v>
      </c>
      <c r="L232" s="152">
        <v>0.1</v>
      </c>
      <c r="M232" s="152">
        <v>7.0000000000000007E-2</v>
      </c>
      <c r="N232" s="59"/>
    </row>
    <row r="233" spans="1:14">
      <c r="A233" s="152">
        <v>192</v>
      </c>
      <c r="B233" s="152" t="s">
        <v>521</v>
      </c>
      <c r="C233" s="152" t="s">
        <v>23</v>
      </c>
      <c r="D233" s="159">
        <v>0</v>
      </c>
      <c r="E233" s="159">
        <v>4</v>
      </c>
      <c r="F233" s="159">
        <v>1</v>
      </c>
      <c r="G233" s="159">
        <v>26</v>
      </c>
      <c r="H233" s="152">
        <v>-100</v>
      </c>
      <c r="I233" s="152">
        <v>-96.15</v>
      </c>
      <c r="J233" s="152">
        <v>0</v>
      </c>
      <c r="K233" s="152">
        <v>0</v>
      </c>
      <c r="L233" s="152">
        <v>0.04</v>
      </c>
      <c r="M233" s="152">
        <v>0.05</v>
      </c>
      <c r="N233" s="59"/>
    </row>
    <row r="234" spans="1:14">
      <c r="A234" s="152">
        <v>193</v>
      </c>
      <c r="B234" s="152" t="s">
        <v>182</v>
      </c>
      <c r="C234" s="152" t="s">
        <v>23</v>
      </c>
      <c r="D234" s="159">
        <v>0</v>
      </c>
      <c r="E234" s="159">
        <v>0</v>
      </c>
      <c r="F234" s="159">
        <v>1</v>
      </c>
      <c r="G234" s="159">
        <v>2</v>
      </c>
      <c r="H234" s="152">
        <v>0</v>
      </c>
      <c r="I234" s="152">
        <v>-50</v>
      </c>
      <c r="J234" s="152">
        <v>0</v>
      </c>
      <c r="K234" s="152">
        <v>0</v>
      </c>
      <c r="L234" s="152">
        <v>0</v>
      </c>
      <c r="M234" s="152">
        <v>0</v>
      </c>
      <c r="N234" s="59"/>
    </row>
    <row r="235" spans="1:14">
      <c r="A235" s="152">
        <v>194</v>
      </c>
      <c r="B235" s="152" t="s">
        <v>1135</v>
      </c>
      <c r="C235" s="152" t="s">
        <v>23</v>
      </c>
      <c r="D235" s="159">
        <v>0</v>
      </c>
      <c r="E235" s="159">
        <v>0</v>
      </c>
      <c r="F235" s="159">
        <v>1</v>
      </c>
      <c r="G235" s="159">
        <v>1</v>
      </c>
      <c r="H235" s="152">
        <v>0</v>
      </c>
      <c r="I235" s="152">
        <v>0</v>
      </c>
      <c r="J235" s="152">
        <v>0</v>
      </c>
      <c r="K235" s="152">
        <v>0</v>
      </c>
      <c r="L235" s="152">
        <v>0</v>
      </c>
      <c r="M235" s="152">
        <v>0</v>
      </c>
      <c r="N235" s="59"/>
    </row>
    <row r="236" spans="1:14">
      <c r="A236" s="152">
        <v>195</v>
      </c>
      <c r="B236" s="152" t="s">
        <v>1140</v>
      </c>
      <c r="C236" s="152" t="s">
        <v>23</v>
      </c>
      <c r="D236" s="159">
        <v>0</v>
      </c>
      <c r="E236" s="159">
        <v>0</v>
      </c>
      <c r="F236" s="159">
        <v>1</v>
      </c>
      <c r="G236" s="159">
        <v>1</v>
      </c>
      <c r="H236" s="152">
        <v>0</v>
      </c>
      <c r="I236" s="152">
        <v>0</v>
      </c>
      <c r="J236" s="152">
        <v>0</v>
      </c>
      <c r="K236" s="152">
        <v>0</v>
      </c>
      <c r="L236" s="152">
        <v>0</v>
      </c>
      <c r="M236" s="152">
        <v>0</v>
      </c>
      <c r="N236" s="59"/>
    </row>
    <row r="237" spans="1:14">
      <c r="A237" s="152">
        <v>196</v>
      </c>
      <c r="B237" s="152" t="s">
        <v>1206</v>
      </c>
      <c r="C237" s="152" t="s">
        <v>24</v>
      </c>
      <c r="D237" s="159">
        <v>1</v>
      </c>
      <c r="E237" s="159">
        <v>1</v>
      </c>
      <c r="F237" s="159">
        <v>1</v>
      </c>
      <c r="G237" s="159">
        <v>1</v>
      </c>
      <c r="H237" s="152">
        <v>0</v>
      </c>
      <c r="I237" s="152">
        <v>0</v>
      </c>
      <c r="J237" s="152">
        <v>0.01</v>
      </c>
      <c r="K237" s="152">
        <v>0</v>
      </c>
      <c r="L237" s="152">
        <v>0.01</v>
      </c>
      <c r="M237" s="152">
        <v>0</v>
      </c>
      <c r="N237" s="59"/>
    </row>
    <row r="238" spans="1:14">
      <c r="A238" s="152">
        <v>197</v>
      </c>
      <c r="B238" s="152" t="s">
        <v>1207</v>
      </c>
      <c r="C238" s="152" t="s">
        <v>23</v>
      </c>
      <c r="D238" s="159">
        <v>1</v>
      </c>
      <c r="E238" s="159">
        <v>0</v>
      </c>
      <c r="F238" s="159">
        <v>1</v>
      </c>
      <c r="G238" s="159">
        <v>0</v>
      </c>
      <c r="H238" s="152">
        <v>0</v>
      </c>
      <c r="I238" s="152">
        <v>0</v>
      </c>
      <c r="J238" s="152">
        <v>0.01</v>
      </c>
      <c r="K238" s="152">
        <v>0</v>
      </c>
      <c r="L238" s="152">
        <v>0</v>
      </c>
      <c r="M238" s="152">
        <v>0</v>
      </c>
      <c r="N238" s="59"/>
    </row>
    <row r="239" spans="1:14">
      <c r="A239" s="152">
        <v>198</v>
      </c>
      <c r="B239" s="152" t="s">
        <v>1175</v>
      </c>
      <c r="C239" s="152" t="s">
        <v>23</v>
      </c>
      <c r="D239" s="159">
        <v>0</v>
      </c>
      <c r="E239" s="159">
        <v>0</v>
      </c>
      <c r="F239" s="159">
        <v>1</v>
      </c>
      <c r="G239" s="159">
        <v>0</v>
      </c>
      <c r="H239" s="152">
        <v>0</v>
      </c>
      <c r="I239" s="152">
        <v>0</v>
      </c>
      <c r="J239" s="152">
        <v>0</v>
      </c>
      <c r="K239" s="152">
        <v>0</v>
      </c>
      <c r="L239" s="152">
        <v>0</v>
      </c>
      <c r="M239" s="152">
        <v>0</v>
      </c>
      <c r="N239" s="59"/>
    </row>
    <row r="240" spans="1:14">
      <c r="A240" s="152">
        <v>199</v>
      </c>
      <c r="B240" s="152" t="s">
        <v>586</v>
      </c>
      <c r="C240" s="152" t="s">
        <v>24</v>
      </c>
      <c r="D240" s="159">
        <v>0</v>
      </c>
      <c r="E240" s="159">
        <v>6</v>
      </c>
      <c r="F240" s="159">
        <v>0</v>
      </c>
      <c r="G240" s="159">
        <v>22</v>
      </c>
      <c r="H240" s="152">
        <v>-100</v>
      </c>
      <c r="I240" s="152">
        <v>-100</v>
      </c>
      <c r="J240" s="152">
        <v>0</v>
      </c>
      <c r="K240" s="152">
        <v>0</v>
      </c>
      <c r="L240" s="152">
        <v>0.06</v>
      </c>
      <c r="M240" s="152">
        <v>0.05</v>
      </c>
      <c r="N240" s="59"/>
    </row>
    <row r="241" spans="1:14">
      <c r="A241" s="152">
        <v>200</v>
      </c>
      <c r="B241" s="152" t="s">
        <v>245</v>
      </c>
      <c r="C241" s="152" t="s">
        <v>23</v>
      </c>
      <c r="D241" s="159">
        <v>0</v>
      </c>
      <c r="E241" s="159">
        <v>3</v>
      </c>
      <c r="F241" s="159">
        <v>0</v>
      </c>
      <c r="G241" s="159">
        <v>18</v>
      </c>
      <c r="H241" s="152">
        <v>-100</v>
      </c>
      <c r="I241" s="152">
        <v>-100</v>
      </c>
      <c r="J241" s="152">
        <v>0</v>
      </c>
      <c r="K241" s="152">
        <v>0</v>
      </c>
      <c r="L241" s="152">
        <v>0.03</v>
      </c>
      <c r="M241" s="152">
        <v>0.04</v>
      </c>
      <c r="N241" s="59"/>
    </row>
    <row r="242" spans="1:14">
      <c r="A242" s="152">
        <v>201</v>
      </c>
      <c r="B242" s="152" t="s">
        <v>373</v>
      </c>
      <c r="C242" s="152" t="s">
        <v>23</v>
      </c>
      <c r="D242" s="159">
        <v>0</v>
      </c>
      <c r="E242" s="159">
        <v>3</v>
      </c>
      <c r="F242" s="159">
        <v>0</v>
      </c>
      <c r="G242" s="159">
        <v>17</v>
      </c>
      <c r="H242" s="152">
        <v>-100</v>
      </c>
      <c r="I242" s="152">
        <v>-100</v>
      </c>
      <c r="J242" s="152">
        <v>0</v>
      </c>
      <c r="K242" s="152">
        <v>0</v>
      </c>
      <c r="L242" s="152">
        <v>0.03</v>
      </c>
      <c r="M242" s="152">
        <v>0.04</v>
      </c>
      <c r="N242" s="59"/>
    </row>
    <row r="243" spans="1:14">
      <c r="A243" s="152">
        <v>202</v>
      </c>
      <c r="B243" s="152" t="s">
        <v>249</v>
      </c>
      <c r="C243" s="152" t="s">
        <v>23</v>
      </c>
      <c r="D243" s="159">
        <v>0</v>
      </c>
      <c r="E243" s="159">
        <v>1</v>
      </c>
      <c r="F243" s="159">
        <v>0</v>
      </c>
      <c r="G243" s="159">
        <v>11</v>
      </c>
      <c r="H243" s="152">
        <v>-100</v>
      </c>
      <c r="I243" s="152">
        <v>-100</v>
      </c>
      <c r="J243" s="152">
        <v>0</v>
      </c>
      <c r="K243" s="152">
        <v>0</v>
      </c>
      <c r="L243" s="152">
        <v>0.01</v>
      </c>
      <c r="M243" s="152">
        <v>0.02</v>
      </c>
      <c r="N243" s="59"/>
    </row>
    <row r="244" spans="1:14">
      <c r="A244" s="152">
        <v>203</v>
      </c>
      <c r="B244" s="152" t="s">
        <v>368</v>
      </c>
      <c r="C244" s="152" t="s">
        <v>23</v>
      </c>
      <c r="D244" s="159">
        <v>0</v>
      </c>
      <c r="E244" s="159">
        <v>1</v>
      </c>
      <c r="F244" s="159">
        <v>0</v>
      </c>
      <c r="G244" s="159">
        <v>10</v>
      </c>
      <c r="H244" s="152">
        <v>-100</v>
      </c>
      <c r="I244" s="152">
        <v>-100</v>
      </c>
      <c r="J244" s="152">
        <v>0</v>
      </c>
      <c r="K244" s="152">
        <v>0</v>
      </c>
      <c r="L244" s="152">
        <v>0.01</v>
      </c>
      <c r="M244" s="152">
        <v>0.02</v>
      </c>
      <c r="N244" s="59"/>
    </row>
    <row r="245" spans="1:14">
      <c r="A245" s="152">
        <v>204</v>
      </c>
      <c r="B245" s="152" t="s">
        <v>404</v>
      </c>
      <c r="C245" s="152" t="s">
        <v>23</v>
      </c>
      <c r="D245" s="159">
        <v>0</v>
      </c>
      <c r="E245" s="159">
        <v>1</v>
      </c>
      <c r="F245" s="159">
        <v>0</v>
      </c>
      <c r="G245" s="159">
        <v>8</v>
      </c>
      <c r="H245" s="152">
        <v>-100</v>
      </c>
      <c r="I245" s="152">
        <v>-100</v>
      </c>
      <c r="J245" s="152">
        <v>0</v>
      </c>
      <c r="K245" s="152">
        <v>0</v>
      </c>
      <c r="L245" s="152">
        <v>0.01</v>
      </c>
      <c r="M245" s="152">
        <v>0.02</v>
      </c>
      <c r="N245" s="59"/>
    </row>
    <row r="246" spans="1:14">
      <c r="A246" s="152">
        <v>205</v>
      </c>
      <c r="B246" s="152" t="s">
        <v>425</v>
      </c>
      <c r="C246" s="152" t="s">
        <v>1100</v>
      </c>
      <c r="D246" s="159">
        <v>0</v>
      </c>
      <c r="E246" s="159">
        <v>2</v>
      </c>
      <c r="F246" s="159">
        <v>0</v>
      </c>
      <c r="G246" s="159">
        <v>5</v>
      </c>
      <c r="H246" s="152">
        <v>-100</v>
      </c>
      <c r="I246" s="152">
        <v>-100</v>
      </c>
      <c r="J246" s="152">
        <v>0</v>
      </c>
      <c r="K246" s="152">
        <v>0</v>
      </c>
      <c r="L246" s="152">
        <v>0.02</v>
      </c>
      <c r="M246" s="152">
        <v>0.01</v>
      </c>
      <c r="N246" s="59"/>
    </row>
    <row r="247" spans="1:14">
      <c r="A247" s="152">
        <v>206</v>
      </c>
      <c r="B247" s="152" t="s">
        <v>1198</v>
      </c>
      <c r="C247" s="152" t="s">
        <v>24</v>
      </c>
      <c r="D247" s="159">
        <v>0</v>
      </c>
      <c r="E247" s="159">
        <v>5</v>
      </c>
      <c r="F247" s="159">
        <v>0</v>
      </c>
      <c r="G247" s="159">
        <v>5</v>
      </c>
      <c r="H247" s="152">
        <v>-100</v>
      </c>
      <c r="I247" s="152">
        <v>-100</v>
      </c>
      <c r="J247" s="152">
        <v>0</v>
      </c>
      <c r="K247" s="152">
        <v>0</v>
      </c>
      <c r="L247" s="152">
        <v>0.05</v>
      </c>
      <c r="M247" s="152">
        <v>0.01</v>
      </c>
      <c r="N247" s="59"/>
    </row>
    <row r="248" spans="1:14">
      <c r="A248" s="152">
        <v>207</v>
      </c>
      <c r="B248" s="152" t="s">
        <v>1199</v>
      </c>
      <c r="C248" s="152" t="s">
        <v>24</v>
      </c>
      <c r="D248" s="159">
        <v>0</v>
      </c>
      <c r="E248" s="159">
        <v>2</v>
      </c>
      <c r="F248" s="159">
        <v>0</v>
      </c>
      <c r="G248" s="159">
        <v>2</v>
      </c>
      <c r="H248" s="152">
        <v>-100</v>
      </c>
      <c r="I248" s="152">
        <v>-100</v>
      </c>
      <c r="J248" s="152">
        <v>0</v>
      </c>
      <c r="K248" s="152">
        <v>0</v>
      </c>
      <c r="L248" s="152">
        <v>0.02</v>
      </c>
      <c r="M248" s="152">
        <v>0</v>
      </c>
      <c r="N248" s="59"/>
    </row>
    <row r="249" spans="1:14">
      <c r="A249" s="152">
        <v>208</v>
      </c>
      <c r="B249" s="152" t="s">
        <v>456</v>
      </c>
      <c r="C249" s="152" t="s">
        <v>23</v>
      </c>
      <c r="D249" s="159">
        <v>0</v>
      </c>
      <c r="E249" s="159">
        <v>0</v>
      </c>
      <c r="F249" s="159">
        <v>0</v>
      </c>
      <c r="G249" s="159">
        <v>2</v>
      </c>
      <c r="H249" s="152">
        <v>0</v>
      </c>
      <c r="I249" s="152">
        <v>-100</v>
      </c>
      <c r="J249" s="152">
        <v>0</v>
      </c>
      <c r="K249" s="152">
        <v>0</v>
      </c>
      <c r="L249" s="152">
        <v>0</v>
      </c>
      <c r="M249" s="152">
        <v>0</v>
      </c>
      <c r="N249" s="59"/>
    </row>
    <row r="250" spans="1:14">
      <c r="A250" s="152">
        <v>209</v>
      </c>
      <c r="B250" s="152" t="s">
        <v>216</v>
      </c>
      <c r="C250" s="152" t="s">
        <v>23</v>
      </c>
      <c r="D250" s="159">
        <v>0</v>
      </c>
      <c r="E250" s="159">
        <v>0</v>
      </c>
      <c r="F250" s="159">
        <v>0</v>
      </c>
      <c r="G250" s="159">
        <v>2</v>
      </c>
      <c r="H250" s="152">
        <v>0</v>
      </c>
      <c r="I250" s="152">
        <v>-100</v>
      </c>
      <c r="J250" s="152">
        <v>0</v>
      </c>
      <c r="K250" s="152">
        <v>0</v>
      </c>
      <c r="L250" s="152">
        <v>0</v>
      </c>
      <c r="M250" s="152">
        <v>0</v>
      </c>
      <c r="N250" s="59"/>
    </row>
    <row r="251" spans="1:14">
      <c r="A251" s="152">
        <v>210</v>
      </c>
      <c r="B251" s="152" t="s">
        <v>1139</v>
      </c>
      <c r="C251" s="152" t="s">
        <v>23</v>
      </c>
      <c r="D251" s="159">
        <v>0</v>
      </c>
      <c r="E251" s="159">
        <v>0</v>
      </c>
      <c r="F251" s="159">
        <v>0</v>
      </c>
      <c r="G251" s="159">
        <v>1</v>
      </c>
      <c r="H251" s="152">
        <v>0</v>
      </c>
      <c r="I251" s="152">
        <v>-100</v>
      </c>
      <c r="J251" s="152">
        <v>0</v>
      </c>
      <c r="K251" s="152">
        <v>0</v>
      </c>
      <c r="L251" s="152">
        <v>0</v>
      </c>
      <c r="M251" s="152">
        <v>0</v>
      </c>
      <c r="N251" s="59"/>
    </row>
    <row r="252" spans="1:14">
      <c r="A252" s="152">
        <v>211</v>
      </c>
      <c r="B252" s="152" t="s">
        <v>1176</v>
      </c>
      <c r="C252" s="152" t="s">
        <v>23</v>
      </c>
      <c r="D252" s="159">
        <v>0</v>
      </c>
      <c r="E252" s="159">
        <v>0</v>
      </c>
      <c r="F252" s="159">
        <v>0</v>
      </c>
      <c r="G252" s="159">
        <v>1</v>
      </c>
      <c r="H252" s="152">
        <v>0</v>
      </c>
      <c r="I252" s="152">
        <v>-100</v>
      </c>
      <c r="J252" s="152">
        <v>0</v>
      </c>
      <c r="K252" s="152">
        <v>0</v>
      </c>
      <c r="L252" s="152">
        <v>0</v>
      </c>
      <c r="M252" s="152">
        <v>0</v>
      </c>
      <c r="N252" s="59"/>
    </row>
    <row r="253" spans="1:14">
      <c r="A253" s="152">
        <v>212</v>
      </c>
      <c r="B253" s="152" t="s">
        <v>1208</v>
      </c>
      <c r="C253" s="152" t="s">
        <v>23</v>
      </c>
      <c r="D253" s="159">
        <v>0</v>
      </c>
      <c r="E253" s="159">
        <v>1</v>
      </c>
      <c r="F253" s="159">
        <v>0</v>
      </c>
      <c r="G253" s="159">
        <v>1</v>
      </c>
      <c r="H253" s="152">
        <v>-100</v>
      </c>
      <c r="I253" s="152">
        <v>-100</v>
      </c>
      <c r="J253" s="152">
        <v>0</v>
      </c>
      <c r="K253" s="152">
        <v>0</v>
      </c>
      <c r="L253" s="152">
        <v>0.01</v>
      </c>
      <c r="M253" s="152">
        <v>0</v>
      </c>
      <c r="N253" s="59"/>
    </row>
    <row r="254" spans="1:14">
      <c r="A254" s="152">
        <v>213</v>
      </c>
      <c r="B254" s="152" t="s">
        <v>459</v>
      </c>
      <c r="C254" s="152" t="s">
        <v>24</v>
      </c>
      <c r="D254" s="159">
        <v>15</v>
      </c>
      <c r="E254" s="159">
        <v>8</v>
      </c>
      <c r="F254" s="159">
        <v>39</v>
      </c>
      <c r="G254" s="159">
        <v>37</v>
      </c>
      <c r="H254" s="152">
        <v>87.5</v>
      </c>
      <c r="I254" s="152">
        <v>5.41</v>
      </c>
      <c r="J254" s="152">
        <v>0.13</v>
      </c>
      <c r="K254" s="152">
        <v>0.08</v>
      </c>
      <c r="L254" s="152">
        <v>0.08</v>
      </c>
      <c r="M254" s="152">
        <v>0.08</v>
      </c>
      <c r="N254" s="59"/>
    </row>
    <row r="255" spans="1:14">
      <c r="A255" s="152"/>
      <c r="B255" s="152" t="s">
        <v>477</v>
      </c>
      <c r="C255" s="152"/>
      <c r="D255" s="159">
        <f>SUBTOTAL(109,getAggRechargeModels[antalPerioden])</f>
        <v>11477</v>
      </c>
      <c r="E255" s="159">
        <f>SUBTOTAL(109,getAggRechargeModels[antalFGPeriod])</f>
        <v>10567</v>
      </c>
      <c r="F255" s="159">
        <f>SUBTOTAL(109,getAggRechargeModels[antalÅret])</f>
        <v>47193</v>
      </c>
      <c r="G255" s="159">
        <f>SUBTOTAL(109,getAggRechargeModels[antalFGAr])</f>
        <v>47950</v>
      </c>
      <c r="H255" s="154">
        <f>IF(getAggRechargeModels[[#Totals],[antalFGPeriod]] &gt;0,(getAggRechargeModels[[#Totals],[antalPerioden]] - getAggRechargeModels[[#Totals],[antalFGPeriod]] ) / getAggRechargeModels[[#Totals],[antalFGPeriod]] *100,0)</f>
        <v>8.6117157187470426</v>
      </c>
      <c r="I255" s="154">
        <f>IF(getAggRechargeModels[[#Totals],[antalFGAr]] &gt; 0,( getAggRechargeModels[[#Totals],[antalÅret]] - getAggRechargeModels[[#Totals],[antalFGAr]] ) / getAggRechargeModels[[#Totals],[antalFGAr]] * 100,0)</f>
        <v>-1.5787278415015642</v>
      </c>
      <c r="J255" s="160">
        <f>IF(getAggModelsPB[[#Totals],[antalPerioden]] &gt; 0,getAggRechargeModels[[#Totals],[antalPerioden]]  / getAggModelsPB[[#Totals],[antalPerioden]] * 100,0)</f>
        <v>55.751481589429709</v>
      </c>
      <c r="K255" s="160">
        <f>IF(getAggModelsPB[[#Totals],[antalÅret]] &gt; 0,getAggRechargeModels[[#Totals],[antalÅret]]  / getAggModelsPB[[#Totals],[antalÅret]] * 100,0)</f>
        <v>56.255811181308857</v>
      </c>
      <c r="L255" s="160">
        <f>IF(getAggModelsPB[[#Totals],[antalFGPeriod]] &gt; 0,getAggRechargeModels[[#Totals],[antalFGPeriod]]  / getAggModelsPB[[#Totals],[antalFGPeriod]] * 100,0)</f>
        <v>48.158782244098077</v>
      </c>
      <c r="M255" s="160">
        <f>IF(getAggModelsPB[[#Totals],[antalFGAr]] &gt; 0,getAggRechargeModels[[#Totals],[antalFGAr]]  / getAggModelsPB[[#Totals],[antalFGAr]] * 100,0)</f>
        <v>52.300912948157197</v>
      </c>
      <c r="N255" s="59"/>
    </row>
    <row r="256" spans="1:14">
      <c r="A256" s="59"/>
      <c r="B256" s="59"/>
      <c r="C256" s="59"/>
      <c r="D256" s="59"/>
      <c r="E256" s="59"/>
      <c r="F256" s="59"/>
      <c r="G256" s="59"/>
      <c r="H256" s="59"/>
      <c r="I256" s="59"/>
      <c r="J256" s="59"/>
      <c r="K256" s="59"/>
      <c r="L256" s="59"/>
      <c r="M256" s="59"/>
      <c r="N256" s="59"/>
    </row>
    <row r="257" spans="1:14">
      <c r="A257" s="59"/>
      <c r="B257" s="59"/>
      <c r="C257" s="59"/>
      <c r="D257" s="59"/>
      <c r="E257" s="59"/>
      <c r="F257" s="59"/>
      <c r="G257" s="59"/>
      <c r="H257" s="59"/>
      <c r="I257" s="59"/>
      <c r="J257" s="59"/>
      <c r="K257" s="59"/>
      <c r="L257" s="59"/>
      <c r="M257" s="59"/>
      <c r="N257" s="59"/>
    </row>
    <row r="258" spans="1:14">
      <c r="A258" s="59" t="s">
        <v>707</v>
      </c>
      <c r="B258" s="59"/>
      <c r="C258" s="59"/>
      <c r="D258" s="59"/>
      <c r="E258" s="59"/>
      <c r="F258" s="59"/>
      <c r="G258" s="59"/>
      <c r="H258" s="59"/>
      <c r="I258" s="59"/>
      <c r="J258" s="59"/>
      <c r="K258" s="59"/>
      <c r="L258" s="59"/>
      <c r="M258" s="59"/>
      <c r="N258" s="59"/>
    </row>
    <row r="259" spans="1:14">
      <c r="A259" s="59"/>
      <c r="B259" s="59"/>
      <c r="C259" s="59"/>
      <c r="D259" s="59"/>
      <c r="E259" s="59"/>
      <c r="F259" s="59"/>
      <c r="G259" s="59"/>
      <c r="H259" s="59"/>
      <c r="I259" s="59"/>
      <c r="J259" s="59"/>
      <c r="K259" s="59"/>
      <c r="L259" s="59"/>
      <c r="M259" s="59"/>
      <c r="N259" s="59"/>
    </row>
    <row r="260" spans="1:14">
      <c r="A260" s="59"/>
      <c r="B260" s="59"/>
      <c r="C260" s="59"/>
      <c r="D260" s="59"/>
      <c r="E260" s="59"/>
      <c r="F260" s="59"/>
      <c r="G260" s="59"/>
      <c r="H260" s="59"/>
      <c r="I260" s="59"/>
      <c r="J260" s="59"/>
      <c r="K260" s="59"/>
      <c r="L260" s="59"/>
      <c r="M260" s="59"/>
      <c r="N260" s="59"/>
    </row>
    <row r="261" spans="1:14">
      <c r="A261" s="59"/>
      <c r="B261" s="59"/>
      <c r="C261" s="59"/>
      <c r="D261" s="59"/>
      <c r="E261" s="59"/>
      <c r="F261" s="59"/>
      <c r="G261" s="59"/>
      <c r="H261" s="59"/>
      <c r="I261" s="59"/>
      <c r="J261" s="59"/>
      <c r="K261" s="59"/>
      <c r="L261" s="59"/>
      <c r="M261" s="59"/>
      <c r="N261" s="59"/>
    </row>
    <row r="262" spans="1:14">
      <c r="A262" s="59"/>
      <c r="B262" s="59"/>
      <c r="C262" s="59"/>
      <c r="D262" s="59"/>
      <c r="E262" s="59"/>
      <c r="F262" s="59"/>
      <c r="G262" s="59"/>
      <c r="H262" s="59"/>
      <c r="I262" s="59"/>
      <c r="J262" s="59"/>
      <c r="K262" s="59"/>
      <c r="L262" s="59"/>
      <c r="M262" s="59"/>
      <c r="N262" s="59"/>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56"/>
  <sheetViews>
    <sheetView topLeftCell="A37" workbookViewId="0">
      <selection activeCell="E34" sqref="E34"/>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72" t="s">
        <v>642</v>
      </c>
      <c r="P2" s="72"/>
      <c r="Q2" s="72"/>
      <c r="R2" s="72"/>
      <c r="S2" s="72"/>
      <c r="T2" s="10"/>
      <c r="U2" s="10"/>
    </row>
    <row r="3" spans="15:21">
      <c r="O3" s="27" t="s">
        <v>643</v>
      </c>
      <c r="P3" s="27"/>
      <c r="Q3" s="27"/>
      <c r="R3" s="27"/>
      <c r="S3" s="27"/>
      <c r="T3" s="27"/>
    </row>
    <row r="4" spans="15:21">
      <c r="O4" s="7"/>
      <c r="P4" s="7"/>
      <c r="Q4" s="17"/>
      <c r="R4" s="17"/>
      <c r="S4" s="17"/>
      <c r="T4" s="17"/>
    </row>
    <row r="5" spans="15:21" ht="16" thickBot="1">
      <c r="O5" s="20" t="s">
        <v>478</v>
      </c>
      <c r="P5" s="20">
        <v>2021</v>
      </c>
      <c r="Q5" s="20">
        <v>2022</v>
      </c>
      <c r="R5" s="20">
        <v>2023</v>
      </c>
      <c r="S5" s="27"/>
      <c r="T5" s="27"/>
    </row>
    <row r="6" spans="15:21">
      <c r="O6" s="17" t="s">
        <v>2</v>
      </c>
      <c r="P6" s="34">
        <v>1106</v>
      </c>
      <c r="Q6" s="34">
        <v>5159</v>
      </c>
      <c r="R6" s="34">
        <v>4203</v>
      </c>
      <c r="S6" s="27"/>
      <c r="T6" s="27"/>
    </row>
    <row r="7" spans="15:21">
      <c r="O7" s="17" t="s">
        <v>3</v>
      </c>
      <c r="P7" s="35">
        <v>1394</v>
      </c>
      <c r="Q7" s="35">
        <v>5413</v>
      </c>
      <c r="R7" s="35">
        <v>6124</v>
      </c>
      <c r="S7" s="27"/>
      <c r="T7" s="27"/>
    </row>
    <row r="8" spans="15:21">
      <c r="O8" s="17" t="s">
        <v>4</v>
      </c>
      <c r="P8" s="38">
        <v>2609</v>
      </c>
      <c r="Q8" s="38">
        <v>9142</v>
      </c>
      <c r="R8" s="38">
        <v>12577</v>
      </c>
      <c r="S8" s="27"/>
      <c r="T8" s="27"/>
    </row>
    <row r="9" spans="15:21">
      <c r="O9" s="17" t="s">
        <v>5</v>
      </c>
      <c r="P9" s="35">
        <v>4869</v>
      </c>
      <c r="Q9" s="35">
        <v>5421</v>
      </c>
      <c r="R9" s="35">
        <v>6928</v>
      </c>
      <c r="S9" s="27"/>
      <c r="T9" s="27"/>
    </row>
    <row r="10" spans="15:21">
      <c r="O10" s="17" t="s">
        <v>6</v>
      </c>
      <c r="P10" s="38">
        <v>3953</v>
      </c>
      <c r="Q10" s="38">
        <v>6383</v>
      </c>
      <c r="R10" s="38"/>
      <c r="S10" s="27"/>
      <c r="T10" s="27"/>
    </row>
    <row r="11" spans="15:21">
      <c r="O11" s="17" t="s">
        <v>7</v>
      </c>
      <c r="P11" s="35">
        <v>8687</v>
      </c>
      <c r="Q11" s="35">
        <v>8237</v>
      </c>
      <c r="R11" s="35"/>
      <c r="S11" s="27"/>
      <c r="T11" s="27"/>
    </row>
    <row r="12" spans="15:21">
      <c r="O12" s="17" t="s">
        <v>8</v>
      </c>
      <c r="P12" s="38">
        <v>2535</v>
      </c>
      <c r="Q12" s="38">
        <v>4677</v>
      </c>
      <c r="R12" s="38"/>
      <c r="S12" s="27"/>
      <c r="T12" s="27"/>
    </row>
    <row r="13" spans="15:21">
      <c r="O13" s="17" t="s">
        <v>9</v>
      </c>
      <c r="P13" s="38">
        <v>4781</v>
      </c>
      <c r="Q13" s="38">
        <v>5813</v>
      </c>
      <c r="R13" s="38"/>
      <c r="S13" s="27"/>
      <c r="T13" s="27"/>
    </row>
    <row r="14" spans="15:21">
      <c r="O14" s="17" t="s">
        <v>10</v>
      </c>
      <c r="P14" s="38">
        <v>7454</v>
      </c>
      <c r="Q14" s="38">
        <v>7777</v>
      </c>
      <c r="R14" s="38"/>
      <c r="S14" s="27"/>
      <c r="T14" s="27"/>
    </row>
    <row r="15" spans="15:21">
      <c r="O15" s="17" t="s">
        <v>11</v>
      </c>
      <c r="P15" s="38">
        <v>4573</v>
      </c>
      <c r="Q15" s="38">
        <v>7940</v>
      </c>
      <c r="R15" s="38"/>
      <c r="S15" s="27"/>
      <c r="T15" s="27"/>
    </row>
    <row r="16" spans="15:21">
      <c r="O16" s="17" t="s">
        <v>12</v>
      </c>
      <c r="P16" s="38">
        <v>5468</v>
      </c>
      <c r="Q16" s="38">
        <v>10868</v>
      </c>
      <c r="R16" s="38"/>
      <c r="S16" s="27"/>
      <c r="T16" s="27"/>
    </row>
    <row r="17" spans="15:20">
      <c r="O17" s="28" t="s">
        <v>13</v>
      </c>
      <c r="P17" s="148">
        <v>10041</v>
      </c>
      <c r="Q17" s="148">
        <v>18205</v>
      </c>
      <c r="R17" s="148"/>
      <c r="S17" s="27"/>
      <c r="T17" s="27"/>
    </row>
    <row r="18" spans="15:20">
      <c r="O18" s="7" t="s">
        <v>561</v>
      </c>
      <c r="P18" s="36">
        <f>SUMIF(R6:R17,"&gt;0",P6:P17)</f>
        <v>9978</v>
      </c>
      <c r="Q18" s="36">
        <f>SUMIF(R6:R17,"&gt;0",Q6:Q17)</f>
        <v>25135</v>
      </c>
      <c r="R18" s="36">
        <f>SUM(R6:R17)</f>
        <v>29832</v>
      </c>
      <c r="S18" s="27"/>
      <c r="T18" s="27"/>
    </row>
    <row r="19" spans="15:20">
      <c r="O19" s="7" t="s">
        <v>560</v>
      </c>
      <c r="P19" s="33">
        <f>SUM(P6:P17)</f>
        <v>57470</v>
      </c>
      <c r="Q19" s="33">
        <f>SUM(Q6:Q17)</f>
        <v>95035</v>
      </c>
      <c r="R19" s="27"/>
      <c r="S19" s="27"/>
      <c r="T19" s="27"/>
    </row>
    <row r="34" spans="1:14" ht="21" thickBot="1">
      <c r="A34" s="72" t="s">
        <v>690</v>
      </c>
      <c r="B34" s="72"/>
      <c r="C34" s="10"/>
      <c r="E34" s="289" t="s">
        <v>1275</v>
      </c>
    </row>
    <row r="35" spans="1:14" ht="20">
      <c r="A35" s="10"/>
    </row>
    <row r="36" spans="1:14">
      <c r="A36" s="8" t="s">
        <v>474</v>
      </c>
      <c r="B36" s="59"/>
      <c r="C36" s="59"/>
      <c r="D36" s="59"/>
      <c r="E36" s="59"/>
      <c r="F36" s="59"/>
      <c r="G36" s="59"/>
      <c r="H36" s="273" t="s">
        <v>475</v>
      </c>
      <c r="I36" s="273"/>
      <c r="J36" s="273"/>
      <c r="K36" s="273"/>
      <c r="L36" s="273"/>
      <c r="M36" s="273"/>
      <c r="N36" s="59"/>
    </row>
    <row r="37" spans="1:14">
      <c r="A37" s="117"/>
      <c r="B37" s="128"/>
      <c r="C37" s="128"/>
      <c r="D37" s="274" t="s">
        <v>562</v>
      </c>
      <c r="E37" s="275"/>
      <c r="F37" s="276" t="s">
        <v>562</v>
      </c>
      <c r="G37" s="277"/>
      <c r="H37" s="276" t="s">
        <v>563</v>
      </c>
      <c r="I37" s="277"/>
      <c r="J37" s="276" t="s">
        <v>564</v>
      </c>
      <c r="K37" s="277"/>
      <c r="L37" s="276" t="s">
        <v>564</v>
      </c>
      <c r="M37" s="277"/>
      <c r="N37" s="59"/>
    </row>
    <row r="38" spans="1:14">
      <c r="A38" s="117"/>
      <c r="B38" s="129" t="s">
        <v>476</v>
      </c>
      <c r="C38" s="130" t="s">
        <v>566</v>
      </c>
      <c r="D38" s="131" t="str">
        <f>Innehåll!D79</f>
        <v xml:space="preserve"> 2023-04</v>
      </c>
      <c r="E38" s="131" t="str">
        <f>Innehåll!D80</f>
        <v xml:space="preserve"> 2022-04</v>
      </c>
      <c r="F38" s="131" t="str">
        <f>Innehåll!D81</f>
        <v>YTD  2023</v>
      </c>
      <c r="G38" s="131" t="str">
        <f>Innehåll!D82</f>
        <v>YTD  2022</v>
      </c>
      <c r="H38" s="131" t="str">
        <f>D38</f>
        <v xml:space="preserve"> 2023-04</v>
      </c>
      <c r="I38" s="132" t="str">
        <f>F38</f>
        <v>YTD  2023</v>
      </c>
      <c r="J38" s="131" t="str">
        <f>D38</f>
        <v xml:space="preserve"> 2023-04</v>
      </c>
      <c r="K38" s="133" t="str">
        <f>F38</f>
        <v>YTD  2023</v>
      </c>
      <c r="L38" s="134" t="str">
        <f>E38</f>
        <v xml:space="preserve"> 2022-04</v>
      </c>
      <c r="M38" s="134" t="str">
        <f>G38</f>
        <v>YTD  2022</v>
      </c>
      <c r="N38" s="59"/>
    </row>
    <row r="39" spans="1:14" ht="15" hidden="1" customHeight="1">
      <c r="A39" s="59" t="s">
        <v>33</v>
      </c>
      <c r="B39" s="59" t="s">
        <v>237</v>
      </c>
      <c r="C39" s="59" t="s">
        <v>238</v>
      </c>
      <c r="D39" s="59" t="s">
        <v>35</v>
      </c>
      <c r="E39" s="59" t="s">
        <v>36</v>
      </c>
      <c r="F39" s="59" t="s">
        <v>37</v>
      </c>
      <c r="G39" s="59" t="s">
        <v>38</v>
      </c>
      <c r="H39" s="59" t="s">
        <v>39</v>
      </c>
      <c r="I39" s="59" t="s">
        <v>40</v>
      </c>
      <c r="J39" s="59" t="s">
        <v>41</v>
      </c>
      <c r="K39" s="59" t="s">
        <v>42</v>
      </c>
      <c r="L39" s="59" t="s">
        <v>43</v>
      </c>
      <c r="M39" s="59" t="s">
        <v>44</v>
      </c>
      <c r="N39" s="59"/>
    </row>
    <row r="40" spans="1:14">
      <c r="A40" s="59">
        <v>1</v>
      </c>
      <c r="B40" s="59" t="s">
        <v>629</v>
      </c>
      <c r="C40" s="59" t="s">
        <v>24</v>
      </c>
      <c r="D40" s="24">
        <v>652</v>
      </c>
      <c r="E40" s="24">
        <v>5</v>
      </c>
      <c r="F40" s="24">
        <v>4262</v>
      </c>
      <c r="G40" s="24">
        <v>1959</v>
      </c>
      <c r="H40" s="59">
        <v>12940</v>
      </c>
      <c r="I40" s="59">
        <v>117.56</v>
      </c>
      <c r="J40" s="59">
        <v>5.68</v>
      </c>
      <c r="K40" s="59">
        <v>9.0299999999999994</v>
      </c>
      <c r="L40" s="59">
        <v>0.05</v>
      </c>
      <c r="M40" s="59">
        <v>4.09</v>
      </c>
      <c r="N40" s="59"/>
    </row>
    <row r="41" spans="1:14">
      <c r="A41" s="59">
        <v>2</v>
      </c>
      <c r="B41" s="59" t="s">
        <v>445</v>
      </c>
      <c r="C41" s="59" t="s">
        <v>24</v>
      </c>
      <c r="D41" s="24">
        <v>695</v>
      </c>
      <c r="E41" s="24">
        <v>447</v>
      </c>
      <c r="F41" s="24">
        <v>3442</v>
      </c>
      <c r="G41" s="24">
        <v>1813</v>
      </c>
      <c r="H41" s="59">
        <v>55.48</v>
      </c>
      <c r="I41" s="59">
        <v>89.85</v>
      </c>
      <c r="J41" s="59">
        <v>6.06</v>
      </c>
      <c r="K41" s="59">
        <v>7.29</v>
      </c>
      <c r="L41" s="59">
        <v>4.2300000000000004</v>
      </c>
      <c r="M41" s="59">
        <v>3.78</v>
      </c>
      <c r="N41" s="59"/>
    </row>
    <row r="42" spans="1:14" hidden="1">
      <c r="A42" s="59">
        <v>3</v>
      </c>
      <c r="B42" s="59" t="s">
        <v>415</v>
      </c>
      <c r="C42" s="59" t="s">
        <v>23</v>
      </c>
      <c r="D42" s="24">
        <v>812</v>
      </c>
      <c r="E42" s="24">
        <v>520</v>
      </c>
      <c r="F42" s="24">
        <v>2577</v>
      </c>
      <c r="G42" s="24">
        <v>2577</v>
      </c>
      <c r="H42" s="59">
        <v>56.15</v>
      </c>
      <c r="I42" s="59">
        <v>0</v>
      </c>
      <c r="J42" s="59">
        <v>7.08</v>
      </c>
      <c r="K42" s="59">
        <v>5.46</v>
      </c>
      <c r="L42" s="59">
        <v>4.92</v>
      </c>
      <c r="M42" s="59">
        <v>5.37</v>
      </c>
      <c r="N42" s="59"/>
    </row>
    <row r="43" spans="1:14">
      <c r="A43" s="59">
        <v>4</v>
      </c>
      <c r="B43" s="59" t="s">
        <v>505</v>
      </c>
      <c r="C43" s="59" t="s">
        <v>24</v>
      </c>
      <c r="D43" s="24">
        <v>661</v>
      </c>
      <c r="E43" s="24">
        <v>420</v>
      </c>
      <c r="F43" s="24">
        <v>2553</v>
      </c>
      <c r="G43" s="24">
        <v>2442</v>
      </c>
      <c r="H43" s="59">
        <v>57.38</v>
      </c>
      <c r="I43" s="59">
        <v>4.55</v>
      </c>
      <c r="J43" s="59">
        <v>5.76</v>
      </c>
      <c r="K43" s="59">
        <v>5.41</v>
      </c>
      <c r="L43" s="59">
        <v>3.97</v>
      </c>
      <c r="M43" s="59">
        <v>5.09</v>
      </c>
      <c r="N43" s="59"/>
    </row>
    <row r="44" spans="1:14">
      <c r="A44" s="59">
        <v>5</v>
      </c>
      <c r="B44" s="59" t="s">
        <v>657</v>
      </c>
      <c r="C44" s="59" t="s">
        <v>24</v>
      </c>
      <c r="D44" s="24">
        <v>322</v>
      </c>
      <c r="E44" s="24">
        <v>420</v>
      </c>
      <c r="F44" s="24">
        <v>1610</v>
      </c>
      <c r="G44" s="24">
        <v>1193</v>
      </c>
      <c r="H44" s="59">
        <v>-23.33</v>
      </c>
      <c r="I44" s="59">
        <v>34.950000000000003</v>
      </c>
      <c r="J44" s="59">
        <v>2.81</v>
      </c>
      <c r="K44" s="59">
        <v>3.41</v>
      </c>
      <c r="L44" s="59">
        <v>3.97</v>
      </c>
      <c r="M44" s="59">
        <v>2.4900000000000002</v>
      </c>
      <c r="N44" s="59"/>
    </row>
    <row r="45" spans="1:14" hidden="1">
      <c r="A45" s="59">
        <v>6</v>
      </c>
      <c r="B45" s="59" t="s">
        <v>717</v>
      </c>
      <c r="C45" s="59" t="s">
        <v>23</v>
      </c>
      <c r="D45" s="24">
        <v>282</v>
      </c>
      <c r="E45" s="24">
        <v>330</v>
      </c>
      <c r="F45" s="24">
        <v>1224</v>
      </c>
      <c r="G45" s="24">
        <v>430</v>
      </c>
      <c r="H45" s="59">
        <v>-14.55</v>
      </c>
      <c r="I45" s="59">
        <v>184.65</v>
      </c>
      <c r="J45" s="59">
        <v>2.46</v>
      </c>
      <c r="K45" s="59">
        <v>2.59</v>
      </c>
      <c r="L45" s="59">
        <v>3.12</v>
      </c>
      <c r="M45" s="59">
        <v>0.9</v>
      </c>
      <c r="N45" s="59"/>
    </row>
    <row r="46" spans="1:14">
      <c r="A46" s="59">
        <v>7</v>
      </c>
      <c r="B46" s="59" t="s">
        <v>241</v>
      </c>
      <c r="C46" s="59" t="s">
        <v>24</v>
      </c>
      <c r="D46" s="24">
        <v>326</v>
      </c>
      <c r="E46" s="24">
        <v>670</v>
      </c>
      <c r="F46" s="24">
        <v>1168</v>
      </c>
      <c r="G46" s="24">
        <v>3150</v>
      </c>
      <c r="H46" s="59">
        <v>-51.34</v>
      </c>
      <c r="I46" s="59">
        <v>-62.92</v>
      </c>
      <c r="J46" s="59">
        <v>2.84</v>
      </c>
      <c r="K46" s="59">
        <v>2.4700000000000002</v>
      </c>
      <c r="L46" s="59">
        <v>6.34</v>
      </c>
      <c r="M46" s="59">
        <v>6.57</v>
      </c>
      <c r="N46" s="59"/>
    </row>
    <row r="47" spans="1:14" hidden="1">
      <c r="A47" s="59">
        <v>8</v>
      </c>
      <c r="B47" s="59" t="s">
        <v>393</v>
      </c>
      <c r="C47" s="59" t="s">
        <v>23</v>
      </c>
      <c r="D47" s="24">
        <v>240</v>
      </c>
      <c r="E47" s="24">
        <v>417</v>
      </c>
      <c r="F47" s="24">
        <v>1123</v>
      </c>
      <c r="G47" s="24">
        <v>1751</v>
      </c>
      <c r="H47" s="59">
        <v>-42.45</v>
      </c>
      <c r="I47" s="59">
        <v>-35.869999999999997</v>
      </c>
      <c r="J47" s="59">
        <v>2.09</v>
      </c>
      <c r="K47" s="59">
        <v>2.38</v>
      </c>
      <c r="L47" s="59">
        <v>3.95</v>
      </c>
      <c r="M47" s="59">
        <v>3.65</v>
      </c>
      <c r="N47" s="59"/>
    </row>
    <row r="48" spans="1:14">
      <c r="A48" s="59">
        <v>9</v>
      </c>
      <c r="B48" s="59" t="s">
        <v>665</v>
      </c>
      <c r="C48" s="59" t="s">
        <v>24</v>
      </c>
      <c r="D48" s="24">
        <v>261</v>
      </c>
      <c r="E48" s="24">
        <v>63</v>
      </c>
      <c r="F48" s="24">
        <v>1102</v>
      </c>
      <c r="G48" s="24">
        <v>293</v>
      </c>
      <c r="H48" s="59">
        <v>314.29000000000002</v>
      </c>
      <c r="I48" s="59">
        <v>276.11</v>
      </c>
      <c r="J48" s="59">
        <v>2.27</v>
      </c>
      <c r="K48" s="59">
        <v>2.34</v>
      </c>
      <c r="L48" s="59">
        <v>0.6</v>
      </c>
      <c r="M48" s="59">
        <v>0.61</v>
      </c>
      <c r="N48" s="59"/>
    </row>
    <row r="49" spans="1:14">
      <c r="A49" s="59">
        <v>10</v>
      </c>
      <c r="B49" s="59" t="s">
        <v>594</v>
      </c>
      <c r="C49" s="59" t="s">
        <v>24</v>
      </c>
      <c r="D49" s="24">
        <v>302</v>
      </c>
      <c r="E49" s="24">
        <v>259</v>
      </c>
      <c r="F49" s="24">
        <v>1082</v>
      </c>
      <c r="G49" s="24">
        <v>799</v>
      </c>
      <c r="H49" s="59">
        <v>16.600000000000001</v>
      </c>
      <c r="I49" s="59">
        <v>35.42</v>
      </c>
      <c r="J49" s="59">
        <v>2.63</v>
      </c>
      <c r="K49" s="59">
        <v>2.29</v>
      </c>
      <c r="L49" s="59">
        <v>2.4500000000000002</v>
      </c>
      <c r="M49" s="59">
        <v>1.67</v>
      </c>
      <c r="N49" s="59"/>
    </row>
    <row r="50" spans="1:14">
      <c r="A50" s="59">
        <v>11</v>
      </c>
      <c r="B50" s="59" t="s">
        <v>64</v>
      </c>
      <c r="C50" s="59" t="s">
        <v>24</v>
      </c>
      <c r="D50" s="24">
        <v>61</v>
      </c>
      <c r="E50" s="24">
        <v>4</v>
      </c>
      <c r="F50" s="24">
        <v>1066</v>
      </c>
      <c r="G50" s="24">
        <v>1183</v>
      </c>
      <c r="H50" s="59">
        <v>1425</v>
      </c>
      <c r="I50" s="59">
        <v>-9.89</v>
      </c>
      <c r="J50" s="59">
        <v>0.53</v>
      </c>
      <c r="K50" s="59">
        <v>2.2599999999999998</v>
      </c>
      <c r="L50" s="59">
        <v>0.04</v>
      </c>
      <c r="M50" s="59">
        <v>2.4700000000000002</v>
      </c>
      <c r="N50" s="59"/>
    </row>
    <row r="51" spans="1:14">
      <c r="A51" s="59">
        <v>12</v>
      </c>
      <c r="B51" s="59" t="s">
        <v>439</v>
      </c>
      <c r="C51" s="59" t="s">
        <v>24</v>
      </c>
      <c r="D51" s="24">
        <v>325</v>
      </c>
      <c r="E51" s="24">
        <v>90</v>
      </c>
      <c r="F51" s="24">
        <v>892</v>
      </c>
      <c r="G51" s="24">
        <v>486</v>
      </c>
      <c r="H51" s="59">
        <v>261.11</v>
      </c>
      <c r="I51" s="59">
        <v>83.54</v>
      </c>
      <c r="J51" s="59">
        <v>2.83</v>
      </c>
      <c r="K51" s="59">
        <v>1.89</v>
      </c>
      <c r="L51" s="59">
        <v>0.85</v>
      </c>
      <c r="M51" s="59">
        <v>1.01</v>
      </c>
      <c r="N51" s="59"/>
    </row>
    <row r="52" spans="1:14">
      <c r="A52" s="59">
        <v>13</v>
      </c>
      <c r="B52" s="59" t="s">
        <v>722</v>
      </c>
      <c r="C52" s="59" t="s">
        <v>24</v>
      </c>
      <c r="D52" s="24">
        <v>165</v>
      </c>
      <c r="E52" s="24">
        <v>10</v>
      </c>
      <c r="F52" s="24">
        <v>878</v>
      </c>
      <c r="G52" s="24">
        <v>102</v>
      </c>
      <c r="H52" s="59">
        <v>1550</v>
      </c>
      <c r="I52" s="59">
        <v>760.78</v>
      </c>
      <c r="J52" s="59">
        <v>1.44</v>
      </c>
      <c r="K52" s="59">
        <v>1.86</v>
      </c>
      <c r="L52" s="59">
        <v>0.09</v>
      </c>
      <c r="M52" s="59">
        <v>0.21</v>
      </c>
      <c r="N52" s="59"/>
    </row>
    <row r="53" spans="1:14">
      <c r="A53" s="59">
        <v>14</v>
      </c>
      <c r="B53" s="59" t="s">
        <v>621</v>
      </c>
      <c r="C53" s="59" t="s">
        <v>24</v>
      </c>
      <c r="D53" s="24">
        <v>193</v>
      </c>
      <c r="E53" s="24">
        <v>85</v>
      </c>
      <c r="F53" s="24">
        <v>754</v>
      </c>
      <c r="G53" s="24">
        <v>778</v>
      </c>
      <c r="H53" s="59">
        <v>127.06</v>
      </c>
      <c r="I53" s="59">
        <v>-3.08</v>
      </c>
      <c r="J53" s="59">
        <v>1.68</v>
      </c>
      <c r="K53" s="59">
        <v>1.6</v>
      </c>
      <c r="L53" s="59">
        <v>0.8</v>
      </c>
      <c r="M53" s="59">
        <v>1.62</v>
      </c>
      <c r="N53" s="59"/>
    </row>
    <row r="54" spans="1:14" hidden="1">
      <c r="A54" s="59">
        <v>15</v>
      </c>
      <c r="B54" s="59" t="s">
        <v>431</v>
      </c>
      <c r="C54" s="59" t="s">
        <v>23</v>
      </c>
      <c r="D54" s="24">
        <v>104</v>
      </c>
      <c r="E54" s="24">
        <v>361</v>
      </c>
      <c r="F54" s="24">
        <v>729</v>
      </c>
      <c r="G54" s="24">
        <v>1458</v>
      </c>
      <c r="H54" s="59">
        <v>-71.19</v>
      </c>
      <c r="I54" s="59">
        <v>-50</v>
      </c>
      <c r="J54" s="59">
        <v>0.91</v>
      </c>
      <c r="K54" s="59">
        <v>1.54</v>
      </c>
      <c r="L54" s="59">
        <v>3.42</v>
      </c>
      <c r="M54" s="59">
        <v>3.04</v>
      </c>
      <c r="N54" s="59"/>
    </row>
    <row r="55" spans="1:14" hidden="1">
      <c r="A55" s="59">
        <v>16</v>
      </c>
      <c r="B55" s="59" t="s">
        <v>1014</v>
      </c>
      <c r="C55" s="59" t="s">
        <v>23</v>
      </c>
      <c r="D55" s="24">
        <v>35</v>
      </c>
      <c r="E55" s="24">
        <v>0</v>
      </c>
      <c r="F55" s="24">
        <v>665</v>
      </c>
      <c r="G55" s="24">
        <v>0</v>
      </c>
      <c r="H55" s="59">
        <v>0</v>
      </c>
      <c r="I55" s="59">
        <v>0</v>
      </c>
      <c r="J55" s="59">
        <v>0.3</v>
      </c>
      <c r="K55" s="59">
        <v>1.41</v>
      </c>
      <c r="L55" s="59">
        <v>0</v>
      </c>
      <c r="M55" s="59">
        <v>0</v>
      </c>
      <c r="N55" s="59"/>
    </row>
    <row r="56" spans="1:14" hidden="1">
      <c r="A56" s="59">
        <v>17</v>
      </c>
      <c r="B56" s="59" t="s">
        <v>416</v>
      </c>
      <c r="C56" s="59" t="s">
        <v>23</v>
      </c>
      <c r="D56" s="24">
        <v>197</v>
      </c>
      <c r="E56" s="24">
        <v>138</v>
      </c>
      <c r="F56" s="24">
        <v>645</v>
      </c>
      <c r="G56" s="24">
        <v>879</v>
      </c>
      <c r="H56" s="59">
        <v>42.75</v>
      </c>
      <c r="I56" s="59">
        <v>-26.62</v>
      </c>
      <c r="J56" s="59">
        <v>1.72</v>
      </c>
      <c r="K56" s="59">
        <v>1.37</v>
      </c>
      <c r="L56" s="59">
        <v>1.31</v>
      </c>
      <c r="M56" s="59">
        <v>1.83</v>
      </c>
      <c r="N56" s="59"/>
    </row>
    <row r="57" spans="1:14">
      <c r="A57" s="59">
        <v>18</v>
      </c>
      <c r="B57" s="59" t="s">
        <v>426</v>
      </c>
      <c r="C57" s="59" t="s">
        <v>24</v>
      </c>
      <c r="D57" s="24">
        <v>120</v>
      </c>
      <c r="E57" s="24">
        <v>496</v>
      </c>
      <c r="F57" s="24">
        <v>644</v>
      </c>
      <c r="G57" s="24">
        <v>1684</v>
      </c>
      <c r="H57" s="59">
        <v>-75.81</v>
      </c>
      <c r="I57" s="59">
        <v>-61.76</v>
      </c>
      <c r="J57" s="59">
        <v>1.05</v>
      </c>
      <c r="K57" s="59">
        <v>1.36</v>
      </c>
      <c r="L57" s="59">
        <v>4.6900000000000004</v>
      </c>
      <c r="M57" s="59">
        <v>3.51</v>
      </c>
      <c r="N57" s="59"/>
    </row>
    <row r="58" spans="1:14" hidden="1">
      <c r="A58" s="59">
        <v>19</v>
      </c>
      <c r="B58" s="59" t="s">
        <v>397</v>
      </c>
      <c r="C58" s="59" t="s">
        <v>23</v>
      </c>
      <c r="D58" s="24">
        <v>255</v>
      </c>
      <c r="E58" s="24">
        <v>141</v>
      </c>
      <c r="F58" s="24">
        <v>623</v>
      </c>
      <c r="G58" s="24">
        <v>1058</v>
      </c>
      <c r="H58" s="59">
        <v>80.849999999999994</v>
      </c>
      <c r="I58" s="59">
        <v>-41.12</v>
      </c>
      <c r="J58" s="59">
        <v>2.2200000000000002</v>
      </c>
      <c r="K58" s="59">
        <v>1.32</v>
      </c>
      <c r="L58" s="59">
        <v>1.33</v>
      </c>
      <c r="M58" s="59">
        <v>2.21</v>
      </c>
      <c r="N58" s="59"/>
    </row>
    <row r="59" spans="1:14">
      <c r="A59" s="59">
        <v>20</v>
      </c>
      <c r="B59" s="59" t="s">
        <v>719</v>
      </c>
      <c r="C59" s="59" t="s">
        <v>24</v>
      </c>
      <c r="D59" s="24">
        <v>235</v>
      </c>
      <c r="E59" s="24">
        <v>6</v>
      </c>
      <c r="F59" s="24">
        <v>587</v>
      </c>
      <c r="G59" s="24">
        <v>7</v>
      </c>
      <c r="H59" s="59">
        <v>3816.67</v>
      </c>
      <c r="I59" s="59">
        <v>8285.7099999999991</v>
      </c>
      <c r="J59" s="59">
        <v>2.0499999999999998</v>
      </c>
      <c r="K59" s="59">
        <v>1.24</v>
      </c>
      <c r="L59" s="59">
        <v>0.06</v>
      </c>
      <c r="M59" s="59">
        <v>0.01</v>
      </c>
      <c r="N59" s="59"/>
    </row>
    <row r="60" spans="1:14" hidden="1">
      <c r="A60" s="59">
        <v>21</v>
      </c>
      <c r="B60" s="59" t="s">
        <v>599</v>
      </c>
      <c r="C60" s="59" t="s">
        <v>23</v>
      </c>
      <c r="D60" s="24">
        <v>143</v>
      </c>
      <c r="E60" s="24">
        <v>201</v>
      </c>
      <c r="F60" s="24">
        <v>580</v>
      </c>
      <c r="G60" s="24">
        <v>554</v>
      </c>
      <c r="H60" s="59">
        <v>-28.86</v>
      </c>
      <c r="I60" s="59">
        <v>4.6900000000000004</v>
      </c>
      <c r="J60" s="59">
        <v>1.25</v>
      </c>
      <c r="K60" s="59">
        <v>1.23</v>
      </c>
      <c r="L60" s="59">
        <v>1.9</v>
      </c>
      <c r="M60" s="59">
        <v>1.1599999999999999</v>
      </c>
      <c r="N60" s="59"/>
    </row>
    <row r="61" spans="1:14">
      <c r="A61" s="59">
        <v>22</v>
      </c>
      <c r="B61" s="59" t="s">
        <v>103</v>
      </c>
      <c r="C61" s="59" t="s">
        <v>24</v>
      </c>
      <c r="D61" s="24">
        <v>144</v>
      </c>
      <c r="E61" s="24">
        <v>391</v>
      </c>
      <c r="F61" s="24">
        <v>566</v>
      </c>
      <c r="G61" s="24">
        <v>1219</v>
      </c>
      <c r="H61" s="59">
        <v>-63.17</v>
      </c>
      <c r="I61" s="59">
        <v>-53.57</v>
      </c>
      <c r="J61" s="59">
        <v>1.25</v>
      </c>
      <c r="K61" s="59">
        <v>1.2</v>
      </c>
      <c r="L61" s="59">
        <v>3.7</v>
      </c>
      <c r="M61" s="59">
        <v>2.54</v>
      </c>
      <c r="N61" s="59"/>
    </row>
    <row r="62" spans="1:14" hidden="1">
      <c r="A62" s="59">
        <v>23</v>
      </c>
      <c r="B62" s="59" t="s">
        <v>243</v>
      </c>
      <c r="C62" s="59" t="s">
        <v>23</v>
      </c>
      <c r="D62" s="24">
        <v>180</v>
      </c>
      <c r="E62" s="24">
        <v>91</v>
      </c>
      <c r="F62" s="24">
        <v>557</v>
      </c>
      <c r="G62" s="24">
        <v>481</v>
      </c>
      <c r="H62" s="59">
        <v>97.8</v>
      </c>
      <c r="I62" s="59">
        <v>15.8</v>
      </c>
      <c r="J62" s="59">
        <v>1.57</v>
      </c>
      <c r="K62" s="59">
        <v>1.18</v>
      </c>
      <c r="L62" s="59">
        <v>0.86</v>
      </c>
      <c r="M62" s="59">
        <v>1</v>
      </c>
      <c r="N62" s="59"/>
    </row>
    <row r="63" spans="1:14" hidden="1">
      <c r="A63" s="59">
        <v>24</v>
      </c>
      <c r="B63" s="59" t="s">
        <v>422</v>
      </c>
      <c r="C63" s="59" t="s">
        <v>23</v>
      </c>
      <c r="D63" s="24">
        <v>158</v>
      </c>
      <c r="E63" s="24">
        <v>176</v>
      </c>
      <c r="F63" s="24">
        <v>534</v>
      </c>
      <c r="G63" s="24">
        <v>631</v>
      </c>
      <c r="H63" s="59">
        <v>-10.23</v>
      </c>
      <c r="I63" s="59">
        <v>-15.37</v>
      </c>
      <c r="J63" s="59">
        <v>1.38</v>
      </c>
      <c r="K63" s="59">
        <v>1.1299999999999999</v>
      </c>
      <c r="L63" s="59">
        <v>1.67</v>
      </c>
      <c r="M63" s="59">
        <v>1.32</v>
      </c>
      <c r="N63" s="59"/>
    </row>
    <row r="64" spans="1:14">
      <c r="A64" s="59">
        <v>25</v>
      </c>
      <c r="B64" s="59" t="s">
        <v>1060</v>
      </c>
      <c r="C64" s="59" t="s">
        <v>24</v>
      </c>
      <c r="D64" s="24">
        <v>140</v>
      </c>
      <c r="E64" s="24">
        <v>0</v>
      </c>
      <c r="F64" s="24">
        <v>496</v>
      </c>
      <c r="G64" s="24">
        <v>0</v>
      </c>
      <c r="H64" s="59">
        <v>0</v>
      </c>
      <c r="I64" s="59">
        <v>0</v>
      </c>
      <c r="J64" s="59">
        <v>1.22</v>
      </c>
      <c r="K64" s="59">
        <v>1.05</v>
      </c>
      <c r="L64" s="59">
        <v>0</v>
      </c>
      <c r="M64" s="59">
        <v>0</v>
      </c>
      <c r="N64" s="59"/>
    </row>
    <row r="65" spans="1:14" hidden="1">
      <c r="A65" s="59">
        <v>26</v>
      </c>
      <c r="B65" s="59" t="s">
        <v>434</v>
      </c>
      <c r="C65" s="59" t="s">
        <v>23</v>
      </c>
      <c r="D65" s="24">
        <v>82</v>
      </c>
      <c r="E65" s="24">
        <v>73</v>
      </c>
      <c r="F65" s="24">
        <v>489</v>
      </c>
      <c r="G65" s="24">
        <v>631</v>
      </c>
      <c r="H65" s="59">
        <v>12.33</v>
      </c>
      <c r="I65" s="59">
        <v>-22.5</v>
      </c>
      <c r="J65" s="59">
        <v>0.71</v>
      </c>
      <c r="K65" s="59">
        <v>1.04</v>
      </c>
      <c r="L65" s="59">
        <v>0.69</v>
      </c>
      <c r="M65" s="59">
        <v>1.32</v>
      </c>
      <c r="N65" s="59"/>
    </row>
    <row r="66" spans="1:14" hidden="1">
      <c r="A66" s="59">
        <v>27</v>
      </c>
      <c r="B66" s="59" t="s">
        <v>672</v>
      </c>
      <c r="C66" s="59" t="s">
        <v>23</v>
      </c>
      <c r="D66" s="24">
        <v>155</v>
      </c>
      <c r="E66" s="24">
        <v>89</v>
      </c>
      <c r="F66" s="24">
        <v>485</v>
      </c>
      <c r="G66" s="24">
        <v>241</v>
      </c>
      <c r="H66" s="59">
        <v>74.16</v>
      </c>
      <c r="I66" s="59">
        <v>101.24</v>
      </c>
      <c r="J66" s="59">
        <v>1.35</v>
      </c>
      <c r="K66" s="59">
        <v>1.03</v>
      </c>
      <c r="L66" s="59">
        <v>0.84</v>
      </c>
      <c r="M66" s="59">
        <v>0.5</v>
      </c>
      <c r="N66" s="59"/>
    </row>
    <row r="67" spans="1:14">
      <c r="A67" s="59">
        <v>28</v>
      </c>
      <c r="B67" s="59" t="s">
        <v>718</v>
      </c>
      <c r="C67" s="59" t="s">
        <v>24</v>
      </c>
      <c r="D67" s="24">
        <v>181</v>
      </c>
      <c r="E67" s="24">
        <v>18</v>
      </c>
      <c r="F67" s="24">
        <v>462</v>
      </c>
      <c r="G67" s="24">
        <v>52</v>
      </c>
      <c r="H67" s="59">
        <v>905.56</v>
      </c>
      <c r="I67" s="59">
        <v>788.46</v>
      </c>
      <c r="J67" s="59">
        <v>1.58</v>
      </c>
      <c r="K67" s="59">
        <v>0.98</v>
      </c>
      <c r="L67" s="59">
        <v>0.17</v>
      </c>
      <c r="M67" s="59">
        <v>0.11</v>
      </c>
      <c r="N67" s="59"/>
    </row>
    <row r="68" spans="1:14">
      <c r="A68" s="59">
        <v>29</v>
      </c>
      <c r="B68" s="59" t="s">
        <v>148</v>
      </c>
      <c r="C68" s="59" t="s">
        <v>24</v>
      </c>
      <c r="D68" s="24">
        <v>151</v>
      </c>
      <c r="E68" s="24">
        <v>194</v>
      </c>
      <c r="F68" s="24">
        <v>445</v>
      </c>
      <c r="G68" s="24">
        <v>472</v>
      </c>
      <c r="H68" s="59">
        <v>-22.16</v>
      </c>
      <c r="I68" s="59">
        <v>-5.72</v>
      </c>
      <c r="J68" s="59">
        <v>1.32</v>
      </c>
      <c r="K68" s="59">
        <v>0.94</v>
      </c>
      <c r="L68" s="59">
        <v>1.84</v>
      </c>
      <c r="M68" s="59">
        <v>0.98</v>
      </c>
      <c r="N68" s="59"/>
    </row>
    <row r="69" spans="1:14" hidden="1">
      <c r="A69" s="59">
        <v>30</v>
      </c>
      <c r="B69" s="59" t="s">
        <v>403</v>
      </c>
      <c r="C69" s="59" t="s">
        <v>23</v>
      </c>
      <c r="D69" s="24">
        <v>41</v>
      </c>
      <c r="E69" s="24">
        <v>259</v>
      </c>
      <c r="F69" s="24">
        <v>437</v>
      </c>
      <c r="G69" s="24">
        <v>735</v>
      </c>
      <c r="H69" s="59">
        <v>-84.17</v>
      </c>
      <c r="I69" s="59">
        <v>-40.54</v>
      </c>
      <c r="J69" s="59">
        <v>0.36</v>
      </c>
      <c r="K69" s="59">
        <v>0.93</v>
      </c>
      <c r="L69" s="59">
        <v>2.4500000000000002</v>
      </c>
      <c r="M69" s="59">
        <v>1.53</v>
      </c>
      <c r="N69" s="59"/>
    </row>
    <row r="70" spans="1:14">
      <c r="A70" s="59">
        <v>31</v>
      </c>
      <c r="B70" s="59" t="s">
        <v>724</v>
      </c>
      <c r="C70" s="59" t="s">
        <v>24</v>
      </c>
      <c r="D70" s="24">
        <v>149</v>
      </c>
      <c r="E70" s="24">
        <v>20</v>
      </c>
      <c r="F70" s="24">
        <v>416</v>
      </c>
      <c r="G70" s="24">
        <v>20</v>
      </c>
      <c r="H70" s="59">
        <v>645</v>
      </c>
      <c r="I70" s="59">
        <v>1980</v>
      </c>
      <c r="J70" s="59">
        <v>1.3</v>
      </c>
      <c r="K70" s="59">
        <v>0.88</v>
      </c>
      <c r="L70" s="59">
        <v>0.19</v>
      </c>
      <c r="M70" s="59">
        <v>0.04</v>
      </c>
      <c r="N70" s="59"/>
    </row>
    <row r="71" spans="1:14">
      <c r="A71" s="59">
        <v>32</v>
      </c>
      <c r="B71" s="59" t="s">
        <v>674</v>
      </c>
      <c r="C71" s="59" t="s">
        <v>24</v>
      </c>
      <c r="D71" s="24">
        <v>133</v>
      </c>
      <c r="E71" s="24">
        <v>34</v>
      </c>
      <c r="F71" s="24">
        <v>405</v>
      </c>
      <c r="G71" s="24">
        <v>78</v>
      </c>
      <c r="H71" s="59">
        <v>291.18</v>
      </c>
      <c r="I71" s="59">
        <v>419.23</v>
      </c>
      <c r="J71" s="59">
        <v>1.1599999999999999</v>
      </c>
      <c r="K71" s="59">
        <v>0.86</v>
      </c>
      <c r="L71" s="59">
        <v>0.32</v>
      </c>
      <c r="M71" s="59">
        <v>0.16</v>
      </c>
      <c r="N71" s="59"/>
    </row>
    <row r="72" spans="1:14">
      <c r="A72" s="59">
        <v>33</v>
      </c>
      <c r="B72" s="59" t="s">
        <v>727</v>
      </c>
      <c r="C72" s="59" t="s">
        <v>24</v>
      </c>
      <c r="D72" s="24">
        <v>73</v>
      </c>
      <c r="E72" s="24">
        <v>64</v>
      </c>
      <c r="F72" s="24">
        <v>387</v>
      </c>
      <c r="G72" s="24">
        <v>64</v>
      </c>
      <c r="H72" s="59">
        <v>14.06</v>
      </c>
      <c r="I72" s="59">
        <v>504.69</v>
      </c>
      <c r="J72" s="59">
        <v>0.64</v>
      </c>
      <c r="K72" s="59">
        <v>0.82</v>
      </c>
      <c r="L72" s="59">
        <v>0.61</v>
      </c>
      <c r="M72" s="59">
        <v>0.13</v>
      </c>
      <c r="N72" s="59"/>
    </row>
    <row r="73" spans="1:14">
      <c r="A73" s="59">
        <v>34</v>
      </c>
      <c r="B73" s="59" t="s">
        <v>1041</v>
      </c>
      <c r="C73" s="59" t="s">
        <v>24</v>
      </c>
      <c r="D73" s="24">
        <v>115</v>
      </c>
      <c r="E73" s="24">
        <v>0</v>
      </c>
      <c r="F73" s="24">
        <v>387</v>
      </c>
      <c r="G73" s="24">
        <v>0</v>
      </c>
      <c r="H73" s="59">
        <v>0</v>
      </c>
      <c r="I73" s="59">
        <v>0</v>
      </c>
      <c r="J73" s="59">
        <v>1</v>
      </c>
      <c r="K73" s="59">
        <v>0.82</v>
      </c>
      <c r="L73" s="59">
        <v>0</v>
      </c>
      <c r="M73" s="59">
        <v>0</v>
      </c>
      <c r="N73" s="59"/>
    </row>
    <row r="74" spans="1:14">
      <c r="A74" s="59">
        <v>35</v>
      </c>
      <c r="B74" s="59" t="s">
        <v>108</v>
      </c>
      <c r="C74" s="59" t="s">
        <v>24</v>
      </c>
      <c r="D74" s="24">
        <v>37</v>
      </c>
      <c r="E74" s="24">
        <v>107</v>
      </c>
      <c r="F74" s="24">
        <v>374</v>
      </c>
      <c r="G74" s="24">
        <v>393</v>
      </c>
      <c r="H74" s="59">
        <v>-65.42</v>
      </c>
      <c r="I74" s="59">
        <v>-4.83</v>
      </c>
      <c r="J74" s="59">
        <v>0.32</v>
      </c>
      <c r="K74" s="59">
        <v>0.79</v>
      </c>
      <c r="L74" s="59">
        <v>1.01</v>
      </c>
      <c r="M74" s="59">
        <v>0.82</v>
      </c>
      <c r="N74" s="59"/>
    </row>
    <row r="75" spans="1:14" hidden="1">
      <c r="A75" s="59">
        <v>36</v>
      </c>
      <c r="B75" s="59" t="s">
        <v>239</v>
      </c>
      <c r="C75" s="59" t="s">
        <v>23</v>
      </c>
      <c r="D75" s="24">
        <v>104</v>
      </c>
      <c r="E75" s="24">
        <v>112</v>
      </c>
      <c r="F75" s="24">
        <v>358</v>
      </c>
      <c r="G75" s="24">
        <v>778</v>
      </c>
      <c r="H75" s="59">
        <v>-7.14</v>
      </c>
      <c r="I75" s="59">
        <v>-53.98</v>
      </c>
      <c r="J75" s="59">
        <v>0.91</v>
      </c>
      <c r="K75" s="59">
        <v>0.76</v>
      </c>
      <c r="L75" s="59">
        <v>1.06</v>
      </c>
      <c r="M75" s="59">
        <v>1.62</v>
      </c>
      <c r="N75" s="59"/>
    </row>
    <row r="76" spans="1:14">
      <c r="A76" s="59">
        <v>37</v>
      </c>
      <c r="B76" s="59" t="s">
        <v>666</v>
      </c>
      <c r="C76" s="59" t="s">
        <v>24</v>
      </c>
      <c r="D76" s="24">
        <v>74</v>
      </c>
      <c r="E76" s="24">
        <v>92</v>
      </c>
      <c r="F76" s="24">
        <v>341</v>
      </c>
      <c r="G76" s="24">
        <v>185</v>
      </c>
      <c r="H76" s="59">
        <v>-19.57</v>
      </c>
      <c r="I76" s="59">
        <v>84.32</v>
      </c>
      <c r="J76" s="59">
        <v>0.64</v>
      </c>
      <c r="K76" s="59">
        <v>0.72</v>
      </c>
      <c r="L76" s="59">
        <v>0.87</v>
      </c>
      <c r="M76" s="59">
        <v>0.39</v>
      </c>
      <c r="N76" s="59"/>
    </row>
    <row r="77" spans="1:14" hidden="1">
      <c r="A77" s="59">
        <v>38</v>
      </c>
      <c r="B77" s="59" t="s">
        <v>1062</v>
      </c>
      <c r="C77" s="59" t="s">
        <v>23</v>
      </c>
      <c r="D77" s="24">
        <v>111</v>
      </c>
      <c r="E77" s="24">
        <v>0</v>
      </c>
      <c r="F77" s="24">
        <v>323</v>
      </c>
      <c r="G77" s="24">
        <v>0</v>
      </c>
      <c r="H77" s="59">
        <v>0</v>
      </c>
      <c r="I77" s="59">
        <v>0</v>
      </c>
      <c r="J77" s="59">
        <v>0.97</v>
      </c>
      <c r="K77" s="59">
        <v>0.68</v>
      </c>
      <c r="L77" s="59">
        <v>0</v>
      </c>
      <c r="M77" s="59">
        <v>0</v>
      </c>
      <c r="N77" s="59"/>
    </row>
    <row r="78" spans="1:14">
      <c r="A78" s="59">
        <v>39</v>
      </c>
      <c r="B78" s="59" t="s">
        <v>613</v>
      </c>
      <c r="C78" s="59" t="s">
        <v>24</v>
      </c>
      <c r="D78" s="24">
        <v>58</v>
      </c>
      <c r="E78" s="24">
        <v>233</v>
      </c>
      <c r="F78" s="24">
        <v>318</v>
      </c>
      <c r="G78" s="24">
        <v>563</v>
      </c>
      <c r="H78" s="59">
        <v>-75.11</v>
      </c>
      <c r="I78" s="59">
        <v>-43.52</v>
      </c>
      <c r="J78" s="59">
        <v>0.51</v>
      </c>
      <c r="K78" s="59">
        <v>0.67</v>
      </c>
      <c r="L78" s="59">
        <v>2.2000000000000002</v>
      </c>
      <c r="M78" s="59">
        <v>1.17</v>
      </c>
      <c r="N78" s="59"/>
    </row>
    <row r="79" spans="1:14" hidden="1">
      <c r="A79" s="59">
        <v>40</v>
      </c>
      <c r="B79" s="59" t="s">
        <v>514</v>
      </c>
      <c r="C79" s="59" t="s">
        <v>23</v>
      </c>
      <c r="D79" s="24">
        <v>92</v>
      </c>
      <c r="E79" s="24">
        <v>16</v>
      </c>
      <c r="F79" s="24">
        <v>315</v>
      </c>
      <c r="G79" s="24">
        <v>149</v>
      </c>
      <c r="H79" s="59">
        <v>475</v>
      </c>
      <c r="I79" s="59">
        <v>111.41</v>
      </c>
      <c r="J79" s="59">
        <v>0.8</v>
      </c>
      <c r="K79" s="59">
        <v>0.67</v>
      </c>
      <c r="L79" s="59">
        <v>0.15</v>
      </c>
      <c r="M79" s="59">
        <v>0.31</v>
      </c>
      <c r="N79" s="59"/>
    </row>
    <row r="80" spans="1:14" hidden="1">
      <c r="A80" s="59">
        <v>41</v>
      </c>
      <c r="B80" s="59" t="s">
        <v>417</v>
      </c>
      <c r="C80" s="59" t="s">
        <v>23</v>
      </c>
      <c r="D80" s="24">
        <v>98</v>
      </c>
      <c r="E80" s="24">
        <v>134</v>
      </c>
      <c r="F80" s="24">
        <v>307</v>
      </c>
      <c r="G80" s="24">
        <v>944</v>
      </c>
      <c r="H80" s="59">
        <v>-26.87</v>
      </c>
      <c r="I80" s="59">
        <v>-67.48</v>
      </c>
      <c r="J80" s="59">
        <v>0.85</v>
      </c>
      <c r="K80" s="59">
        <v>0.65</v>
      </c>
      <c r="L80" s="59">
        <v>1.27</v>
      </c>
      <c r="M80" s="59">
        <v>1.97</v>
      </c>
      <c r="N80" s="59"/>
    </row>
    <row r="81" spans="1:14">
      <c r="A81" s="59">
        <v>42</v>
      </c>
      <c r="B81" s="59" t="s">
        <v>667</v>
      </c>
      <c r="C81" s="59" t="s">
        <v>24</v>
      </c>
      <c r="D81" s="24">
        <v>106</v>
      </c>
      <c r="E81" s="24">
        <v>0</v>
      </c>
      <c r="F81" s="24">
        <v>307</v>
      </c>
      <c r="G81" s="24">
        <v>0</v>
      </c>
      <c r="H81" s="59">
        <v>0</v>
      </c>
      <c r="I81" s="59">
        <v>0</v>
      </c>
      <c r="J81" s="59">
        <v>0.92</v>
      </c>
      <c r="K81" s="59">
        <v>0.65</v>
      </c>
      <c r="L81" s="59">
        <v>0</v>
      </c>
      <c r="M81" s="59">
        <v>0</v>
      </c>
      <c r="N81" s="59"/>
    </row>
    <row r="82" spans="1:14">
      <c r="A82" s="59">
        <v>43</v>
      </c>
      <c r="B82" s="59" t="s">
        <v>520</v>
      </c>
      <c r="C82" s="59" t="s">
        <v>24</v>
      </c>
      <c r="D82" s="24">
        <v>68</v>
      </c>
      <c r="E82" s="24">
        <v>24</v>
      </c>
      <c r="F82" s="24">
        <v>301</v>
      </c>
      <c r="G82" s="24">
        <v>175</v>
      </c>
      <c r="H82" s="59">
        <v>183.33</v>
      </c>
      <c r="I82" s="59">
        <v>72</v>
      </c>
      <c r="J82" s="59">
        <v>0.59</v>
      </c>
      <c r="K82" s="59">
        <v>0.64</v>
      </c>
      <c r="L82" s="59">
        <v>0.23</v>
      </c>
      <c r="M82" s="59">
        <v>0.36</v>
      </c>
      <c r="N82" s="59"/>
    </row>
    <row r="83" spans="1:14" hidden="1">
      <c r="A83" s="59">
        <v>44</v>
      </c>
      <c r="B83" s="59" t="s">
        <v>378</v>
      </c>
      <c r="C83" s="59" t="s">
        <v>23</v>
      </c>
      <c r="D83" s="24">
        <v>98</v>
      </c>
      <c r="E83" s="24">
        <v>17</v>
      </c>
      <c r="F83" s="24">
        <v>300</v>
      </c>
      <c r="G83" s="24">
        <v>102</v>
      </c>
      <c r="H83" s="59">
        <v>476.47</v>
      </c>
      <c r="I83" s="59">
        <v>194.12</v>
      </c>
      <c r="J83" s="59">
        <v>0.85</v>
      </c>
      <c r="K83" s="59">
        <v>0.64</v>
      </c>
      <c r="L83" s="59">
        <v>0.16</v>
      </c>
      <c r="M83" s="59">
        <v>0.21</v>
      </c>
      <c r="N83" s="59"/>
    </row>
    <row r="84" spans="1:14">
      <c r="A84" s="59">
        <v>45</v>
      </c>
      <c r="B84" s="59" t="s">
        <v>508</v>
      </c>
      <c r="C84" s="59" t="s">
        <v>24</v>
      </c>
      <c r="D84" s="24">
        <v>4</v>
      </c>
      <c r="E84" s="24">
        <v>60</v>
      </c>
      <c r="F84" s="24">
        <v>300</v>
      </c>
      <c r="G84" s="24">
        <v>83</v>
      </c>
      <c r="H84" s="59">
        <v>-93.33</v>
      </c>
      <c r="I84" s="59">
        <v>261.45</v>
      </c>
      <c r="J84" s="59">
        <v>0.03</v>
      </c>
      <c r="K84" s="59">
        <v>0.64</v>
      </c>
      <c r="L84" s="59">
        <v>0.56999999999999995</v>
      </c>
      <c r="M84" s="59">
        <v>0.17</v>
      </c>
      <c r="N84" s="59"/>
    </row>
    <row r="85" spans="1:14" hidden="1">
      <c r="A85" s="59">
        <v>46</v>
      </c>
      <c r="B85" s="59" t="s">
        <v>515</v>
      </c>
      <c r="C85" s="59" t="s">
        <v>23</v>
      </c>
      <c r="D85" s="24">
        <v>107</v>
      </c>
      <c r="E85" s="24">
        <v>114</v>
      </c>
      <c r="F85" s="24">
        <v>296</v>
      </c>
      <c r="G85" s="24">
        <v>583</v>
      </c>
      <c r="H85" s="59">
        <v>-6.14</v>
      </c>
      <c r="I85" s="59">
        <v>-49.23</v>
      </c>
      <c r="J85" s="59">
        <v>0.93</v>
      </c>
      <c r="K85" s="59">
        <v>0.63</v>
      </c>
      <c r="L85" s="59">
        <v>1.08</v>
      </c>
      <c r="M85" s="59">
        <v>1.22</v>
      </c>
      <c r="N85" s="59"/>
    </row>
    <row r="86" spans="1:14">
      <c r="A86" s="59">
        <v>47</v>
      </c>
      <c r="B86" s="59" t="s">
        <v>627</v>
      </c>
      <c r="C86" s="59" t="s">
        <v>24</v>
      </c>
      <c r="D86" s="24">
        <v>50</v>
      </c>
      <c r="E86" s="24">
        <v>23</v>
      </c>
      <c r="F86" s="24">
        <v>282</v>
      </c>
      <c r="G86" s="24">
        <v>264</v>
      </c>
      <c r="H86" s="59">
        <v>117.39</v>
      </c>
      <c r="I86" s="59">
        <v>6.82</v>
      </c>
      <c r="J86" s="59">
        <v>0.44</v>
      </c>
      <c r="K86" s="59">
        <v>0.6</v>
      </c>
      <c r="L86" s="59">
        <v>0.22</v>
      </c>
      <c r="M86" s="59">
        <v>0.55000000000000004</v>
      </c>
      <c r="N86" s="59"/>
    </row>
    <row r="87" spans="1:14" hidden="1">
      <c r="A87" s="59">
        <v>48</v>
      </c>
      <c r="B87" s="59" t="s">
        <v>446</v>
      </c>
      <c r="C87" s="59" t="s">
        <v>23</v>
      </c>
      <c r="D87" s="24">
        <v>114</v>
      </c>
      <c r="E87" s="24">
        <v>126</v>
      </c>
      <c r="F87" s="24">
        <v>270</v>
      </c>
      <c r="G87" s="24">
        <v>845</v>
      </c>
      <c r="H87" s="59">
        <v>-9.52</v>
      </c>
      <c r="I87" s="59">
        <v>-68.05</v>
      </c>
      <c r="J87" s="59">
        <v>0.99</v>
      </c>
      <c r="K87" s="59">
        <v>0.56999999999999995</v>
      </c>
      <c r="L87" s="59">
        <v>1.19</v>
      </c>
      <c r="M87" s="59">
        <v>1.76</v>
      </c>
      <c r="N87" s="59"/>
    </row>
    <row r="88" spans="1:14">
      <c r="A88" s="59">
        <v>49</v>
      </c>
      <c r="B88" s="59" t="s">
        <v>383</v>
      </c>
      <c r="C88" s="59" t="s">
        <v>24</v>
      </c>
      <c r="D88" s="24">
        <v>56</v>
      </c>
      <c r="E88" s="24">
        <v>40</v>
      </c>
      <c r="F88" s="24">
        <v>257</v>
      </c>
      <c r="G88" s="24">
        <v>315</v>
      </c>
      <c r="H88" s="59">
        <v>40</v>
      </c>
      <c r="I88" s="59">
        <v>-18.41</v>
      </c>
      <c r="J88" s="59">
        <v>0.49</v>
      </c>
      <c r="K88" s="59">
        <v>0.54</v>
      </c>
      <c r="L88" s="59">
        <v>0.38</v>
      </c>
      <c r="M88" s="59">
        <v>0.66</v>
      </c>
      <c r="N88" s="59"/>
    </row>
    <row r="89" spans="1:14">
      <c r="A89" s="59">
        <v>50</v>
      </c>
      <c r="B89" s="59" t="s">
        <v>423</v>
      </c>
      <c r="C89" s="59" t="s">
        <v>24</v>
      </c>
      <c r="D89" s="24">
        <v>56</v>
      </c>
      <c r="E89" s="24">
        <v>52</v>
      </c>
      <c r="F89" s="24">
        <v>249</v>
      </c>
      <c r="G89" s="24">
        <v>291</v>
      </c>
      <c r="H89" s="59">
        <v>7.69</v>
      </c>
      <c r="I89" s="59">
        <v>-14.43</v>
      </c>
      <c r="J89" s="59">
        <v>0.49</v>
      </c>
      <c r="K89" s="59">
        <v>0.53</v>
      </c>
      <c r="L89" s="59">
        <v>0.49</v>
      </c>
      <c r="M89" s="59">
        <v>0.61</v>
      </c>
      <c r="N89" s="59"/>
    </row>
    <row r="90" spans="1:14" hidden="1">
      <c r="A90" s="59">
        <v>51</v>
      </c>
      <c r="B90" s="59" t="s">
        <v>246</v>
      </c>
      <c r="C90" s="59" t="s">
        <v>23</v>
      </c>
      <c r="D90" s="24">
        <v>52</v>
      </c>
      <c r="E90" s="24">
        <v>1</v>
      </c>
      <c r="F90" s="24">
        <v>240</v>
      </c>
      <c r="G90" s="24">
        <v>1</v>
      </c>
      <c r="H90" s="59">
        <v>5100</v>
      </c>
      <c r="I90" s="59">
        <v>23900</v>
      </c>
      <c r="J90" s="59">
        <v>0.45</v>
      </c>
      <c r="K90" s="59">
        <v>0.51</v>
      </c>
      <c r="L90" s="59">
        <v>0.01</v>
      </c>
      <c r="M90" s="59">
        <v>0</v>
      </c>
      <c r="N90" s="59"/>
    </row>
    <row r="91" spans="1:14">
      <c r="A91" s="59">
        <v>52</v>
      </c>
      <c r="B91" s="59" t="s">
        <v>585</v>
      </c>
      <c r="C91" s="59" t="s">
        <v>24</v>
      </c>
      <c r="D91" s="24">
        <v>92</v>
      </c>
      <c r="E91" s="24">
        <v>24</v>
      </c>
      <c r="F91" s="24">
        <v>239</v>
      </c>
      <c r="G91" s="24">
        <v>172</v>
      </c>
      <c r="H91" s="59">
        <v>283.33</v>
      </c>
      <c r="I91" s="59">
        <v>38.950000000000003</v>
      </c>
      <c r="J91" s="59">
        <v>0.8</v>
      </c>
      <c r="K91" s="59">
        <v>0.51</v>
      </c>
      <c r="L91" s="59">
        <v>0.23</v>
      </c>
      <c r="M91" s="59">
        <v>0.36</v>
      </c>
      <c r="N91" s="59"/>
    </row>
    <row r="92" spans="1:14">
      <c r="A92" s="59">
        <v>53</v>
      </c>
      <c r="B92" s="59" t="s">
        <v>587</v>
      </c>
      <c r="C92" s="59" t="s">
        <v>24</v>
      </c>
      <c r="D92" s="24">
        <v>77</v>
      </c>
      <c r="E92" s="24">
        <v>37</v>
      </c>
      <c r="F92" s="24">
        <v>236</v>
      </c>
      <c r="G92" s="24">
        <v>99</v>
      </c>
      <c r="H92" s="67">
        <v>108.11</v>
      </c>
      <c r="I92" s="67">
        <v>138.38</v>
      </c>
      <c r="J92" s="59">
        <v>0.67</v>
      </c>
      <c r="K92" s="59">
        <v>0.5</v>
      </c>
      <c r="L92" s="59">
        <v>0.35</v>
      </c>
      <c r="M92" s="59">
        <v>0.21</v>
      </c>
      <c r="N92" s="59"/>
    </row>
    <row r="93" spans="1:14">
      <c r="A93" s="59">
        <v>54</v>
      </c>
      <c r="B93" s="59" t="s">
        <v>1167</v>
      </c>
      <c r="C93" s="59" t="s">
        <v>24</v>
      </c>
      <c r="D93" s="24">
        <v>190</v>
      </c>
      <c r="E93" s="24">
        <v>0</v>
      </c>
      <c r="F93" s="24">
        <v>234</v>
      </c>
      <c r="G93" s="24">
        <v>0</v>
      </c>
      <c r="H93" s="85">
        <v>0</v>
      </c>
      <c r="I93" s="85">
        <v>0</v>
      </c>
      <c r="J93" s="59">
        <v>1.66</v>
      </c>
      <c r="K93" s="59">
        <v>0.5</v>
      </c>
      <c r="L93" s="59">
        <v>0</v>
      </c>
      <c r="M93" s="59">
        <v>0</v>
      </c>
      <c r="N93" s="59"/>
    </row>
    <row r="94" spans="1:14">
      <c r="A94" s="59">
        <v>55</v>
      </c>
      <c r="B94" s="59" t="s">
        <v>1047</v>
      </c>
      <c r="C94" s="59" t="s">
        <v>24</v>
      </c>
      <c r="D94" s="24">
        <v>83</v>
      </c>
      <c r="E94" s="24">
        <v>0</v>
      </c>
      <c r="F94" s="24">
        <v>232</v>
      </c>
      <c r="G94" s="24">
        <v>0</v>
      </c>
      <c r="H94" s="59">
        <v>0</v>
      </c>
      <c r="I94" s="59">
        <v>0</v>
      </c>
      <c r="J94" s="59">
        <v>0.72</v>
      </c>
      <c r="K94" s="59">
        <v>0.49</v>
      </c>
      <c r="L94" s="59">
        <v>0</v>
      </c>
      <c r="M94" s="59">
        <v>0</v>
      </c>
      <c r="N94" s="59"/>
    </row>
    <row r="95" spans="1:14">
      <c r="A95" s="59">
        <v>56</v>
      </c>
      <c r="B95" s="59" t="s">
        <v>1057</v>
      </c>
      <c r="C95" s="59" t="s">
        <v>24</v>
      </c>
      <c r="D95" s="24">
        <v>60</v>
      </c>
      <c r="E95" s="24">
        <v>0</v>
      </c>
      <c r="F95" s="24">
        <v>232</v>
      </c>
      <c r="G95" s="24">
        <v>0</v>
      </c>
      <c r="H95" s="59">
        <v>0</v>
      </c>
      <c r="I95" s="59">
        <v>0</v>
      </c>
      <c r="J95" s="59">
        <v>0.52</v>
      </c>
      <c r="K95" s="59">
        <v>0.49</v>
      </c>
      <c r="L95" s="59">
        <v>0</v>
      </c>
      <c r="M95" s="59">
        <v>0</v>
      </c>
      <c r="N95" s="59"/>
    </row>
    <row r="96" spans="1:14" hidden="1">
      <c r="A96" s="59">
        <v>57</v>
      </c>
      <c r="B96" s="59" t="s">
        <v>427</v>
      </c>
      <c r="C96" s="59" t="s">
        <v>23</v>
      </c>
      <c r="D96" s="24">
        <v>40</v>
      </c>
      <c r="E96" s="24">
        <v>34</v>
      </c>
      <c r="F96" s="24">
        <v>228</v>
      </c>
      <c r="G96" s="24">
        <v>100</v>
      </c>
      <c r="H96" s="59">
        <v>17.649999999999999</v>
      </c>
      <c r="I96" s="59">
        <v>128</v>
      </c>
      <c r="J96" s="59">
        <v>0.35</v>
      </c>
      <c r="K96" s="59">
        <v>0.48</v>
      </c>
      <c r="L96" s="59">
        <v>0.32</v>
      </c>
      <c r="M96" s="59">
        <v>0.21</v>
      </c>
      <c r="N96" s="59"/>
    </row>
    <row r="97" spans="1:14" hidden="1">
      <c r="A97" s="59">
        <v>58</v>
      </c>
      <c r="B97" s="59" t="s">
        <v>127</v>
      </c>
      <c r="C97" s="59" t="s">
        <v>23</v>
      </c>
      <c r="D97" s="24">
        <v>29</v>
      </c>
      <c r="E97" s="24">
        <v>56</v>
      </c>
      <c r="F97" s="24">
        <v>221</v>
      </c>
      <c r="G97" s="24">
        <v>247</v>
      </c>
      <c r="H97" s="59">
        <v>-48.21</v>
      </c>
      <c r="I97" s="59">
        <v>-10.53</v>
      </c>
      <c r="J97" s="59">
        <v>0.25</v>
      </c>
      <c r="K97" s="59">
        <v>0.47</v>
      </c>
      <c r="L97" s="59">
        <v>0.53</v>
      </c>
      <c r="M97" s="59">
        <v>0.52</v>
      </c>
      <c r="N97" s="59"/>
    </row>
    <row r="98" spans="1:14">
      <c r="A98" s="59">
        <v>59</v>
      </c>
      <c r="B98" s="59" t="s">
        <v>688</v>
      </c>
      <c r="C98" s="59" t="s">
        <v>24</v>
      </c>
      <c r="D98" s="24">
        <v>61</v>
      </c>
      <c r="E98" s="24">
        <v>14</v>
      </c>
      <c r="F98" s="24">
        <v>221</v>
      </c>
      <c r="G98" s="24">
        <v>148</v>
      </c>
      <c r="H98" s="59">
        <v>335.71</v>
      </c>
      <c r="I98" s="59">
        <v>49.32</v>
      </c>
      <c r="J98" s="59">
        <v>0.53</v>
      </c>
      <c r="K98" s="59">
        <v>0.47</v>
      </c>
      <c r="L98" s="59">
        <v>0.13</v>
      </c>
      <c r="M98" s="59">
        <v>0.31</v>
      </c>
      <c r="N98" s="59"/>
    </row>
    <row r="99" spans="1:14">
      <c r="A99" s="59">
        <v>60</v>
      </c>
      <c r="B99" s="59" t="s">
        <v>433</v>
      </c>
      <c r="C99" s="59" t="s">
        <v>24</v>
      </c>
      <c r="D99" s="24">
        <v>22</v>
      </c>
      <c r="E99" s="24">
        <v>26</v>
      </c>
      <c r="F99" s="24">
        <v>219</v>
      </c>
      <c r="G99" s="24">
        <v>464</v>
      </c>
      <c r="H99" s="59">
        <v>-15.38</v>
      </c>
      <c r="I99" s="59">
        <v>-52.8</v>
      </c>
      <c r="J99" s="59">
        <v>0.19</v>
      </c>
      <c r="K99" s="59">
        <v>0.46</v>
      </c>
      <c r="L99" s="59">
        <v>0.25</v>
      </c>
      <c r="M99" s="59">
        <v>0.97</v>
      </c>
      <c r="N99" s="59"/>
    </row>
    <row r="100" spans="1:14" hidden="1">
      <c r="A100" s="59">
        <v>61</v>
      </c>
      <c r="B100" s="59" t="s">
        <v>394</v>
      </c>
      <c r="C100" s="59" t="s">
        <v>23</v>
      </c>
      <c r="D100" s="24">
        <v>51</v>
      </c>
      <c r="E100" s="24">
        <v>130</v>
      </c>
      <c r="F100" s="24">
        <v>208</v>
      </c>
      <c r="G100" s="24">
        <v>452</v>
      </c>
      <c r="H100" s="59">
        <v>-60.77</v>
      </c>
      <c r="I100" s="59">
        <v>-53.98</v>
      </c>
      <c r="J100" s="59">
        <v>0.44</v>
      </c>
      <c r="K100" s="59">
        <v>0.44</v>
      </c>
      <c r="L100" s="59">
        <v>1.23</v>
      </c>
      <c r="M100" s="59">
        <v>0.94</v>
      </c>
      <c r="N100" s="59"/>
    </row>
    <row r="101" spans="1:14">
      <c r="A101" s="59">
        <v>62</v>
      </c>
      <c r="B101" s="59" t="s">
        <v>428</v>
      </c>
      <c r="C101" s="59" t="s">
        <v>24</v>
      </c>
      <c r="D101" s="24">
        <v>37</v>
      </c>
      <c r="E101" s="24">
        <v>39</v>
      </c>
      <c r="F101" s="24">
        <v>166</v>
      </c>
      <c r="G101" s="24">
        <v>234</v>
      </c>
      <c r="H101" s="59">
        <v>-5.13</v>
      </c>
      <c r="I101" s="59">
        <v>-29.06</v>
      </c>
      <c r="J101" s="59">
        <v>0.32</v>
      </c>
      <c r="K101" s="59">
        <v>0.35</v>
      </c>
      <c r="L101" s="59">
        <v>0.37</v>
      </c>
      <c r="M101" s="59">
        <v>0.49</v>
      </c>
      <c r="N101" s="59"/>
    </row>
    <row r="102" spans="1:14" hidden="1">
      <c r="A102" s="59">
        <v>63</v>
      </c>
      <c r="B102" s="59" t="s">
        <v>453</v>
      </c>
      <c r="C102" s="59" t="s">
        <v>23</v>
      </c>
      <c r="D102" s="24">
        <v>17</v>
      </c>
      <c r="E102" s="24">
        <v>66</v>
      </c>
      <c r="F102" s="24">
        <v>153</v>
      </c>
      <c r="G102" s="24">
        <v>298</v>
      </c>
      <c r="H102" s="59">
        <v>-74.239999999999995</v>
      </c>
      <c r="I102" s="59">
        <v>-48.66</v>
      </c>
      <c r="J102" s="59">
        <v>0.15</v>
      </c>
      <c r="K102" s="59">
        <v>0.32</v>
      </c>
      <c r="L102" s="59">
        <v>0.62</v>
      </c>
      <c r="M102" s="59">
        <v>0.62</v>
      </c>
      <c r="N102" s="59"/>
    </row>
    <row r="103" spans="1:14" hidden="1">
      <c r="A103" s="59">
        <v>64</v>
      </c>
      <c r="B103" s="59" t="s">
        <v>372</v>
      </c>
      <c r="C103" s="59" t="s">
        <v>23</v>
      </c>
      <c r="D103" s="24">
        <v>28</v>
      </c>
      <c r="E103" s="24">
        <v>68</v>
      </c>
      <c r="F103" s="24">
        <v>148</v>
      </c>
      <c r="G103" s="24">
        <v>234</v>
      </c>
      <c r="H103" s="59">
        <v>-58.82</v>
      </c>
      <c r="I103" s="59">
        <v>-36.75</v>
      </c>
      <c r="J103" s="59">
        <v>0.24</v>
      </c>
      <c r="K103" s="59">
        <v>0.31</v>
      </c>
      <c r="L103" s="59">
        <v>0.64</v>
      </c>
      <c r="M103" s="59">
        <v>0.49</v>
      </c>
      <c r="N103" s="59"/>
    </row>
    <row r="104" spans="1:14" hidden="1">
      <c r="A104" s="59">
        <v>65</v>
      </c>
      <c r="B104" s="59" t="s">
        <v>419</v>
      </c>
      <c r="C104" s="59" t="s">
        <v>23</v>
      </c>
      <c r="D104" s="24">
        <v>39</v>
      </c>
      <c r="E104" s="24">
        <v>64</v>
      </c>
      <c r="F104" s="24">
        <v>145</v>
      </c>
      <c r="G104" s="24">
        <v>171</v>
      </c>
      <c r="H104" s="59">
        <v>-39.06</v>
      </c>
      <c r="I104" s="59">
        <v>-15.2</v>
      </c>
      <c r="J104" s="59">
        <v>0.34</v>
      </c>
      <c r="K104" s="59">
        <v>0.31</v>
      </c>
      <c r="L104" s="59">
        <v>0.61</v>
      </c>
      <c r="M104" s="59">
        <v>0.36</v>
      </c>
      <c r="N104" s="59"/>
    </row>
    <row r="105" spans="1:14" hidden="1">
      <c r="A105" s="59">
        <v>66</v>
      </c>
      <c r="B105" s="59" t="s">
        <v>614</v>
      </c>
      <c r="C105" s="59" t="s">
        <v>23</v>
      </c>
      <c r="D105" s="24">
        <v>5</v>
      </c>
      <c r="E105" s="24">
        <v>49</v>
      </c>
      <c r="F105" s="24">
        <v>142</v>
      </c>
      <c r="G105" s="24">
        <v>765</v>
      </c>
      <c r="H105" s="59">
        <v>-89.8</v>
      </c>
      <c r="I105" s="59">
        <v>-81.44</v>
      </c>
      <c r="J105" s="59">
        <v>0.04</v>
      </c>
      <c r="K105" s="59">
        <v>0.3</v>
      </c>
      <c r="L105" s="59">
        <v>0.46</v>
      </c>
      <c r="M105" s="59">
        <v>1.6</v>
      </c>
      <c r="N105" s="59"/>
    </row>
    <row r="106" spans="1:14" hidden="1">
      <c r="A106" s="59">
        <v>67</v>
      </c>
      <c r="B106" s="59" t="s">
        <v>396</v>
      </c>
      <c r="C106" s="59" t="s">
        <v>23</v>
      </c>
      <c r="D106" s="24">
        <v>6</v>
      </c>
      <c r="E106" s="24">
        <v>45</v>
      </c>
      <c r="F106" s="24">
        <v>137</v>
      </c>
      <c r="G106" s="24">
        <v>263</v>
      </c>
      <c r="H106" s="59">
        <v>-86.67</v>
      </c>
      <c r="I106" s="59">
        <v>-47.91</v>
      </c>
      <c r="J106" s="59">
        <v>0.05</v>
      </c>
      <c r="K106" s="59">
        <v>0.28999999999999998</v>
      </c>
      <c r="L106" s="59">
        <v>0.43</v>
      </c>
      <c r="M106" s="59">
        <v>0.55000000000000004</v>
      </c>
      <c r="N106" s="59"/>
    </row>
    <row r="107" spans="1:14" hidden="1">
      <c r="A107" s="59">
        <v>68</v>
      </c>
      <c r="B107" s="59" t="s">
        <v>412</v>
      </c>
      <c r="C107" s="59" t="s">
        <v>23</v>
      </c>
      <c r="D107" s="24">
        <v>64</v>
      </c>
      <c r="E107" s="24">
        <v>113</v>
      </c>
      <c r="F107" s="24">
        <v>134</v>
      </c>
      <c r="G107" s="24">
        <v>349</v>
      </c>
      <c r="H107" s="59">
        <v>-43.36</v>
      </c>
      <c r="I107" s="59">
        <v>-61.6</v>
      </c>
      <c r="J107" s="59">
        <v>0.56000000000000005</v>
      </c>
      <c r="K107" s="59">
        <v>0.28000000000000003</v>
      </c>
      <c r="L107" s="59">
        <v>1.07</v>
      </c>
      <c r="M107" s="59">
        <v>0.73</v>
      </c>
      <c r="N107" s="59"/>
    </row>
    <row r="108" spans="1:14" hidden="1">
      <c r="A108" s="59">
        <v>69</v>
      </c>
      <c r="B108" s="59" t="s">
        <v>240</v>
      </c>
      <c r="C108" s="59" t="s">
        <v>23</v>
      </c>
      <c r="D108" s="24">
        <v>38</v>
      </c>
      <c r="E108" s="24">
        <v>92</v>
      </c>
      <c r="F108" s="24">
        <v>132</v>
      </c>
      <c r="G108" s="24">
        <v>322</v>
      </c>
      <c r="H108" s="59">
        <v>-58.7</v>
      </c>
      <c r="I108" s="59">
        <v>-59.01</v>
      </c>
      <c r="J108" s="59">
        <v>0.33</v>
      </c>
      <c r="K108" s="59">
        <v>0.28000000000000003</v>
      </c>
      <c r="L108" s="59">
        <v>0.87</v>
      </c>
      <c r="M108" s="59">
        <v>0.67</v>
      </c>
      <c r="N108" s="59"/>
    </row>
    <row r="109" spans="1:14" hidden="1">
      <c r="A109" s="59">
        <v>70</v>
      </c>
      <c r="B109" s="59" t="s">
        <v>681</v>
      </c>
      <c r="C109" s="59" t="s">
        <v>23</v>
      </c>
      <c r="D109" s="24">
        <v>38</v>
      </c>
      <c r="E109" s="24">
        <v>40</v>
      </c>
      <c r="F109" s="24">
        <v>132</v>
      </c>
      <c r="G109" s="24">
        <v>101</v>
      </c>
      <c r="H109" s="59">
        <v>-5</v>
      </c>
      <c r="I109" s="59">
        <v>30.69</v>
      </c>
      <c r="J109" s="59">
        <v>0.33</v>
      </c>
      <c r="K109" s="59">
        <v>0.28000000000000003</v>
      </c>
      <c r="L109" s="59">
        <v>0.38</v>
      </c>
      <c r="M109" s="59">
        <v>0.21</v>
      </c>
      <c r="N109" s="59"/>
    </row>
    <row r="110" spans="1:14">
      <c r="A110" s="59">
        <v>71</v>
      </c>
      <c r="B110" s="59" t="s">
        <v>668</v>
      </c>
      <c r="C110" s="59" t="s">
        <v>24</v>
      </c>
      <c r="D110" s="24">
        <v>19</v>
      </c>
      <c r="E110" s="24">
        <v>29</v>
      </c>
      <c r="F110" s="24">
        <v>128</v>
      </c>
      <c r="G110" s="24">
        <v>105</v>
      </c>
      <c r="H110" s="59">
        <v>-34.479999999999997</v>
      </c>
      <c r="I110" s="59">
        <v>21.9</v>
      </c>
      <c r="J110" s="59">
        <v>0.17</v>
      </c>
      <c r="K110" s="59">
        <v>0.27</v>
      </c>
      <c r="L110" s="59">
        <v>0.27</v>
      </c>
      <c r="M110" s="59">
        <v>0.22</v>
      </c>
      <c r="N110" s="59"/>
    </row>
    <row r="111" spans="1:14" hidden="1">
      <c r="A111" s="59">
        <v>72</v>
      </c>
      <c r="B111" s="59" t="s">
        <v>424</v>
      </c>
      <c r="C111" s="59" t="s">
        <v>23</v>
      </c>
      <c r="D111" s="24">
        <v>41</v>
      </c>
      <c r="E111" s="24">
        <v>147</v>
      </c>
      <c r="F111" s="24">
        <v>125</v>
      </c>
      <c r="G111" s="24">
        <v>585</v>
      </c>
      <c r="H111" s="59">
        <v>-72.11</v>
      </c>
      <c r="I111" s="59">
        <v>-78.63</v>
      </c>
      <c r="J111" s="59">
        <v>0.36</v>
      </c>
      <c r="K111" s="59">
        <v>0.26</v>
      </c>
      <c r="L111" s="59">
        <v>1.39</v>
      </c>
      <c r="M111" s="59">
        <v>1.22</v>
      </c>
      <c r="N111" s="59"/>
    </row>
    <row r="112" spans="1:14" hidden="1">
      <c r="A112" s="59">
        <v>73</v>
      </c>
      <c r="B112" s="59" t="s">
        <v>84</v>
      </c>
      <c r="C112" s="59" t="s">
        <v>23</v>
      </c>
      <c r="D112" s="24">
        <v>44</v>
      </c>
      <c r="E112" s="24">
        <v>51</v>
      </c>
      <c r="F112" s="24">
        <v>124</v>
      </c>
      <c r="G112" s="24">
        <v>267</v>
      </c>
      <c r="H112" s="59">
        <v>-13.73</v>
      </c>
      <c r="I112" s="59">
        <v>-53.56</v>
      </c>
      <c r="J112" s="59">
        <v>0.38</v>
      </c>
      <c r="K112" s="59">
        <v>0.26</v>
      </c>
      <c r="L112" s="59">
        <v>0.48</v>
      </c>
      <c r="M112" s="59">
        <v>0.56000000000000005</v>
      </c>
      <c r="N112" s="59"/>
    </row>
    <row r="113" spans="1:14" hidden="1">
      <c r="A113" s="59">
        <v>74</v>
      </c>
      <c r="B113" s="59" t="s">
        <v>380</v>
      </c>
      <c r="C113" s="59" t="s">
        <v>23</v>
      </c>
      <c r="D113" s="24">
        <v>23</v>
      </c>
      <c r="E113" s="24">
        <v>146</v>
      </c>
      <c r="F113" s="24">
        <v>117</v>
      </c>
      <c r="G113" s="24">
        <v>522</v>
      </c>
      <c r="H113" s="59">
        <v>-84.25</v>
      </c>
      <c r="I113" s="59">
        <v>-77.59</v>
      </c>
      <c r="J113" s="59">
        <v>0.2</v>
      </c>
      <c r="K113" s="59">
        <v>0.25</v>
      </c>
      <c r="L113" s="59">
        <v>1.38</v>
      </c>
      <c r="M113" s="59">
        <v>1.0900000000000001</v>
      </c>
      <c r="N113" s="59"/>
    </row>
    <row r="114" spans="1:14" hidden="1">
      <c r="A114" s="59">
        <v>75</v>
      </c>
      <c r="B114" s="59" t="s">
        <v>395</v>
      </c>
      <c r="C114" s="59" t="s">
        <v>23</v>
      </c>
      <c r="D114" s="24">
        <v>24</v>
      </c>
      <c r="E114" s="24">
        <v>8</v>
      </c>
      <c r="F114" s="24">
        <v>112</v>
      </c>
      <c r="G114" s="24">
        <v>42</v>
      </c>
      <c r="H114" s="59">
        <v>200</v>
      </c>
      <c r="I114" s="59">
        <v>166.67</v>
      </c>
      <c r="J114" s="59">
        <v>0.21</v>
      </c>
      <c r="K114" s="59">
        <v>0.24</v>
      </c>
      <c r="L114" s="59">
        <v>0.08</v>
      </c>
      <c r="M114" s="59">
        <v>0.09</v>
      </c>
      <c r="N114" s="59"/>
    </row>
    <row r="115" spans="1:14" hidden="1">
      <c r="A115" s="59">
        <v>76</v>
      </c>
      <c r="B115" s="59" t="s">
        <v>1074</v>
      </c>
      <c r="C115" s="59" t="s">
        <v>23</v>
      </c>
      <c r="D115" s="24">
        <v>30</v>
      </c>
      <c r="E115" s="24">
        <v>0</v>
      </c>
      <c r="F115" s="24">
        <v>112</v>
      </c>
      <c r="G115" s="24">
        <v>0</v>
      </c>
      <c r="H115" s="59">
        <v>0</v>
      </c>
      <c r="I115" s="59">
        <v>0</v>
      </c>
      <c r="J115" s="59">
        <v>0.26</v>
      </c>
      <c r="K115" s="59">
        <v>0.24</v>
      </c>
      <c r="L115" s="59">
        <v>0</v>
      </c>
      <c r="M115" s="59">
        <v>0</v>
      </c>
      <c r="N115" s="59"/>
    </row>
    <row r="116" spans="1:14">
      <c r="A116" s="59">
        <v>77</v>
      </c>
      <c r="B116" s="59" t="s">
        <v>598</v>
      </c>
      <c r="C116" s="59" t="s">
        <v>24</v>
      </c>
      <c r="D116" s="24">
        <v>10</v>
      </c>
      <c r="E116" s="24">
        <v>13</v>
      </c>
      <c r="F116" s="24">
        <v>101</v>
      </c>
      <c r="G116" s="24">
        <v>315</v>
      </c>
      <c r="H116" s="59">
        <v>-23.08</v>
      </c>
      <c r="I116" s="59">
        <v>-67.94</v>
      </c>
      <c r="J116" s="59">
        <v>0.09</v>
      </c>
      <c r="K116" s="59">
        <v>0.21</v>
      </c>
      <c r="L116" s="59">
        <v>0.12</v>
      </c>
      <c r="M116" s="59">
        <v>0.66</v>
      </c>
      <c r="N116" s="59"/>
    </row>
    <row r="117" spans="1:14" hidden="1">
      <c r="A117" s="59">
        <v>78</v>
      </c>
      <c r="B117" s="59" t="s">
        <v>436</v>
      </c>
      <c r="C117" s="59" t="s">
        <v>23</v>
      </c>
      <c r="D117" s="24">
        <v>22</v>
      </c>
      <c r="E117" s="24">
        <v>28</v>
      </c>
      <c r="F117" s="24">
        <v>100</v>
      </c>
      <c r="G117" s="24">
        <v>178</v>
      </c>
      <c r="H117" s="59">
        <v>-21.43</v>
      </c>
      <c r="I117" s="59">
        <v>-43.82</v>
      </c>
      <c r="J117" s="59">
        <v>0.19</v>
      </c>
      <c r="K117" s="59">
        <v>0.21</v>
      </c>
      <c r="L117" s="59">
        <v>0.26</v>
      </c>
      <c r="M117" s="59">
        <v>0.37</v>
      </c>
      <c r="N117" s="59"/>
    </row>
    <row r="118" spans="1:14" hidden="1">
      <c r="A118" s="59">
        <v>79</v>
      </c>
      <c r="B118" s="59" t="s">
        <v>184</v>
      </c>
      <c r="C118" s="59" t="s">
        <v>23</v>
      </c>
      <c r="D118" s="24">
        <v>24</v>
      </c>
      <c r="E118" s="24">
        <v>46</v>
      </c>
      <c r="F118" s="24">
        <v>100</v>
      </c>
      <c r="G118" s="24">
        <v>169</v>
      </c>
      <c r="H118" s="59">
        <v>-47.83</v>
      </c>
      <c r="I118" s="59">
        <v>-40.83</v>
      </c>
      <c r="J118" s="59">
        <v>0.21</v>
      </c>
      <c r="K118" s="59">
        <v>0.21</v>
      </c>
      <c r="L118" s="59">
        <v>0.44</v>
      </c>
      <c r="M118" s="59">
        <v>0.35</v>
      </c>
      <c r="N118" s="59"/>
    </row>
    <row r="119" spans="1:14">
      <c r="A119" s="59">
        <v>80</v>
      </c>
      <c r="B119" s="59" t="s">
        <v>620</v>
      </c>
      <c r="C119" s="59" t="s">
        <v>24</v>
      </c>
      <c r="D119" s="24">
        <v>15</v>
      </c>
      <c r="E119" s="24">
        <v>128</v>
      </c>
      <c r="F119" s="24">
        <v>93</v>
      </c>
      <c r="G119" s="24">
        <v>549</v>
      </c>
      <c r="H119" s="59">
        <v>-88.28</v>
      </c>
      <c r="I119" s="59">
        <v>-83.06</v>
      </c>
      <c r="J119" s="59">
        <v>0.13</v>
      </c>
      <c r="K119" s="59">
        <v>0.2</v>
      </c>
      <c r="L119" s="59">
        <v>1.21</v>
      </c>
      <c r="M119" s="59">
        <v>1.1399999999999999</v>
      </c>
      <c r="N119" s="59"/>
    </row>
    <row r="120" spans="1:14">
      <c r="A120" s="59">
        <v>81</v>
      </c>
      <c r="B120" s="59" t="s">
        <v>464</v>
      </c>
      <c r="C120" s="59" t="s">
        <v>24</v>
      </c>
      <c r="D120" s="24">
        <v>17</v>
      </c>
      <c r="E120" s="24">
        <v>6</v>
      </c>
      <c r="F120" s="24">
        <v>91</v>
      </c>
      <c r="G120" s="24">
        <v>31</v>
      </c>
      <c r="H120" s="59">
        <v>183.33</v>
      </c>
      <c r="I120" s="59">
        <v>193.55</v>
      </c>
      <c r="J120" s="59">
        <v>0.15</v>
      </c>
      <c r="K120" s="59">
        <v>0.19</v>
      </c>
      <c r="L120" s="59">
        <v>0.06</v>
      </c>
      <c r="M120" s="59">
        <v>0.06</v>
      </c>
      <c r="N120" s="59"/>
    </row>
    <row r="121" spans="1:14">
      <c r="A121" s="59">
        <v>82</v>
      </c>
      <c r="B121" s="59" t="s">
        <v>88</v>
      </c>
      <c r="C121" s="59" t="s">
        <v>24</v>
      </c>
      <c r="D121" s="24">
        <v>21</v>
      </c>
      <c r="E121" s="24">
        <v>58</v>
      </c>
      <c r="F121" s="24">
        <v>90</v>
      </c>
      <c r="G121" s="24">
        <v>255</v>
      </c>
      <c r="H121" s="59">
        <v>-63.79</v>
      </c>
      <c r="I121" s="59">
        <v>-64.709999999999994</v>
      </c>
      <c r="J121" s="59">
        <v>0.18</v>
      </c>
      <c r="K121" s="59">
        <v>0.19</v>
      </c>
      <c r="L121" s="59">
        <v>0.55000000000000004</v>
      </c>
      <c r="M121" s="59">
        <v>0.53</v>
      </c>
      <c r="N121" s="59"/>
    </row>
    <row r="122" spans="1:14" hidden="1">
      <c r="A122" s="59">
        <v>83</v>
      </c>
      <c r="B122" s="59" t="s">
        <v>1023</v>
      </c>
      <c r="C122" s="59" t="s">
        <v>23</v>
      </c>
      <c r="D122" s="24">
        <v>19</v>
      </c>
      <c r="E122" s="24">
        <v>0</v>
      </c>
      <c r="F122" s="24">
        <v>90</v>
      </c>
      <c r="G122" s="24">
        <v>0</v>
      </c>
      <c r="H122" s="59">
        <v>0</v>
      </c>
      <c r="I122" s="59">
        <v>0</v>
      </c>
      <c r="J122" s="59">
        <v>0.17</v>
      </c>
      <c r="K122" s="59">
        <v>0.19</v>
      </c>
      <c r="L122" s="59">
        <v>0</v>
      </c>
      <c r="M122" s="59">
        <v>0</v>
      </c>
      <c r="N122" s="59"/>
    </row>
    <row r="123" spans="1:14">
      <c r="A123" s="59">
        <v>84</v>
      </c>
      <c r="B123" s="59" t="s">
        <v>1040</v>
      </c>
      <c r="C123" s="59" t="s">
        <v>24</v>
      </c>
      <c r="D123" s="24">
        <v>19</v>
      </c>
      <c r="E123" s="24">
        <v>0</v>
      </c>
      <c r="F123" s="24">
        <v>83</v>
      </c>
      <c r="G123" s="24">
        <v>0</v>
      </c>
      <c r="H123" s="59">
        <v>0</v>
      </c>
      <c r="I123" s="59">
        <v>0</v>
      </c>
      <c r="J123" s="59">
        <v>0.17</v>
      </c>
      <c r="K123" s="59">
        <v>0.18</v>
      </c>
      <c r="L123" s="59">
        <v>0</v>
      </c>
      <c r="M123" s="59">
        <v>0</v>
      </c>
      <c r="N123" s="59"/>
    </row>
    <row r="124" spans="1:14" hidden="1">
      <c r="A124" s="59">
        <v>85</v>
      </c>
      <c r="B124" s="59" t="s">
        <v>658</v>
      </c>
      <c r="C124" s="59" t="s">
        <v>23</v>
      </c>
      <c r="D124" s="24">
        <v>7</v>
      </c>
      <c r="E124" s="24">
        <v>17</v>
      </c>
      <c r="F124" s="24">
        <v>82</v>
      </c>
      <c r="G124" s="24">
        <v>121</v>
      </c>
      <c r="H124" s="59">
        <v>-58.82</v>
      </c>
      <c r="I124" s="59">
        <v>-32.229999999999997</v>
      </c>
      <c r="J124" s="59">
        <v>0.06</v>
      </c>
      <c r="K124" s="59">
        <v>0.17</v>
      </c>
      <c r="L124" s="59">
        <v>0.16</v>
      </c>
      <c r="M124" s="59">
        <v>0.25</v>
      </c>
      <c r="N124" s="59"/>
    </row>
    <row r="125" spans="1:14" hidden="1">
      <c r="A125" s="59">
        <v>86</v>
      </c>
      <c r="B125" s="59" t="s">
        <v>405</v>
      </c>
      <c r="C125" s="59" t="s">
        <v>23</v>
      </c>
      <c r="D125" s="24">
        <v>18</v>
      </c>
      <c r="E125" s="24">
        <v>22</v>
      </c>
      <c r="F125" s="24">
        <v>82</v>
      </c>
      <c r="G125" s="24">
        <v>96</v>
      </c>
      <c r="H125" s="59">
        <v>-18.18</v>
      </c>
      <c r="I125" s="59">
        <v>-14.58</v>
      </c>
      <c r="J125" s="59">
        <v>0.16</v>
      </c>
      <c r="K125" s="59">
        <v>0.17</v>
      </c>
      <c r="L125" s="59">
        <v>0.21</v>
      </c>
      <c r="M125" s="59">
        <v>0.2</v>
      </c>
      <c r="N125" s="59"/>
    </row>
    <row r="126" spans="1:14">
      <c r="A126" s="59">
        <v>87</v>
      </c>
      <c r="B126" s="59" t="s">
        <v>418</v>
      </c>
      <c r="C126" s="59" t="s">
        <v>24</v>
      </c>
      <c r="D126" s="24">
        <v>21</v>
      </c>
      <c r="E126" s="24">
        <v>36</v>
      </c>
      <c r="F126" s="24">
        <v>79</v>
      </c>
      <c r="G126" s="24">
        <v>259</v>
      </c>
      <c r="H126" s="59">
        <v>-41.67</v>
      </c>
      <c r="I126" s="59">
        <v>-69.5</v>
      </c>
      <c r="J126" s="59">
        <v>0.18</v>
      </c>
      <c r="K126" s="59">
        <v>0.17</v>
      </c>
      <c r="L126" s="59">
        <v>0.34</v>
      </c>
      <c r="M126" s="59">
        <v>0.54</v>
      </c>
      <c r="N126" s="59"/>
    </row>
    <row r="127" spans="1:14">
      <c r="A127" s="59">
        <v>88</v>
      </c>
      <c r="B127" s="59" t="s">
        <v>1131</v>
      </c>
      <c r="C127" s="59" t="s">
        <v>24</v>
      </c>
      <c r="D127" s="24">
        <v>44</v>
      </c>
      <c r="E127" s="24">
        <v>0</v>
      </c>
      <c r="F127" s="24">
        <v>75</v>
      </c>
      <c r="G127" s="24">
        <v>0</v>
      </c>
      <c r="H127" s="59">
        <v>0</v>
      </c>
      <c r="I127" s="59">
        <v>0</v>
      </c>
      <c r="J127" s="59">
        <v>0.38</v>
      </c>
      <c r="K127" s="59">
        <v>0.16</v>
      </c>
      <c r="L127" s="59">
        <v>0</v>
      </c>
      <c r="M127" s="59">
        <v>0</v>
      </c>
      <c r="N127" s="59"/>
    </row>
    <row r="128" spans="1:14" hidden="1">
      <c r="A128" s="59">
        <v>89</v>
      </c>
      <c r="B128" s="59" t="s">
        <v>165</v>
      </c>
      <c r="C128" s="59" t="s">
        <v>23</v>
      </c>
      <c r="D128" s="24">
        <v>16</v>
      </c>
      <c r="E128" s="24">
        <v>56</v>
      </c>
      <c r="F128" s="24">
        <v>72</v>
      </c>
      <c r="G128" s="24">
        <v>133</v>
      </c>
      <c r="H128" s="59">
        <v>-71.430000000000007</v>
      </c>
      <c r="I128" s="59">
        <v>-45.86</v>
      </c>
      <c r="J128" s="59">
        <v>0.14000000000000001</v>
      </c>
      <c r="K128" s="59">
        <v>0.15</v>
      </c>
      <c r="L128" s="59">
        <v>0.53</v>
      </c>
      <c r="M128" s="59">
        <v>0.28000000000000003</v>
      </c>
      <c r="N128" s="59"/>
    </row>
    <row r="129" spans="1:14" hidden="1">
      <c r="A129" s="59">
        <v>90</v>
      </c>
      <c r="B129" s="59" t="s">
        <v>49</v>
      </c>
      <c r="C129" s="59" t="s">
        <v>23</v>
      </c>
      <c r="D129" s="24">
        <v>27</v>
      </c>
      <c r="E129" s="24">
        <v>17</v>
      </c>
      <c r="F129" s="24">
        <v>70</v>
      </c>
      <c r="G129" s="24">
        <v>96</v>
      </c>
      <c r="H129" s="59">
        <v>58.82</v>
      </c>
      <c r="I129" s="59">
        <v>-27.08</v>
      </c>
      <c r="J129" s="59">
        <v>0.24</v>
      </c>
      <c r="K129" s="59">
        <v>0.15</v>
      </c>
      <c r="L129" s="59">
        <v>0.16</v>
      </c>
      <c r="M129" s="59">
        <v>0.2</v>
      </c>
      <c r="N129" s="59"/>
    </row>
    <row r="130" spans="1:14" hidden="1">
      <c r="A130" s="59">
        <v>91</v>
      </c>
      <c r="B130" s="59" t="s">
        <v>435</v>
      </c>
      <c r="C130" s="59" t="s">
        <v>23</v>
      </c>
      <c r="D130" s="24">
        <v>48</v>
      </c>
      <c r="E130" s="24">
        <v>11</v>
      </c>
      <c r="F130" s="24">
        <v>66</v>
      </c>
      <c r="G130" s="24">
        <v>57</v>
      </c>
      <c r="H130" s="59">
        <v>336.36</v>
      </c>
      <c r="I130" s="59">
        <v>15.79</v>
      </c>
      <c r="J130" s="59">
        <v>0.42</v>
      </c>
      <c r="K130" s="59">
        <v>0.14000000000000001</v>
      </c>
      <c r="L130" s="59">
        <v>0.1</v>
      </c>
      <c r="M130" s="59">
        <v>0.12</v>
      </c>
      <c r="N130" s="59"/>
    </row>
    <row r="131" spans="1:14" hidden="1">
      <c r="A131" s="59">
        <v>92</v>
      </c>
      <c r="B131" s="59" t="s">
        <v>247</v>
      </c>
      <c r="C131" s="59" t="s">
        <v>23</v>
      </c>
      <c r="D131" s="24">
        <v>20</v>
      </c>
      <c r="E131" s="24">
        <v>23</v>
      </c>
      <c r="F131" s="24">
        <v>65</v>
      </c>
      <c r="G131" s="24">
        <v>36</v>
      </c>
      <c r="H131" s="59">
        <v>-13.04</v>
      </c>
      <c r="I131" s="59">
        <v>80.56</v>
      </c>
      <c r="J131" s="59">
        <v>0.17</v>
      </c>
      <c r="K131" s="59">
        <v>0.14000000000000001</v>
      </c>
      <c r="L131" s="59">
        <v>0.22</v>
      </c>
      <c r="M131" s="59">
        <v>0.08</v>
      </c>
      <c r="N131" s="59"/>
    </row>
    <row r="132" spans="1:14" hidden="1">
      <c r="A132" s="59">
        <v>93</v>
      </c>
      <c r="B132" s="59" t="s">
        <v>432</v>
      </c>
      <c r="C132" s="59" t="s">
        <v>23</v>
      </c>
      <c r="D132" s="24">
        <v>18</v>
      </c>
      <c r="E132" s="24">
        <v>42</v>
      </c>
      <c r="F132" s="24">
        <v>63</v>
      </c>
      <c r="G132" s="24">
        <v>247</v>
      </c>
      <c r="H132" s="59">
        <v>-57.14</v>
      </c>
      <c r="I132" s="59">
        <v>-74.489999999999995</v>
      </c>
      <c r="J132" s="59">
        <v>0.16</v>
      </c>
      <c r="K132" s="59">
        <v>0.13</v>
      </c>
      <c r="L132" s="59">
        <v>0.4</v>
      </c>
      <c r="M132" s="59">
        <v>0.52</v>
      </c>
      <c r="N132" s="59"/>
    </row>
    <row r="133" spans="1:14" hidden="1">
      <c r="A133" s="59">
        <v>94</v>
      </c>
      <c r="B133" s="59" t="s">
        <v>454</v>
      </c>
      <c r="C133" s="59" t="s">
        <v>23</v>
      </c>
      <c r="D133" s="24">
        <v>28</v>
      </c>
      <c r="E133" s="24">
        <v>23</v>
      </c>
      <c r="F133" s="24">
        <v>63</v>
      </c>
      <c r="G133" s="24">
        <v>167</v>
      </c>
      <c r="H133" s="59">
        <v>21.74</v>
      </c>
      <c r="I133" s="59">
        <v>-62.28</v>
      </c>
      <c r="J133" s="59">
        <v>0.24</v>
      </c>
      <c r="K133" s="59">
        <v>0.13</v>
      </c>
      <c r="L133" s="59">
        <v>0.22</v>
      </c>
      <c r="M133" s="59">
        <v>0.35</v>
      </c>
      <c r="N133" s="59"/>
    </row>
    <row r="134" spans="1:14" hidden="1">
      <c r="A134" s="59">
        <v>95</v>
      </c>
      <c r="B134" s="59" t="s">
        <v>1071</v>
      </c>
      <c r="C134" s="59" t="s">
        <v>23</v>
      </c>
      <c r="D134" s="24">
        <v>0</v>
      </c>
      <c r="E134" s="24">
        <v>0</v>
      </c>
      <c r="F134" s="24">
        <v>63</v>
      </c>
      <c r="G134" s="24">
        <v>0</v>
      </c>
      <c r="H134" s="59">
        <v>0</v>
      </c>
      <c r="I134" s="59">
        <v>0</v>
      </c>
      <c r="J134" s="59">
        <v>0</v>
      </c>
      <c r="K134" s="59">
        <v>0.13</v>
      </c>
      <c r="L134" s="59">
        <v>0</v>
      </c>
      <c r="M134" s="59">
        <v>0</v>
      </c>
      <c r="N134" s="59"/>
    </row>
    <row r="135" spans="1:14">
      <c r="A135" s="59">
        <v>96</v>
      </c>
      <c r="B135" s="59" t="s">
        <v>420</v>
      </c>
      <c r="C135" s="59" t="s">
        <v>24</v>
      </c>
      <c r="D135" s="24">
        <v>0</v>
      </c>
      <c r="E135" s="24">
        <v>26</v>
      </c>
      <c r="F135" s="24">
        <v>58</v>
      </c>
      <c r="G135" s="24">
        <v>180</v>
      </c>
      <c r="H135" s="59">
        <v>-100</v>
      </c>
      <c r="I135" s="59">
        <v>-67.78</v>
      </c>
      <c r="J135" s="59">
        <v>0</v>
      </c>
      <c r="K135" s="59">
        <v>0.12</v>
      </c>
      <c r="L135" s="59">
        <v>0.25</v>
      </c>
      <c r="M135" s="59">
        <v>0.38</v>
      </c>
      <c r="N135" s="59"/>
    </row>
    <row r="136" spans="1:14" hidden="1">
      <c r="A136" s="59">
        <v>97</v>
      </c>
      <c r="B136" s="59" t="s">
        <v>159</v>
      </c>
      <c r="C136" s="59" t="s">
        <v>23</v>
      </c>
      <c r="D136" s="24">
        <v>0</v>
      </c>
      <c r="E136" s="24">
        <v>6</v>
      </c>
      <c r="F136" s="24">
        <v>56</v>
      </c>
      <c r="G136" s="24">
        <v>60</v>
      </c>
      <c r="H136" s="59">
        <v>-100</v>
      </c>
      <c r="I136" s="59">
        <v>-6.67</v>
      </c>
      <c r="J136" s="59">
        <v>0</v>
      </c>
      <c r="K136" s="59">
        <v>0.12</v>
      </c>
      <c r="L136" s="59">
        <v>0.06</v>
      </c>
      <c r="M136" s="59">
        <v>0.13</v>
      </c>
      <c r="N136" s="59"/>
    </row>
    <row r="137" spans="1:14">
      <c r="A137" s="59">
        <v>98</v>
      </c>
      <c r="B137" s="59" t="s">
        <v>149</v>
      </c>
      <c r="C137" s="59" t="s">
        <v>24</v>
      </c>
      <c r="D137" s="24">
        <v>21</v>
      </c>
      <c r="E137" s="24">
        <v>0</v>
      </c>
      <c r="F137" s="24">
        <v>56</v>
      </c>
      <c r="G137" s="24">
        <v>0</v>
      </c>
      <c r="H137" s="59">
        <v>0</v>
      </c>
      <c r="I137" s="59">
        <v>0</v>
      </c>
      <c r="J137" s="59">
        <v>0.18</v>
      </c>
      <c r="K137" s="59">
        <v>0.12</v>
      </c>
      <c r="L137" s="59">
        <v>0</v>
      </c>
      <c r="M137" s="59">
        <v>0</v>
      </c>
      <c r="N137" s="59"/>
    </row>
    <row r="138" spans="1:14">
      <c r="A138" s="59">
        <v>99</v>
      </c>
      <c r="B138" s="59" t="s">
        <v>1016</v>
      </c>
      <c r="C138" s="59" t="s">
        <v>24</v>
      </c>
      <c r="D138" s="24">
        <v>13</v>
      </c>
      <c r="E138" s="24">
        <v>0</v>
      </c>
      <c r="F138" s="24">
        <v>55</v>
      </c>
      <c r="G138" s="24">
        <v>0</v>
      </c>
      <c r="H138" s="59">
        <v>0</v>
      </c>
      <c r="I138" s="59">
        <v>0</v>
      </c>
      <c r="J138" s="59">
        <v>0.11</v>
      </c>
      <c r="K138" s="59">
        <v>0.12</v>
      </c>
      <c r="L138" s="59">
        <v>0</v>
      </c>
      <c r="M138" s="59">
        <v>0</v>
      </c>
      <c r="N138" s="59"/>
    </row>
    <row r="139" spans="1:14" hidden="1">
      <c r="A139" s="59">
        <v>100</v>
      </c>
      <c r="B139" s="59" t="s">
        <v>523</v>
      </c>
      <c r="C139" s="59" t="s">
        <v>23</v>
      </c>
      <c r="D139" s="24">
        <v>16</v>
      </c>
      <c r="E139" s="24">
        <v>14</v>
      </c>
      <c r="F139" s="24">
        <v>50</v>
      </c>
      <c r="G139" s="24">
        <v>81</v>
      </c>
      <c r="H139" s="59">
        <v>14.29</v>
      </c>
      <c r="I139" s="59">
        <v>-38.270000000000003</v>
      </c>
      <c r="J139" s="59">
        <v>0.14000000000000001</v>
      </c>
      <c r="K139" s="59">
        <v>0.11</v>
      </c>
      <c r="L139" s="59">
        <v>0.13</v>
      </c>
      <c r="M139" s="59">
        <v>0.17</v>
      </c>
      <c r="N139" s="59"/>
    </row>
    <row r="140" spans="1:14" hidden="1">
      <c r="A140" s="59">
        <v>101</v>
      </c>
      <c r="B140" s="59" t="s">
        <v>625</v>
      </c>
      <c r="C140" s="59" t="s">
        <v>23</v>
      </c>
      <c r="D140" s="24">
        <v>6</v>
      </c>
      <c r="E140" s="24">
        <v>0</v>
      </c>
      <c r="F140" s="24">
        <v>50</v>
      </c>
      <c r="G140" s="24">
        <v>40</v>
      </c>
      <c r="H140" s="59">
        <v>0</v>
      </c>
      <c r="I140" s="59">
        <v>25</v>
      </c>
      <c r="J140" s="59">
        <v>0.05</v>
      </c>
      <c r="K140" s="59">
        <v>0.11</v>
      </c>
      <c r="L140" s="59">
        <v>0</v>
      </c>
      <c r="M140" s="59">
        <v>0.08</v>
      </c>
      <c r="N140" s="59"/>
    </row>
    <row r="141" spans="1:14" hidden="1">
      <c r="A141" s="59">
        <v>102</v>
      </c>
      <c r="B141" s="59" t="s">
        <v>1132</v>
      </c>
      <c r="C141" s="59" t="s">
        <v>23</v>
      </c>
      <c r="D141" s="24">
        <v>23</v>
      </c>
      <c r="E141" s="24">
        <v>0</v>
      </c>
      <c r="F141" s="24">
        <v>49</v>
      </c>
      <c r="G141" s="24">
        <v>0</v>
      </c>
      <c r="H141" s="59">
        <v>0</v>
      </c>
      <c r="I141" s="59">
        <v>0</v>
      </c>
      <c r="J141" s="59">
        <v>0.2</v>
      </c>
      <c r="K141" s="59">
        <v>0.1</v>
      </c>
      <c r="L141" s="59">
        <v>0</v>
      </c>
      <c r="M141" s="59">
        <v>0</v>
      </c>
      <c r="N141" s="59"/>
    </row>
    <row r="142" spans="1:14">
      <c r="A142" s="59">
        <v>103</v>
      </c>
      <c r="B142" s="59" t="s">
        <v>737</v>
      </c>
      <c r="C142" s="59" t="s">
        <v>24</v>
      </c>
      <c r="D142" s="24">
        <v>10</v>
      </c>
      <c r="E142" s="24">
        <v>0</v>
      </c>
      <c r="F142" s="24">
        <v>49</v>
      </c>
      <c r="G142" s="24">
        <v>0</v>
      </c>
      <c r="H142" s="59">
        <v>0</v>
      </c>
      <c r="I142" s="59">
        <v>0</v>
      </c>
      <c r="J142" s="59">
        <v>0.09</v>
      </c>
      <c r="K142" s="59">
        <v>0.1</v>
      </c>
      <c r="L142" s="59">
        <v>0</v>
      </c>
      <c r="M142" s="59">
        <v>0</v>
      </c>
      <c r="N142" s="59"/>
    </row>
    <row r="143" spans="1:14">
      <c r="A143" s="59">
        <v>104</v>
      </c>
      <c r="B143" s="59" t="s">
        <v>640</v>
      </c>
      <c r="C143" s="59" t="s">
        <v>24</v>
      </c>
      <c r="D143" s="24">
        <v>7</v>
      </c>
      <c r="E143" s="24">
        <v>58</v>
      </c>
      <c r="F143" s="24">
        <v>47</v>
      </c>
      <c r="G143" s="24">
        <v>144</v>
      </c>
      <c r="H143" s="59">
        <v>-87.93</v>
      </c>
      <c r="I143" s="59">
        <v>-67.36</v>
      </c>
      <c r="J143" s="59">
        <v>0.06</v>
      </c>
      <c r="K143" s="59">
        <v>0.1</v>
      </c>
      <c r="L143" s="59">
        <v>0.55000000000000004</v>
      </c>
      <c r="M143" s="59">
        <v>0.3</v>
      </c>
      <c r="N143" s="59"/>
    </row>
    <row r="144" spans="1:14" hidden="1">
      <c r="A144" s="59">
        <v>105</v>
      </c>
      <c r="B144" s="59" t="s">
        <v>577</v>
      </c>
      <c r="C144" s="59" t="s">
        <v>23</v>
      </c>
      <c r="D144" s="24">
        <v>16</v>
      </c>
      <c r="E144" s="24">
        <v>26</v>
      </c>
      <c r="F144" s="24">
        <v>47</v>
      </c>
      <c r="G144" s="24">
        <v>61</v>
      </c>
      <c r="H144" s="59">
        <v>-38.46</v>
      </c>
      <c r="I144" s="59">
        <v>-22.95</v>
      </c>
      <c r="J144" s="59">
        <v>0.14000000000000001</v>
      </c>
      <c r="K144" s="59">
        <v>0.1</v>
      </c>
      <c r="L144" s="59">
        <v>0.25</v>
      </c>
      <c r="M144" s="59">
        <v>0.13</v>
      </c>
      <c r="N144" s="59"/>
    </row>
    <row r="145" spans="1:14">
      <c r="A145" s="59">
        <v>106</v>
      </c>
      <c r="B145" s="59" t="s">
        <v>667</v>
      </c>
      <c r="C145" s="59" t="s">
        <v>24</v>
      </c>
      <c r="D145" s="24">
        <v>7</v>
      </c>
      <c r="E145" s="24">
        <v>133</v>
      </c>
      <c r="F145" s="24">
        <v>45</v>
      </c>
      <c r="G145" s="24">
        <v>237</v>
      </c>
      <c r="H145" s="59">
        <v>-94.74</v>
      </c>
      <c r="I145" s="59">
        <v>-81.010000000000005</v>
      </c>
      <c r="J145" s="59">
        <v>0.06</v>
      </c>
      <c r="K145" s="59">
        <v>0.1</v>
      </c>
      <c r="L145" s="59">
        <v>1.26</v>
      </c>
      <c r="M145" s="59">
        <v>0.49</v>
      </c>
      <c r="N145" s="59"/>
    </row>
    <row r="146" spans="1:14">
      <c r="A146" s="59">
        <v>107</v>
      </c>
      <c r="B146" s="59" t="s">
        <v>682</v>
      </c>
      <c r="C146" s="59" t="s">
        <v>24</v>
      </c>
      <c r="D146" s="24">
        <v>6</v>
      </c>
      <c r="E146" s="24">
        <v>0</v>
      </c>
      <c r="F146" s="24">
        <v>44</v>
      </c>
      <c r="G146" s="24">
        <v>3</v>
      </c>
      <c r="H146" s="59">
        <v>0</v>
      </c>
      <c r="I146" s="59">
        <v>1366.67</v>
      </c>
      <c r="J146" s="59">
        <v>0.05</v>
      </c>
      <c r="K146" s="59">
        <v>0.09</v>
      </c>
      <c r="L146" s="59">
        <v>0</v>
      </c>
      <c r="M146" s="59">
        <v>0.01</v>
      </c>
      <c r="N146" s="59"/>
    </row>
    <row r="147" spans="1:14">
      <c r="A147" s="59">
        <v>108</v>
      </c>
      <c r="B147" s="59" t="s">
        <v>689</v>
      </c>
      <c r="C147" s="59" t="s">
        <v>24</v>
      </c>
      <c r="D147" s="24">
        <v>12</v>
      </c>
      <c r="E147" s="24">
        <v>29</v>
      </c>
      <c r="F147" s="24">
        <v>42</v>
      </c>
      <c r="G147" s="24">
        <v>94</v>
      </c>
      <c r="H147" s="59">
        <v>-58.62</v>
      </c>
      <c r="I147" s="59">
        <v>-55.32</v>
      </c>
      <c r="J147" s="59">
        <v>0.1</v>
      </c>
      <c r="K147" s="59">
        <v>0.09</v>
      </c>
      <c r="L147" s="59">
        <v>0.27</v>
      </c>
      <c r="M147" s="59">
        <v>0.2</v>
      </c>
      <c r="N147" s="59"/>
    </row>
    <row r="148" spans="1:14" hidden="1">
      <c r="A148" s="59">
        <v>109</v>
      </c>
      <c r="B148" s="59" t="s">
        <v>518</v>
      </c>
      <c r="C148" s="59" t="s">
        <v>23</v>
      </c>
      <c r="D148" s="24">
        <v>15</v>
      </c>
      <c r="E148" s="24">
        <v>18</v>
      </c>
      <c r="F148" s="24">
        <v>42</v>
      </c>
      <c r="G148" s="24">
        <v>58</v>
      </c>
      <c r="H148" s="59">
        <v>-16.670000000000002</v>
      </c>
      <c r="I148" s="59">
        <v>-27.59</v>
      </c>
      <c r="J148" s="59">
        <v>0.13</v>
      </c>
      <c r="K148" s="59">
        <v>0.09</v>
      </c>
      <c r="L148" s="59">
        <v>0.17</v>
      </c>
      <c r="M148" s="59">
        <v>0.12</v>
      </c>
      <c r="N148" s="59"/>
    </row>
    <row r="149" spans="1:14">
      <c r="A149" s="59">
        <v>110</v>
      </c>
      <c r="B149" s="59" t="s">
        <v>1061</v>
      </c>
      <c r="C149" s="59" t="s">
        <v>24</v>
      </c>
      <c r="D149" s="24">
        <v>8</v>
      </c>
      <c r="E149" s="24">
        <v>0</v>
      </c>
      <c r="F149" s="24">
        <v>42</v>
      </c>
      <c r="G149" s="24">
        <v>0</v>
      </c>
      <c r="H149" s="59">
        <v>0</v>
      </c>
      <c r="I149" s="59">
        <v>0</v>
      </c>
      <c r="J149" s="59">
        <v>7.0000000000000007E-2</v>
      </c>
      <c r="K149" s="59">
        <v>0.09</v>
      </c>
      <c r="L149" s="59">
        <v>0</v>
      </c>
      <c r="M149" s="59">
        <v>0</v>
      </c>
      <c r="N149" s="59"/>
    </row>
    <row r="150" spans="1:14">
      <c r="A150" s="59">
        <v>111</v>
      </c>
      <c r="B150" s="59" t="s">
        <v>1068</v>
      </c>
      <c r="C150" s="59" t="s">
        <v>24</v>
      </c>
      <c r="D150" s="24">
        <v>8</v>
      </c>
      <c r="E150" s="24">
        <v>0</v>
      </c>
      <c r="F150" s="24">
        <v>41</v>
      </c>
      <c r="G150" s="24">
        <v>0</v>
      </c>
      <c r="H150" s="59">
        <v>0</v>
      </c>
      <c r="I150" s="59">
        <v>0</v>
      </c>
      <c r="J150" s="59">
        <v>7.0000000000000007E-2</v>
      </c>
      <c r="K150" s="59">
        <v>0.09</v>
      </c>
      <c r="L150" s="59">
        <v>0</v>
      </c>
      <c r="M150" s="59">
        <v>0</v>
      </c>
      <c r="N150" s="59"/>
    </row>
    <row r="151" spans="1:14">
      <c r="A151" s="59">
        <v>112</v>
      </c>
      <c r="B151" s="59" t="s">
        <v>1075</v>
      </c>
      <c r="C151" s="59" t="s">
        <v>24</v>
      </c>
      <c r="D151" s="24">
        <v>16</v>
      </c>
      <c r="E151" s="24">
        <v>0</v>
      </c>
      <c r="F151" s="24">
        <v>39</v>
      </c>
      <c r="G151" s="24">
        <v>0</v>
      </c>
      <c r="H151" s="59">
        <v>0</v>
      </c>
      <c r="I151" s="59">
        <v>0</v>
      </c>
      <c r="J151" s="59">
        <v>0.14000000000000001</v>
      </c>
      <c r="K151" s="59">
        <v>0.08</v>
      </c>
      <c r="L151" s="59">
        <v>0</v>
      </c>
      <c r="M151" s="59">
        <v>0</v>
      </c>
      <c r="N151" s="59"/>
    </row>
    <row r="152" spans="1:14">
      <c r="A152" s="59">
        <v>213</v>
      </c>
      <c r="B152" s="59" t="s">
        <v>459</v>
      </c>
      <c r="C152" s="59" t="s">
        <v>24</v>
      </c>
      <c r="D152" s="24">
        <v>15</v>
      </c>
      <c r="E152" s="24">
        <v>8</v>
      </c>
      <c r="F152" s="24">
        <v>39</v>
      </c>
      <c r="G152" s="24">
        <v>37</v>
      </c>
      <c r="H152" s="67">
        <v>87.5</v>
      </c>
      <c r="I152" s="67">
        <v>5.41</v>
      </c>
      <c r="J152" s="59">
        <v>0.13</v>
      </c>
      <c r="K152" s="59">
        <v>0.08</v>
      </c>
      <c r="L152" s="59">
        <v>0.08</v>
      </c>
      <c r="M152" s="59">
        <v>0.08</v>
      </c>
      <c r="N152" s="59"/>
    </row>
    <row r="153" spans="1:14" hidden="1">
      <c r="A153" s="59">
        <v>113</v>
      </c>
      <c r="B153" s="59" t="s">
        <v>79</v>
      </c>
      <c r="C153" s="59" t="s">
        <v>23</v>
      </c>
      <c r="D153" s="24">
        <v>11</v>
      </c>
      <c r="E153" s="24">
        <v>174</v>
      </c>
      <c r="F153" s="24">
        <v>38</v>
      </c>
      <c r="G153" s="24">
        <v>552</v>
      </c>
      <c r="H153" s="59">
        <v>-93.68</v>
      </c>
      <c r="I153" s="59">
        <v>-93.12</v>
      </c>
      <c r="J153" s="59">
        <v>0.1</v>
      </c>
      <c r="K153" s="59">
        <v>0.08</v>
      </c>
      <c r="L153" s="59">
        <v>1.65</v>
      </c>
      <c r="M153" s="59">
        <v>1.1499999999999999</v>
      </c>
      <c r="N153" s="59"/>
    </row>
    <row r="154" spans="1:14" hidden="1">
      <c r="A154" s="59">
        <v>114</v>
      </c>
      <c r="B154" s="59" t="s">
        <v>1170</v>
      </c>
      <c r="C154" s="59" t="s">
        <v>23</v>
      </c>
      <c r="D154" s="24">
        <v>38</v>
      </c>
      <c r="E154" s="24">
        <v>0</v>
      </c>
      <c r="F154" s="24">
        <v>38</v>
      </c>
      <c r="G154" s="24">
        <v>0</v>
      </c>
      <c r="H154" s="59">
        <v>0</v>
      </c>
      <c r="I154" s="59">
        <v>0</v>
      </c>
      <c r="J154" s="59">
        <v>0.33</v>
      </c>
      <c r="K154" s="59">
        <v>0.08</v>
      </c>
      <c r="L154" s="59">
        <v>0</v>
      </c>
      <c r="M154" s="59">
        <v>0</v>
      </c>
      <c r="N154" s="59"/>
    </row>
    <row r="155" spans="1:14">
      <c r="A155" s="59">
        <v>115</v>
      </c>
      <c r="B155" s="59" t="s">
        <v>455</v>
      </c>
      <c r="C155" s="59" t="s">
        <v>24</v>
      </c>
      <c r="D155" s="24">
        <v>5</v>
      </c>
      <c r="E155" s="24">
        <v>43</v>
      </c>
      <c r="F155" s="24">
        <v>36</v>
      </c>
      <c r="G155" s="24">
        <v>150</v>
      </c>
      <c r="H155" s="59">
        <v>-88.37</v>
      </c>
      <c r="I155" s="59">
        <v>-76</v>
      </c>
      <c r="J155" s="59">
        <v>0.04</v>
      </c>
      <c r="K155" s="59">
        <v>0.08</v>
      </c>
      <c r="L155" s="59">
        <v>0.41</v>
      </c>
      <c r="M155" s="59">
        <v>0.31</v>
      </c>
      <c r="N155" s="59"/>
    </row>
    <row r="156" spans="1:14" hidden="1">
      <c r="A156" s="59">
        <v>116</v>
      </c>
      <c r="B156" s="59" t="s">
        <v>137</v>
      </c>
      <c r="C156" s="59" t="s">
        <v>23</v>
      </c>
      <c r="D156" s="24">
        <v>7</v>
      </c>
      <c r="E156" s="24">
        <v>4</v>
      </c>
      <c r="F156" s="24">
        <v>36</v>
      </c>
      <c r="G156" s="24">
        <v>13</v>
      </c>
      <c r="H156" s="59">
        <v>75</v>
      </c>
      <c r="I156" s="59">
        <v>176.92</v>
      </c>
      <c r="J156" s="59">
        <v>0.06</v>
      </c>
      <c r="K156" s="59">
        <v>0.08</v>
      </c>
      <c r="L156" s="59">
        <v>0.04</v>
      </c>
      <c r="M156" s="59">
        <v>0.03</v>
      </c>
      <c r="N156" s="59"/>
    </row>
    <row r="157" spans="1:14" hidden="1">
      <c r="A157" s="59">
        <v>117</v>
      </c>
      <c r="B157" s="59" t="s">
        <v>638</v>
      </c>
      <c r="C157" s="59" t="s">
        <v>23</v>
      </c>
      <c r="D157" s="24">
        <v>10</v>
      </c>
      <c r="E157" s="24">
        <v>5</v>
      </c>
      <c r="F157" s="24">
        <v>35</v>
      </c>
      <c r="G157" s="24">
        <v>21</v>
      </c>
      <c r="H157" s="59">
        <v>100</v>
      </c>
      <c r="I157" s="59">
        <v>66.67</v>
      </c>
      <c r="J157" s="59">
        <v>0.09</v>
      </c>
      <c r="K157" s="59">
        <v>7.0000000000000007E-2</v>
      </c>
      <c r="L157" s="59">
        <v>0.05</v>
      </c>
      <c r="M157" s="59">
        <v>0.04</v>
      </c>
      <c r="N157" s="59"/>
    </row>
    <row r="158" spans="1:14" hidden="1">
      <c r="A158" s="59">
        <v>118</v>
      </c>
      <c r="B158" s="59" t="s">
        <v>458</v>
      </c>
      <c r="C158" s="59" t="s">
        <v>23</v>
      </c>
      <c r="D158" s="24">
        <v>16</v>
      </c>
      <c r="E158" s="24">
        <v>1</v>
      </c>
      <c r="F158" s="24">
        <v>32</v>
      </c>
      <c r="G158" s="24">
        <v>23</v>
      </c>
      <c r="H158" s="59">
        <v>1500</v>
      </c>
      <c r="I158" s="59">
        <v>39.130000000000003</v>
      </c>
      <c r="J158" s="59">
        <v>0.14000000000000001</v>
      </c>
      <c r="K158" s="59">
        <v>7.0000000000000007E-2</v>
      </c>
      <c r="L158" s="59">
        <v>0.01</v>
      </c>
      <c r="M158" s="59">
        <v>0.05</v>
      </c>
      <c r="N158" s="59"/>
    </row>
    <row r="159" spans="1:14">
      <c r="A159" s="59">
        <v>119</v>
      </c>
      <c r="B159" s="59" t="s">
        <v>1094</v>
      </c>
      <c r="C159" s="59" t="s">
        <v>24</v>
      </c>
      <c r="D159" s="24">
        <v>3</v>
      </c>
      <c r="E159" s="24">
        <v>0</v>
      </c>
      <c r="F159" s="24">
        <v>32</v>
      </c>
      <c r="G159" s="24">
        <v>0</v>
      </c>
      <c r="H159" s="59">
        <v>0</v>
      </c>
      <c r="I159" s="59">
        <v>0</v>
      </c>
      <c r="J159" s="59">
        <v>0.03</v>
      </c>
      <c r="K159" s="59">
        <v>7.0000000000000007E-2</v>
      </c>
      <c r="L159" s="59">
        <v>0</v>
      </c>
      <c r="M159" s="59">
        <v>0</v>
      </c>
      <c r="N159" s="59"/>
    </row>
    <row r="160" spans="1:14" hidden="1">
      <c r="A160" s="59">
        <v>120</v>
      </c>
      <c r="B160" s="59" t="s">
        <v>449</v>
      </c>
      <c r="C160" s="59" t="s">
        <v>23</v>
      </c>
      <c r="D160" s="24">
        <v>1</v>
      </c>
      <c r="E160" s="24">
        <v>2</v>
      </c>
      <c r="F160" s="24">
        <v>31</v>
      </c>
      <c r="G160" s="24">
        <v>18</v>
      </c>
      <c r="H160" s="59">
        <v>-50</v>
      </c>
      <c r="I160" s="59">
        <v>72.22</v>
      </c>
      <c r="J160" s="59">
        <v>0.01</v>
      </c>
      <c r="K160" s="59">
        <v>7.0000000000000007E-2</v>
      </c>
      <c r="L160" s="59">
        <v>0.02</v>
      </c>
      <c r="M160" s="59">
        <v>0.04</v>
      </c>
      <c r="N160" s="59"/>
    </row>
    <row r="161" spans="1:14" hidden="1">
      <c r="A161" s="59">
        <v>121</v>
      </c>
      <c r="B161" s="59" t="s">
        <v>1129</v>
      </c>
      <c r="C161" s="59" t="s">
        <v>23</v>
      </c>
      <c r="D161" s="24">
        <v>4</v>
      </c>
      <c r="E161" s="24">
        <v>0</v>
      </c>
      <c r="F161" s="24">
        <v>31</v>
      </c>
      <c r="G161" s="24">
        <v>0</v>
      </c>
      <c r="H161" s="59">
        <v>0</v>
      </c>
      <c r="I161" s="59">
        <v>0</v>
      </c>
      <c r="J161" s="59">
        <v>0.03</v>
      </c>
      <c r="K161" s="59">
        <v>7.0000000000000007E-2</v>
      </c>
      <c r="L161" s="59">
        <v>0</v>
      </c>
      <c r="M161" s="59">
        <v>0</v>
      </c>
      <c r="N161" s="59"/>
    </row>
    <row r="162" spans="1:14" hidden="1">
      <c r="A162" s="59">
        <v>122</v>
      </c>
      <c r="B162" s="59" t="s">
        <v>450</v>
      </c>
      <c r="C162" s="59" t="s">
        <v>23</v>
      </c>
      <c r="D162" s="24">
        <v>12</v>
      </c>
      <c r="E162" s="24">
        <v>5</v>
      </c>
      <c r="F162" s="24">
        <v>30</v>
      </c>
      <c r="G162" s="24">
        <v>36</v>
      </c>
      <c r="H162" s="59">
        <v>140</v>
      </c>
      <c r="I162" s="59">
        <v>-16.670000000000002</v>
      </c>
      <c r="J162" s="59">
        <v>0.1</v>
      </c>
      <c r="K162" s="59">
        <v>0.06</v>
      </c>
      <c r="L162" s="59">
        <v>0.05</v>
      </c>
      <c r="M162" s="59">
        <v>0.08</v>
      </c>
      <c r="N162" s="59"/>
    </row>
    <row r="163" spans="1:14" hidden="1">
      <c r="A163" s="59">
        <v>123</v>
      </c>
      <c r="B163" s="59" t="s">
        <v>451</v>
      </c>
      <c r="C163" s="59" t="s">
        <v>23</v>
      </c>
      <c r="D163" s="24">
        <v>6</v>
      </c>
      <c r="E163" s="24">
        <v>4</v>
      </c>
      <c r="F163" s="24">
        <v>30</v>
      </c>
      <c r="G163" s="24">
        <v>33</v>
      </c>
      <c r="H163" s="59">
        <v>50</v>
      </c>
      <c r="I163" s="59">
        <v>-9.09</v>
      </c>
      <c r="J163" s="59">
        <v>0.05</v>
      </c>
      <c r="K163" s="59">
        <v>0.06</v>
      </c>
      <c r="L163" s="59">
        <v>0.04</v>
      </c>
      <c r="M163" s="59">
        <v>7.0000000000000007E-2</v>
      </c>
      <c r="N163" s="59"/>
    </row>
    <row r="164" spans="1:14" hidden="1">
      <c r="A164" s="59">
        <v>124</v>
      </c>
      <c r="B164" s="59" t="s">
        <v>1093</v>
      </c>
      <c r="C164" s="59" t="s">
        <v>23</v>
      </c>
      <c r="D164" s="24">
        <v>8</v>
      </c>
      <c r="E164" s="24">
        <v>0</v>
      </c>
      <c r="F164" s="24">
        <v>29</v>
      </c>
      <c r="G164" s="24">
        <v>0</v>
      </c>
      <c r="H164" s="59">
        <v>0</v>
      </c>
      <c r="I164" s="59">
        <v>0</v>
      </c>
      <c r="J164" s="59">
        <v>7.0000000000000007E-2</v>
      </c>
      <c r="K164" s="59">
        <v>0.06</v>
      </c>
      <c r="L164" s="59">
        <v>0</v>
      </c>
      <c r="M164" s="59">
        <v>0</v>
      </c>
      <c r="N164" s="59"/>
    </row>
    <row r="165" spans="1:14" hidden="1">
      <c r="A165" s="59">
        <v>125</v>
      </c>
      <c r="B165" s="59" t="s">
        <v>441</v>
      </c>
      <c r="C165" s="59" t="s">
        <v>23</v>
      </c>
      <c r="D165" s="24">
        <v>21</v>
      </c>
      <c r="E165" s="24">
        <v>10</v>
      </c>
      <c r="F165" s="24">
        <v>25</v>
      </c>
      <c r="G165" s="24">
        <v>81</v>
      </c>
      <c r="H165" s="59">
        <v>110</v>
      </c>
      <c r="I165" s="59">
        <v>-69.14</v>
      </c>
      <c r="J165" s="59">
        <v>0.18</v>
      </c>
      <c r="K165" s="59">
        <v>0.05</v>
      </c>
      <c r="L165" s="59">
        <v>0.09</v>
      </c>
      <c r="M165" s="59">
        <v>0.17</v>
      </c>
      <c r="N165" s="59"/>
    </row>
    <row r="166" spans="1:14">
      <c r="A166" s="59">
        <v>126</v>
      </c>
      <c r="B166" s="59" t="s">
        <v>1117</v>
      </c>
      <c r="C166" s="59" t="s">
        <v>24</v>
      </c>
      <c r="D166" s="24">
        <v>2</v>
      </c>
      <c r="E166" s="24">
        <v>0</v>
      </c>
      <c r="F166" s="24">
        <v>25</v>
      </c>
      <c r="G166" s="24">
        <v>0</v>
      </c>
      <c r="H166" s="59">
        <v>0</v>
      </c>
      <c r="I166" s="59">
        <v>0</v>
      </c>
      <c r="J166" s="59">
        <v>0.02</v>
      </c>
      <c r="K166" s="59">
        <v>0.05</v>
      </c>
      <c r="L166" s="59">
        <v>0</v>
      </c>
      <c r="M166" s="59">
        <v>0</v>
      </c>
      <c r="N166" s="59"/>
    </row>
    <row r="167" spans="1:14">
      <c r="A167" s="59">
        <v>127</v>
      </c>
      <c r="B167" s="59" t="s">
        <v>1097</v>
      </c>
      <c r="C167" s="59" t="s">
        <v>24</v>
      </c>
      <c r="D167" s="24">
        <v>5</v>
      </c>
      <c r="E167" s="24">
        <v>0</v>
      </c>
      <c r="F167" s="24">
        <v>24</v>
      </c>
      <c r="G167" s="24">
        <v>0</v>
      </c>
      <c r="H167" s="59">
        <v>0</v>
      </c>
      <c r="I167" s="59">
        <v>0</v>
      </c>
      <c r="J167" s="59">
        <v>0.04</v>
      </c>
      <c r="K167" s="59">
        <v>0.05</v>
      </c>
      <c r="L167" s="59">
        <v>0</v>
      </c>
      <c r="M167" s="59">
        <v>0</v>
      </c>
      <c r="N167" s="59"/>
    </row>
    <row r="168" spans="1:14" hidden="1">
      <c r="A168" s="59">
        <v>128</v>
      </c>
      <c r="B168" s="59" t="s">
        <v>675</v>
      </c>
      <c r="C168" s="59" t="s">
        <v>23</v>
      </c>
      <c r="D168" s="24">
        <v>7</v>
      </c>
      <c r="E168" s="24">
        <v>2</v>
      </c>
      <c r="F168" s="24">
        <v>23</v>
      </c>
      <c r="G168" s="24">
        <v>68</v>
      </c>
      <c r="H168" s="59">
        <v>250</v>
      </c>
      <c r="I168" s="59">
        <v>-66.180000000000007</v>
      </c>
      <c r="J168" s="59">
        <v>0.06</v>
      </c>
      <c r="K168" s="59">
        <v>0.05</v>
      </c>
      <c r="L168" s="59">
        <v>0.02</v>
      </c>
      <c r="M168" s="59">
        <v>0.14000000000000001</v>
      </c>
      <c r="N168" s="59"/>
    </row>
    <row r="169" spans="1:14" hidden="1">
      <c r="A169" s="59">
        <v>129</v>
      </c>
      <c r="B169" s="59" t="s">
        <v>151</v>
      </c>
      <c r="C169" s="59" t="s">
        <v>23</v>
      </c>
      <c r="D169" s="24">
        <v>3</v>
      </c>
      <c r="E169" s="24">
        <v>1</v>
      </c>
      <c r="F169" s="24">
        <v>23</v>
      </c>
      <c r="G169" s="24">
        <v>35</v>
      </c>
      <c r="H169" s="59">
        <v>200</v>
      </c>
      <c r="I169" s="59">
        <v>-34.29</v>
      </c>
      <c r="J169" s="59">
        <v>0.03</v>
      </c>
      <c r="K169" s="59">
        <v>0.05</v>
      </c>
      <c r="L169" s="59">
        <v>0.01</v>
      </c>
      <c r="M169" s="59">
        <v>7.0000000000000007E-2</v>
      </c>
      <c r="N169" s="59"/>
    </row>
    <row r="170" spans="1:14">
      <c r="A170" s="59">
        <v>130</v>
      </c>
      <c r="B170" s="59" t="s">
        <v>734</v>
      </c>
      <c r="C170" s="59" t="s">
        <v>24</v>
      </c>
      <c r="D170" s="24">
        <v>1</v>
      </c>
      <c r="E170" s="24">
        <v>0</v>
      </c>
      <c r="F170" s="24">
        <v>22</v>
      </c>
      <c r="G170" s="24">
        <v>0</v>
      </c>
      <c r="H170" s="59">
        <v>0</v>
      </c>
      <c r="I170" s="59">
        <v>0</v>
      </c>
      <c r="J170" s="59">
        <v>0.01</v>
      </c>
      <c r="K170" s="59">
        <v>0.05</v>
      </c>
      <c r="L170" s="59">
        <v>0</v>
      </c>
      <c r="M170" s="59">
        <v>0</v>
      </c>
      <c r="N170" s="59"/>
    </row>
    <row r="171" spans="1:14">
      <c r="A171" s="59">
        <v>131</v>
      </c>
      <c r="B171" s="59" t="s">
        <v>1114</v>
      </c>
      <c r="C171" s="59" t="s">
        <v>24</v>
      </c>
      <c r="D171" s="24">
        <v>6</v>
      </c>
      <c r="E171" s="24">
        <v>0</v>
      </c>
      <c r="F171" s="24">
        <v>22</v>
      </c>
      <c r="G171" s="24">
        <v>0</v>
      </c>
      <c r="H171" s="59">
        <v>0</v>
      </c>
      <c r="I171" s="59">
        <v>0</v>
      </c>
      <c r="J171" s="59">
        <v>0.05</v>
      </c>
      <c r="K171" s="59">
        <v>0.05</v>
      </c>
      <c r="L171" s="59">
        <v>0</v>
      </c>
      <c r="M171" s="59">
        <v>0</v>
      </c>
      <c r="N171" s="59"/>
    </row>
    <row r="172" spans="1:14">
      <c r="A172" s="59">
        <v>132</v>
      </c>
      <c r="B172" s="59" t="s">
        <v>1072</v>
      </c>
      <c r="C172" s="59" t="s">
        <v>24</v>
      </c>
      <c r="D172" s="24">
        <v>10</v>
      </c>
      <c r="E172" s="24">
        <v>0</v>
      </c>
      <c r="F172" s="24">
        <v>22</v>
      </c>
      <c r="G172" s="24">
        <v>0</v>
      </c>
      <c r="H172" s="59">
        <v>0</v>
      </c>
      <c r="I172" s="59">
        <v>0</v>
      </c>
      <c r="J172" s="59">
        <v>0.09</v>
      </c>
      <c r="K172" s="59">
        <v>0.05</v>
      </c>
      <c r="L172" s="59">
        <v>0</v>
      </c>
      <c r="M172" s="59">
        <v>0</v>
      </c>
      <c r="N172" s="59"/>
    </row>
    <row r="173" spans="1:14" hidden="1">
      <c r="A173" s="59">
        <v>133</v>
      </c>
      <c r="B173" s="59" t="s">
        <v>1116</v>
      </c>
      <c r="C173" s="59" t="s">
        <v>23</v>
      </c>
      <c r="D173" s="24">
        <v>11</v>
      </c>
      <c r="E173" s="24">
        <v>0</v>
      </c>
      <c r="F173" s="24">
        <v>22</v>
      </c>
      <c r="G173" s="24">
        <v>0</v>
      </c>
      <c r="H173" s="59">
        <v>0</v>
      </c>
      <c r="I173" s="59">
        <v>0</v>
      </c>
      <c r="J173" s="59">
        <v>0.1</v>
      </c>
      <c r="K173" s="59">
        <v>0.05</v>
      </c>
      <c r="L173" s="59">
        <v>0</v>
      </c>
      <c r="M173" s="59">
        <v>0</v>
      </c>
      <c r="N173" s="59"/>
    </row>
    <row r="174" spans="1:14">
      <c r="A174" s="59">
        <v>134</v>
      </c>
      <c r="B174" s="59" t="s">
        <v>421</v>
      </c>
      <c r="C174" s="59" t="s">
        <v>24</v>
      </c>
      <c r="D174" s="24">
        <v>4</v>
      </c>
      <c r="E174" s="24">
        <v>11</v>
      </c>
      <c r="F174" s="24">
        <v>19</v>
      </c>
      <c r="G174" s="24">
        <v>67</v>
      </c>
      <c r="H174" s="59">
        <v>-63.64</v>
      </c>
      <c r="I174" s="59">
        <v>-71.64</v>
      </c>
      <c r="J174" s="59">
        <v>0.03</v>
      </c>
      <c r="K174" s="59">
        <v>0.04</v>
      </c>
      <c r="L174" s="59">
        <v>0.1</v>
      </c>
      <c r="M174" s="59">
        <v>0.14000000000000001</v>
      </c>
      <c r="N174" s="59"/>
    </row>
    <row r="175" spans="1:14">
      <c r="A175" s="59">
        <v>135</v>
      </c>
      <c r="B175" s="59" t="s">
        <v>676</v>
      </c>
      <c r="C175" s="59" t="s">
        <v>24</v>
      </c>
      <c r="D175" s="24">
        <v>7</v>
      </c>
      <c r="E175" s="24">
        <v>0</v>
      </c>
      <c r="F175" s="24">
        <v>19</v>
      </c>
      <c r="G175" s="24">
        <v>6</v>
      </c>
      <c r="H175" s="59">
        <v>0</v>
      </c>
      <c r="I175" s="59">
        <v>216.67</v>
      </c>
      <c r="J175" s="59">
        <v>0.06</v>
      </c>
      <c r="K175" s="59">
        <v>0.04</v>
      </c>
      <c r="L175" s="59">
        <v>0</v>
      </c>
      <c r="M175" s="59">
        <v>0.01</v>
      </c>
      <c r="N175" s="59"/>
    </row>
    <row r="176" spans="1:14" hidden="1">
      <c r="A176" s="59">
        <v>136</v>
      </c>
      <c r="B176" s="59" t="s">
        <v>517</v>
      </c>
      <c r="C176" s="59" t="s">
        <v>23</v>
      </c>
      <c r="D176" s="24">
        <v>7</v>
      </c>
      <c r="E176" s="24">
        <v>8</v>
      </c>
      <c r="F176" s="24">
        <v>18</v>
      </c>
      <c r="G176" s="24">
        <v>34</v>
      </c>
      <c r="H176" s="59">
        <v>-12.5</v>
      </c>
      <c r="I176" s="59">
        <v>-47.06</v>
      </c>
      <c r="J176" s="59">
        <v>0.06</v>
      </c>
      <c r="K176" s="59">
        <v>0.04</v>
      </c>
      <c r="L176" s="59">
        <v>0.08</v>
      </c>
      <c r="M176" s="59">
        <v>7.0000000000000007E-2</v>
      </c>
      <c r="N176" s="59"/>
    </row>
    <row r="177" spans="1:14">
      <c r="A177" s="59">
        <v>137</v>
      </c>
      <c r="B177" s="59" t="s">
        <v>525</v>
      </c>
      <c r="C177" s="59" t="s">
        <v>24</v>
      </c>
      <c r="D177" s="24">
        <v>0</v>
      </c>
      <c r="E177" s="24">
        <v>9</v>
      </c>
      <c r="F177" s="24">
        <v>18</v>
      </c>
      <c r="G177" s="24">
        <v>31</v>
      </c>
      <c r="H177" s="59">
        <v>-100</v>
      </c>
      <c r="I177" s="59">
        <v>-41.94</v>
      </c>
      <c r="J177" s="59">
        <v>0</v>
      </c>
      <c r="K177" s="59">
        <v>0.04</v>
      </c>
      <c r="L177" s="59">
        <v>0.09</v>
      </c>
      <c r="M177" s="59">
        <v>0.06</v>
      </c>
      <c r="N177" s="59"/>
    </row>
    <row r="178" spans="1:14">
      <c r="A178" s="59">
        <v>138</v>
      </c>
      <c r="B178" s="59" t="s">
        <v>600</v>
      </c>
      <c r="C178" s="59" t="s">
        <v>24</v>
      </c>
      <c r="D178" s="24">
        <v>12</v>
      </c>
      <c r="E178" s="24">
        <v>1</v>
      </c>
      <c r="F178" s="24">
        <v>18</v>
      </c>
      <c r="G178" s="24">
        <v>25</v>
      </c>
      <c r="H178" s="67">
        <v>1100</v>
      </c>
      <c r="I178" s="67">
        <v>-28</v>
      </c>
      <c r="J178" s="59">
        <v>0.1</v>
      </c>
      <c r="K178" s="59">
        <v>0.04</v>
      </c>
      <c r="L178" s="59">
        <v>0.01</v>
      </c>
      <c r="M178" s="59">
        <v>0.05</v>
      </c>
      <c r="N178" s="59"/>
    </row>
    <row r="179" spans="1:14">
      <c r="A179" s="59">
        <v>139</v>
      </c>
      <c r="B179" s="59" t="s">
        <v>452</v>
      </c>
      <c r="C179" s="59" t="s">
        <v>24</v>
      </c>
      <c r="D179" s="24">
        <v>5</v>
      </c>
      <c r="E179" s="24">
        <v>6</v>
      </c>
      <c r="F179" s="24">
        <v>18</v>
      </c>
      <c r="G179" s="24">
        <v>14</v>
      </c>
      <c r="H179" s="59">
        <v>-16.670000000000002</v>
      </c>
      <c r="I179" s="59">
        <v>28.57</v>
      </c>
      <c r="J179" s="59">
        <v>0.04</v>
      </c>
      <c r="K179" s="59">
        <v>0.04</v>
      </c>
      <c r="L179" s="59">
        <v>0.06</v>
      </c>
      <c r="M179" s="59">
        <v>0.03</v>
      </c>
      <c r="N179" s="59"/>
    </row>
    <row r="180" spans="1:14" hidden="1">
      <c r="A180" s="59">
        <v>140</v>
      </c>
      <c r="B180" s="59" t="s">
        <v>1022</v>
      </c>
      <c r="C180" s="59" t="s">
        <v>23</v>
      </c>
      <c r="D180" s="24">
        <v>1</v>
      </c>
      <c r="E180" s="24">
        <v>0</v>
      </c>
      <c r="F180" s="24">
        <v>18</v>
      </c>
      <c r="G180" s="24">
        <v>0</v>
      </c>
      <c r="H180" s="67">
        <v>0</v>
      </c>
      <c r="I180" s="67">
        <v>0</v>
      </c>
      <c r="J180" s="59">
        <v>0.01</v>
      </c>
      <c r="K180" s="59">
        <v>0.04</v>
      </c>
      <c r="L180" s="59">
        <v>0</v>
      </c>
      <c r="M180" s="59">
        <v>0</v>
      </c>
      <c r="N180" s="59"/>
    </row>
    <row r="181" spans="1:14" hidden="1">
      <c r="A181" s="59">
        <v>141</v>
      </c>
      <c r="B181" s="59" t="s">
        <v>728</v>
      </c>
      <c r="C181" s="59" t="s">
        <v>23</v>
      </c>
      <c r="D181" s="24">
        <v>2</v>
      </c>
      <c r="E181" s="24">
        <v>1</v>
      </c>
      <c r="F181" s="24">
        <v>17</v>
      </c>
      <c r="G181" s="24">
        <v>1</v>
      </c>
      <c r="H181" s="59">
        <v>100</v>
      </c>
      <c r="I181" s="59">
        <v>1600</v>
      </c>
      <c r="J181" s="59">
        <v>0.02</v>
      </c>
      <c r="K181" s="59">
        <v>0.04</v>
      </c>
      <c r="L181" s="59">
        <v>0.01</v>
      </c>
      <c r="M181" s="59">
        <v>0</v>
      </c>
      <c r="N181" s="59"/>
    </row>
    <row r="182" spans="1:14">
      <c r="A182" s="59">
        <v>142</v>
      </c>
      <c r="B182" s="59" t="s">
        <v>1130</v>
      </c>
      <c r="C182" s="59" t="s">
        <v>24</v>
      </c>
      <c r="D182" s="24">
        <v>5</v>
      </c>
      <c r="E182" s="24">
        <v>1</v>
      </c>
      <c r="F182" s="24">
        <v>16</v>
      </c>
      <c r="G182" s="24">
        <v>30</v>
      </c>
      <c r="H182" s="59">
        <v>400</v>
      </c>
      <c r="I182" s="59">
        <v>-46.67</v>
      </c>
      <c r="J182" s="59">
        <v>0.04</v>
      </c>
      <c r="K182" s="59">
        <v>0.03</v>
      </c>
      <c r="L182" s="59">
        <v>0.01</v>
      </c>
      <c r="M182" s="59">
        <v>0.06</v>
      </c>
      <c r="N182" s="59"/>
    </row>
    <row r="183" spans="1:14">
      <c r="A183" s="59">
        <v>143</v>
      </c>
      <c r="B183" s="59" t="s">
        <v>583</v>
      </c>
      <c r="C183" s="59" t="s">
        <v>24</v>
      </c>
      <c r="D183" s="24">
        <v>3</v>
      </c>
      <c r="E183" s="24">
        <v>14</v>
      </c>
      <c r="F183" s="24">
        <v>15</v>
      </c>
      <c r="G183" s="24">
        <v>64</v>
      </c>
      <c r="H183" s="59">
        <v>-78.569999999999993</v>
      </c>
      <c r="I183" s="59">
        <v>-76.56</v>
      </c>
      <c r="J183" s="59">
        <v>0.03</v>
      </c>
      <c r="K183" s="59">
        <v>0.03</v>
      </c>
      <c r="L183" s="59">
        <v>0.13</v>
      </c>
      <c r="M183" s="59">
        <v>0.13</v>
      </c>
      <c r="N183" s="59"/>
    </row>
    <row r="184" spans="1:14" hidden="1">
      <c r="A184" s="59">
        <v>144</v>
      </c>
      <c r="B184" s="59" t="s">
        <v>440</v>
      </c>
      <c r="C184" s="59" t="s">
        <v>23</v>
      </c>
      <c r="D184" s="24">
        <v>5</v>
      </c>
      <c r="E184" s="24">
        <v>9</v>
      </c>
      <c r="F184" s="24">
        <v>15</v>
      </c>
      <c r="G184" s="24">
        <v>41</v>
      </c>
      <c r="H184" s="59">
        <v>-44.44</v>
      </c>
      <c r="I184" s="59">
        <v>-63.41</v>
      </c>
      <c r="J184" s="59">
        <v>0.04</v>
      </c>
      <c r="K184" s="59">
        <v>0.03</v>
      </c>
      <c r="L184" s="59">
        <v>0.09</v>
      </c>
      <c r="M184" s="59">
        <v>0.09</v>
      </c>
      <c r="N184" s="59"/>
    </row>
    <row r="185" spans="1:14" hidden="1">
      <c r="A185" s="59">
        <v>145</v>
      </c>
      <c r="B185" s="59" t="s">
        <v>623</v>
      </c>
      <c r="C185" s="59" t="s">
        <v>23</v>
      </c>
      <c r="D185" s="24">
        <v>14</v>
      </c>
      <c r="E185" s="24">
        <v>13</v>
      </c>
      <c r="F185" s="24">
        <v>14</v>
      </c>
      <c r="G185" s="24">
        <v>110</v>
      </c>
      <c r="H185" s="59">
        <v>7.69</v>
      </c>
      <c r="I185" s="59">
        <v>-87.27</v>
      </c>
      <c r="J185" s="59">
        <v>0.12</v>
      </c>
      <c r="K185" s="59">
        <v>0.03</v>
      </c>
      <c r="L185" s="59">
        <v>0.12</v>
      </c>
      <c r="M185" s="59">
        <v>0.23</v>
      </c>
      <c r="N185" s="59"/>
    </row>
    <row r="186" spans="1:14" hidden="1">
      <c r="A186" s="59">
        <v>146</v>
      </c>
      <c r="B186" s="59" t="s">
        <v>250</v>
      </c>
      <c r="C186" s="59" t="s">
        <v>23</v>
      </c>
      <c r="D186" s="24">
        <v>11</v>
      </c>
      <c r="E186" s="24">
        <v>2</v>
      </c>
      <c r="F186" s="24">
        <v>14</v>
      </c>
      <c r="G186" s="24">
        <v>19</v>
      </c>
      <c r="H186" s="59">
        <v>450</v>
      </c>
      <c r="I186" s="59">
        <v>-26.32</v>
      </c>
      <c r="J186" s="59">
        <v>0.1</v>
      </c>
      <c r="K186" s="59">
        <v>0.03</v>
      </c>
      <c r="L186" s="59">
        <v>0.02</v>
      </c>
      <c r="M186" s="59">
        <v>0.04</v>
      </c>
      <c r="N186" s="59"/>
    </row>
    <row r="187" spans="1:14" hidden="1">
      <c r="A187" s="59">
        <v>147</v>
      </c>
      <c r="B187" s="59" t="s">
        <v>202</v>
      </c>
      <c r="C187" s="59" t="s">
        <v>23</v>
      </c>
      <c r="D187" s="24">
        <v>2</v>
      </c>
      <c r="E187" s="24">
        <v>0</v>
      </c>
      <c r="F187" s="24">
        <v>14</v>
      </c>
      <c r="G187" s="24">
        <v>0</v>
      </c>
      <c r="H187" s="59">
        <v>0</v>
      </c>
      <c r="I187" s="59">
        <v>0</v>
      </c>
      <c r="J187" s="59">
        <v>0.02</v>
      </c>
      <c r="K187" s="59">
        <v>0.03</v>
      </c>
      <c r="L187" s="59">
        <v>0</v>
      </c>
      <c r="M187" s="59">
        <v>0</v>
      </c>
      <c r="N187" s="59"/>
    </row>
    <row r="188" spans="1:14" hidden="1">
      <c r="A188" s="59">
        <v>148</v>
      </c>
      <c r="B188" s="59" t="s">
        <v>1098</v>
      </c>
      <c r="C188" s="59" t="s">
        <v>23</v>
      </c>
      <c r="D188" s="24">
        <v>8</v>
      </c>
      <c r="E188" s="24">
        <v>0</v>
      </c>
      <c r="F188" s="24">
        <v>14</v>
      </c>
      <c r="G188" s="24">
        <v>0</v>
      </c>
      <c r="H188" s="59">
        <v>0</v>
      </c>
      <c r="I188" s="59">
        <v>0</v>
      </c>
      <c r="J188" s="59">
        <v>7.0000000000000007E-2</v>
      </c>
      <c r="K188" s="59">
        <v>0.03</v>
      </c>
      <c r="L188" s="59">
        <v>0</v>
      </c>
      <c r="M188" s="59">
        <v>0</v>
      </c>
      <c r="N188" s="59"/>
    </row>
    <row r="189" spans="1:14">
      <c r="A189" s="59">
        <v>149</v>
      </c>
      <c r="B189" s="59" t="s">
        <v>522</v>
      </c>
      <c r="C189" s="59" t="s">
        <v>24</v>
      </c>
      <c r="D189" s="24">
        <v>3</v>
      </c>
      <c r="E189" s="24">
        <v>7</v>
      </c>
      <c r="F189" s="24">
        <v>13</v>
      </c>
      <c r="G189" s="24">
        <v>36</v>
      </c>
      <c r="H189" s="59">
        <v>-57.14</v>
      </c>
      <c r="I189" s="59">
        <v>-63.89</v>
      </c>
      <c r="J189" s="59">
        <v>0.03</v>
      </c>
      <c r="K189" s="59">
        <v>0.03</v>
      </c>
      <c r="L189" s="59">
        <v>7.0000000000000007E-2</v>
      </c>
      <c r="M189" s="59">
        <v>0.08</v>
      </c>
      <c r="N189" s="59"/>
    </row>
    <row r="190" spans="1:14">
      <c r="A190" s="59">
        <v>150</v>
      </c>
      <c r="B190" s="59" t="s">
        <v>1073</v>
      </c>
      <c r="C190" s="59" t="s">
        <v>24</v>
      </c>
      <c r="D190" s="24">
        <v>2</v>
      </c>
      <c r="E190" s="24">
        <v>0</v>
      </c>
      <c r="F190" s="24">
        <v>13</v>
      </c>
      <c r="G190" s="24">
        <v>0</v>
      </c>
      <c r="H190" s="59">
        <v>0</v>
      </c>
      <c r="I190" s="59">
        <v>0</v>
      </c>
      <c r="J190" s="59">
        <v>0.02</v>
      </c>
      <c r="K190" s="59">
        <v>0.03</v>
      </c>
      <c r="L190" s="59">
        <v>0</v>
      </c>
      <c r="M190" s="59">
        <v>0</v>
      </c>
      <c r="N190" s="59"/>
    </row>
    <row r="191" spans="1:14" hidden="1">
      <c r="A191" s="59">
        <v>151</v>
      </c>
      <c r="B191" s="59" t="s">
        <v>732</v>
      </c>
      <c r="C191" s="59" t="s">
        <v>23</v>
      </c>
      <c r="D191" s="24">
        <v>3</v>
      </c>
      <c r="E191" s="24">
        <v>0</v>
      </c>
      <c r="F191" s="24">
        <v>12</v>
      </c>
      <c r="G191" s="24">
        <v>0</v>
      </c>
      <c r="H191" s="59">
        <v>0</v>
      </c>
      <c r="I191" s="59">
        <v>0</v>
      </c>
      <c r="J191" s="59">
        <v>0.03</v>
      </c>
      <c r="K191" s="59">
        <v>0.03</v>
      </c>
      <c r="L191" s="59">
        <v>0</v>
      </c>
      <c r="M191" s="59">
        <v>0</v>
      </c>
      <c r="N191" s="59"/>
    </row>
    <row r="192" spans="1:14">
      <c r="A192" s="59">
        <v>152</v>
      </c>
      <c r="B192" s="59" t="s">
        <v>1202</v>
      </c>
      <c r="C192" s="59" t="s">
        <v>24</v>
      </c>
      <c r="D192" s="24">
        <v>12</v>
      </c>
      <c r="E192" s="24">
        <v>0</v>
      </c>
      <c r="F192" s="24">
        <v>12</v>
      </c>
      <c r="G192" s="24">
        <v>0</v>
      </c>
      <c r="H192" s="59">
        <v>0</v>
      </c>
      <c r="I192" s="59">
        <v>0</v>
      </c>
      <c r="J192" s="59">
        <v>0.1</v>
      </c>
      <c r="K192" s="59">
        <v>0.03</v>
      </c>
      <c r="L192" s="59">
        <v>0</v>
      </c>
      <c r="M192" s="59">
        <v>0</v>
      </c>
      <c r="N192" s="59"/>
    </row>
    <row r="193" spans="1:14" hidden="1">
      <c r="A193" s="59">
        <v>153</v>
      </c>
      <c r="B193" s="59" t="s">
        <v>141</v>
      </c>
      <c r="C193" s="59" t="s">
        <v>23</v>
      </c>
      <c r="D193" s="24">
        <v>3</v>
      </c>
      <c r="E193" s="24">
        <v>11</v>
      </c>
      <c r="F193" s="24">
        <v>11</v>
      </c>
      <c r="G193" s="24">
        <v>54</v>
      </c>
      <c r="H193" s="59">
        <v>-72.73</v>
      </c>
      <c r="I193" s="59">
        <v>-79.63</v>
      </c>
      <c r="J193" s="59">
        <v>0.03</v>
      </c>
      <c r="K193" s="59">
        <v>0.02</v>
      </c>
      <c r="L193" s="59">
        <v>0.1</v>
      </c>
      <c r="M193" s="59">
        <v>0.11</v>
      </c>
      <c r="N193" s="59"/>
    </row>
    <row r="194" spans="1:14" hidden="1">
      <c r="A194" s="59">
        <v>154</v>
      </c>
      <c r="B194" s="59" t="s">
        <v>457</v>
      </c>
      <c r="C194" s="59" t="s">
        <v>23</v>
      </c>
      <c r="D194" s="24">
        <v>3</v>
      </c>
      <c r="E194" s="24">
        <v>19</v>
      </c>
      <c r="F194" s="24">
        <v>11</v>
      </c>
      <c r="G194" s="24">
        <v>36</v>
      </c>
      <c r="H194" s="67">
        <v>-84.21</v>
      </c>
      <c r="I194" s="67">
        <v>-69.44</v>
      </c>
      <c r="J194" s="67">
        <v>0.03</v>
      </c>
      <c r="K194" s="67">
        <v>0.02</v>
      </c>
      <c r="L194" s="67">
        <v>0.18</v>
      </c>
      <c r="M194" s="67">
        <v>0.08</v>
      </c>
      <c r="N194" s="59"/>
    </row>
    <row r="195" spans="1:14">
      <c r="A195" s="59">
        <v>155</v>
      </c>
      <c r="B195" s="59" t="s">
        <v>460</v>
      </c>
      <c r="C195" s="59" t="s">
        <v>24</v>
      </c>
      <c r="D195" s="24">
        <v>5</v>
      </c>
      <c r="E195" s="24">
        <v>2</v>
      </c>
      <c r="F195" s="24">
        <v>11</v>
      </c>
      <c r="G195" s="24">
        <v>8</v>
      </c>
      <c r="H195" s="59">
        <v>150</v>
      </c>
      <c r="I195" s="59">
        <v>37.5</v>
      </c>
      <c r="J195" s="59">
        <v>0.04</v>
      </c>
      <c r="K195" s="59">
        <v>0.02</v>
      </c>
      <c r="L195" s="59">
        <v>0.02</v>
      </c>
      <c r="M195" s="59">
        <v>0.02</v>
      </c>
      <c r="N195" s="59"/>
    </row>
    <row r="196" spans="1:14" hidden="1">
      <c r="A196" s="59">
        <v>156</v>
      </c>
      <c r="B196" s="59" t="s">
        <v>519</v>
      </c>
      <c r="C196" s="59" t="s">
        <v>23</v>
      </c>
      <c r="D196" s="24">
        <v>6</v>
      </c>
      <c r="E196" s="24">
        <v>1</v>
      </c>
      <c r="F196" s="24">
        <v>11</v>
      </c>
      <c r="G196" s="24">
        <v>5</v>
      </c>
      <c r="H196" s="59">
        <v>500</v>
      </c>
      <c r="I196" s="59">
        <v>120</v>
      </c>
      <c r="J196" s="59">
        <v>0.05</v>
      </c>
      <c r="K196" s="59">
        <v>0.02</v>
      </c>
      <c r="L196" s="59">
        <v>0.01</v>
      </c>
      <c r="M196" s="59">
        <v>0.01</v>
      </c>
      <c r="N196" s="59"/>
    </row>
    <row r="197" spans="1:14" hidden="1">
      <c r="A197" s="59">
        <v>157</v>
      </c>
      <c r="B197" s="59" t="s">
        <v>183</v>
      </c>
      <c r="C197" s="59" t="s">
        <v>23</v>
      </c>
      <c r="D197" s="24">
        <v>0</v>
      </c>
      <c r="E197" s="24">
        <v>5</v>
      </c>
      <c r="F197" s="24">
        <v>10</v>
      </c>
      <c r="G197" s="24">
        <v>10</v>
      </c>
      <c r="H197" s="59">
        <v>-100</v>
      </c>
      <c r="I197" s="59">
        <v>0</v>
      </c>
      <c r="J197" s="59">
        <v>0</v>
      </c>
      <c r="K197" s="59">
        <v>0.02</v>
      </c>
      <c r="L197" s="59">
        <v>0.05</v>
      </c>
      <c r="M197" s="59">
        <v>0.02</v>
      </c>
      <c r="N197" s="59"/>
    </row>
    <row r="198" spans="1:14" hidden="1">
      <c r="A198" s="59">
        <v>158</v>
      </c>
      <c r="B198" s="59" t="s">
        <v>720</v>
      </c>
      <c r="C198" s="59" t="s">
        <v>23</v>
      </c>
      <c r="D198" s="24">
        <v>7</v>
      </c>
      <c r="E198" s="24">
        <v>2</v>
      </c>
      <c r="F198" s="24">
        <v>10</v>
      </c>
      <c r="G198" s="24">
        <v>2</v>
      </c>
      <c r="H198" s="59">
        <v>250</v>
      </c>
      <c r="I198" s="59">
        <v>400</v>
      </c>
      <c r="J198" s="59">
        <v>0.06</v>
      </c>
      <c r="K198" s="59">
        <v>0.02</v>
      </c>
      <c r="L198" s="59">
        <v>0.02</v>
      </c>
      <c r="M198" s="59">
        <v>0</v>
      </c>
      <c r="N198" s="59"/>
    </row>
    <row r="199" spans="1:14">
      <c r="A199" s="59">
        <v>159</v>
      </c>
      <c r="B199" s="59" t="s">
        <v>673</v>
      </c>
      <c r="C199" s="59" t="s">
        <v>24</v>
      </c>
      <c r="D199" s="24">
        <v>3</v>
      </c>
      <c r="E199" s="24">
        <v>9</v>
      </c>
      <c r="F199" s="24">
        <v>9</v>
      </c>
      <c r="G199" s="24">
        <v>27</v>
      </c>
      <c r="H199" s="59">
        <v>-66.67</v>
      </c>
      <c r="I199" s="59">
        <v>-66.67</v>
      </c>
      <c r="J199" s="59">
        <v>0.03</v>
      </c>
      <c r="K199" s="59">
        <v>0.02</v>
      </c>
      <c r="L199" s="59">
        <v>0.09</v>
      </c>
      <c r="M199" s="59">
        <v>0.06</v>
      </c>
      <c r="N199" s="59"/>
    </row>
    <row r="200" spans="1:14">
      <c r="A200" s="59">
        <v>160</v>
      </c>
      <c r="B200" s="59" t="s">
        <v>639</v>
      </c>
      <c r="C200" s="59" t="s">
        <v>24</v>
      </c>
      <c r="D200" s="24">
        <v>1</v>
      </c>
      <c r="E200" s="24">
        <v>0</v>
      </c>
      <c r="F200" s="24">
        <v>9</v>
      </c>
      <c r="G200" s="24">
        <v>14</v>
      </c>
      <c r="H200" s="59">
        <v>0</v>
      </c>
      <c r="I200" s="59">
        <v>-35.71</v>
      </c>
      <c r="J200" s="59">
        <v>0.01</v>
      </c>
      <c r="K200" s="59">
        <v>0.02</v>
      </c>
      <c r="L200" s="59">
        <v>0</v>
      </c>
      <c r="M200" s="59">
        <v>0.03</v>
      </c>
      <c r="N200" s="59"/>
    </row>
    <row r="201" spans="1:14">
      <c r="A201" s="59">
        <v>161</v>
      </c>
      <c r="B201" s="59" t="s">
        <v>1137</v>
      </c>
      <c r="C201" s="59" t="s">
        <v>24</v>
      </c>
      <c r="D201" s="24">
        <v>4</v>
      </c>
      <c r="E201" s="24">
        <v>5</v>
      </c>
      <c r="F201" s="24">
        <v>9</v>
      </c>
      <c r="G201" s="24">
        <v>6</v>
      </c>
      <c r="H201" s="59">
        <v>-20</v>
      </c>
      <c r="I201" s="59">
        <v>50</v>
      </c>
      <c r="J201" s="59">
        <v>0.03</v>
      </c>
      <c r="K201" s="59">
        <v>0.02</v>
      </c>
      <c r="L201" s="59">
        <v>0.05</v>
      </c>
      <c r="M201" s="59">
        <v>0.01</v>
      </c>
      <c r="N201" s="59"/>
    </row>
    <row r="202" spans="1:14">
      <c r="A202" s="59">
        <v>162</v>
      </c>
      <c r="B202" s="59" t="s">
        <v>1168</v>
      </c>
      <c r="C202" s="59" t="s">
        <v>24</v>
      </c>
      <c r="D202" s="24">
        <v>3</v>
      </c>
      <c r="E202" s="24">
        <v>0</v>
      </c>
      <c r="F202" s="24">
        <v>9</v>
      </c>
      <c r="G202" s="24">
        <v>0</v>
      </c>
      <c r="H202" s="59">
        <v>0</v>
      </c>
      <c r="I202" s="59">
        <v>0</v>
      </c>
      <c r="J202" s="59">
        <v>0.03</v>
      </c>
      <c r="K202" s="59">
        <v>0.02</v>
      </c>
      <c r="L202" s="59">
        <v>0</v>
      </c>
      <c r="M202" s="59">
        <v>0</v>
      </c>
      <c r="N202" s="59"/>
    </row>
    <row r="203" spans="1:14" hidden="1">
      <c r="A203" s="59">
        <v>163</v>
      </c>
      <c r="B203" s="59" t="s">
        <v>1195</v>
      </c>
      <c r="C203" s="59" t="s">
        <v>23</v>
      </c>
      <c r="D203" s="24">
        <v>8</v>
      </c>
      <c r="E203" s="24">
        <v>0</v>
      </c>
      <c r="F203" s="24">
        <v>8</v>
      </c>
      <c r="G203" s="24">
        <v>0</v>
      </c>
      <c r="H203" s="59">
        <v>0</v>
      </c>
      <c r="I203" s="59">
        <v>0</v>
      </c>
      <c r="J203" s="59">
        <v>7.0000000000000007E-2</v>
      </c>
      <c r="K203" s="59">
        <v>0.02</v>
      </c>
      <c r="L203" s="59">
        <v>0</v>
      </c>
      <c r="M203" s="59">
        <v>0</v>
      </c>
      <c r="N203" s="59"/>
    </row>
    <row r="204" spans="1:14" hidden="1">
      <c r="A204" s="152">
        <v>164</v>
      </c>
      <c r="B204" s="152" t="s">
        <v>524</v>
      </c>
      <c r="C204" s="152" t="s">
        <v>23</v>
      </c>
      <c r="D204" s="159">
        <v>0</v>
      </c>
      <c r="E204" s="159">
        <v>4</v>
      </c>
      <c r="F204" s="159">
        <v>7</v>
      </c>
      <c r="G204" s="159">
        <v>16</v>
      </c>
      <c r="H204" s="152">
        <v>-100</v>
      </c>
      <c r="I204" s="152">
        <v>-56.25</v>
      </c>
      <c r="J204" s="152">
        <v>0</v>
      </c>
      <c r="K204" s="152">
        <v>0.01</v>
      </c>
      <c r="L204" s="152">
        <v>0.04</v>
      </c>
      <c r="M204" s="152">
        <v>0.03</v>
      </c>
      <c r="N204" s="59"/>
    </row>
    <row r="205" spans="1:14" hidden="1">
      <c r="A205" s="152">
        <v>165</v>
      </c>
      <c r="B205" s="152" t="s">
        <v>379</v>
      </c>
      <c r="C205" s="152" t="s">
        <v>23</v>
      </c>
      <c r="D205" s="159">
        <v>0</v>
      </c>
      <c r="E205" s="159">
        <v>1</v>
      </c>
      <c r="F205" s="159">
        <v>7</v>
      </c>
      <c r="G205" s="159">
        <v>5</v>
      </c>
      <c r="H205" s="152">
        <v>-100</v>
      </c>
      <c r="I205" s="152">
        <v>40</v>
      </c>
      <c r="J205" s="152">
        <v>0</v>
      </c>
      <c r="K205" s="152">
        <v>0.01</v>
      </c>
      <c r="L205" s="152">
        <v>0.01</v>
      </c>
      <c r="M205" s="152">
        <v>0.01</v>
      </c>
      <c r="N205" s="59"/>
    </row>
    <row r="206" spans="1:14">
      <c r="A206" s="152">
        <v>166</v>
      </c>
      <c r="B206" s="152" t="s">
        <v>1122</v>
      </c>
      <c r="C206" s="152" t="s">
        <v>24</v>
      </c>
      <c r="D206" s="159">
        <v>0</v>
      </c>
      <c r="E206" s="159">
        <v>0</v>
      </c>
      <c r="F206" s="159">
        <v>7</v>
      </c>
      <c r="G206" s="159">
        <v>0</v>
      </c>
      <c r="H206" s="152">
        <v>0</v>
      </c>
      <c r="I206" s="152">
        <v>0</v>
      </c>
      <c r="J206" s="152">
        <v>0</v>
      </c>
      <c r="K206" s="152">
        <v>0.01</v>
      </c>
      <c r="L206" s="152">
        <v>0</v>
      </c>
      <c r="M206" s="152">
        <v>0</v>
      </c>
      <c r="N206" s="59"/>
    </row>
    <row r="207" spans="1:14" hidden="1">
      <c r="A207" s="152">
        <v>167</v>
      </c>
      <c r="B207" s="152" t="s">
        <v>398</v>
      </c>
      <c r="C207" s="152" t="s">
        <v>23</v>
      </c>
      <c r="D207" s="159">
        <v>0</v>
      </c>
      <c r="E207" s="159">
        <v>10</v>
      </c>
      <c r="F207" s="159">
        <v>6</v>
      </c>
      <c r="G207" s="159">
        <v>43</v>
      </c>
      <c r="H207" s="152">
        <v>-100</v>
      </c>
      <c r="I207" s="152">
        <v>-86.05</v>
      </c>
      <c r="J207" s="152">
        <v>0</v>
      </c>
      <c r="K207" s="152">
        <v>0.01</v>
      </c>
      <c r="L207" s="152">
        <v>0.09</v>
      </c>
      <c r="M207" s="152">
        <v>0.09</v>
      </c>
      <c r="N207" s="59"/>
    </row>
    <row r="208" spans="1:14" hidden="1">
      <c r="A208" s="152">
        <v>168</v>
      </c>
      <c r="B208" s="152" t="s">
        <v>244</v>
      </c>
      <c r="C208" s="152" t="s">
        <v>23</v>
      </c>
      <c r="D208" s="159">
        <v>0</v>
      </c>
      <c r="E208" s="159">
        <v>2</v>
      </c>
      <c r="F208" s="159">
        <v>6</v>
      </c>
      <c r="G208" s="159">
        <v>15</v>
      </c>
      <c r="H208" s="152">
        <v>-100</v>
      </c>
      <c r="I208" s="152">
        <v>-60</v>
      </c>
      <c r="J208" s="152">
        <v>0</v>
      </c>
      <c r="K208" s="152">
        <v>0.01</v>
      </c>
      <c r="L208" s="152">
        <v>0.02</v>
      </c>
      <c r="M208" s="152">
        <v>0.03</v>
      </c>
      <c r="N208" s="59"/>
    </row>
    <row r="209" spans="1:14">
      <c r="A209" s="152">
        <v>169</v>
      </c>
      <c r="B209" s="152" t="s">
        <v>1048</v>
      </c>
      <c r="C209" s="152" t="s">
        <v>24</v>
      </c>
      <c r="D209" s="159">
        <v>0</v>
      </c>
      <c r="E209" s="159">
        <v>0</v>
      </c>
      <c r="F209" s="159">
        <v>6</v>
      </c>
      <c r="G209" s="159">
        <v>0</v>
      </c>
      <c r="H209" s="152">
        <v>0</v>
      </c>
      <c r="I209" s="152">
        <v>0</v>
      </c>
      <c r="J209" s="152">
        <v>0</v>
      </c>
      <c r="K209" s="152">
        <v>0.01</v>
      </c>
      <c r="L209" s="152">
        <v>0</v>
      </c>
      <c r="M209" s="152">
        <v>0</v>
      </c>
      <c r="N209" s="59"/>
    </row>
    <row r="210" spans="1:14">
      <c r="A210" s="152">
        <v>170</v>
      </c>
      <c r="B210" s="152" t="s">
        <v>409</v>
      </c>
      <c r="C210" s="152" t="s">
        <v>24</v>
      </c>
      <c r="D210" s="159">
        <v>0</v>
      </c>
      <c r="E210" s="159">
        <v>11</v>
      </c>
      <c r="F210" s="159">
        <v>5</v>
      </c>
      <c r="G210" s="159">
        <v>59</v>
      </c>
      <c r="H210" s="152">
        <v>-100</v>
      </c>
      <c r="I210" s="152">
        <v>-91.53</v>
      </c>
      <c r="J210" s="152">
        <v>0</v>
      </c>
      <c r="K210" s="152">
        <v>0.01</v>
      </c>
      <c r="L210" s="152">
        <v>0.1</v>
      </c>
      <c r="M210" s="152">
        <v>0.12</v>
      </c>
      <c r="N210" s="59"/>
    </row>
    <row r="211" spans="1:14" hidden="1">
      <c r="A211" s="152">
        <v>171</v>
      </c>
      <c r="B211" s="152" t="s">
        <v>624</v>
      </c>
      <c r="C211" s="152" t="s">
        <v>23</v>
      </c>
      <c r="D211" s="159">
        <v>2</v>
      </c>
      <c r="E211" s="159">
        <v>3</v>
      </c>
      <c r="F211" s="159">
        <v>5</v>
      </c>
      <c r="G211" s="159">
        <v>28</v>
      </c>
      <c r="H211" s="152">
        <v>-33.33</v>
      </c>
      <c r="I211" s="152">
        <v>-82.14</v>
      </c>
      <c r="J211" s="152">
        <v>0.02</v>
      </c>
      <c r="K211" s="152">
        <v>0.01</v>
      </c>
      <c r="L211" s="152">
        <v>0.03</v>
      </c>
      <c r="M211" s="152">
        <v>0.06</v>
      </c>
      <c r="N211" s="59"/>
    </row>
    <row r="212" spans="1:14" hidden="1">
      <c r="A212" s="152">
        <v>172</v>
      </c>
      <c r="B212" s="152" t="s">
        <v>444</v>
      </c>
      <c r="C212" s="152" t="s">
        <v>23</v>
      </c>
      <c r="D212" s="159">
        <v>0</v>
      </c>
      <c r="E212" s="159">
        <v>2</v>
      </c>
      <c r="F212" s="159">
        <v>5</v>
      </c>
      <c r="G212" s="159">
        <v>23</v>
      </c>
      <c r="H212" s="152">
        <v>-100</v>
      </c>
      <c r="I212" s="152">
        <v>-78.260000000000005</v>
      </c>
      <c r="J212" s="152">
        <v>0</v>
      </c>
      <c r="K212" s="152">
        <v>0.01</v>
      </c>
      <c r="L212" s="152">
        <v>0.02</v>
      </c>
      <c r="M212" s="152">
        <v>0.05</v>
      </c>
      <c r="N212" s="59"/>
    </row>
    <row r="213" spans="1:14" hidden="1">
      <c r="A213" s="152">
        <v>173</v>
      </c>
      <c r="B213" s="152" t="s">
        <v>442</v>
      </c>
      <c r="C213" s="152" t="s">
        <v>23</v>
      </c>
      <c r="D213" s="159">
        <v>1</v>
      </c>
      <c r="E213" s="159">
        <v>0</v>
      </c>
      <c r="F213" s="159">
        <v>5</v>
      </c>
      <c r="G213" s="159">
        <v>13</v>
      </c>
      <c r="H213" s="154">
        <v>0</v>
      </c>
      <c r="I213" s="154">
        <v>-61.54</v>
      </c>
      <c r="J213" s="154">
        <v>0.01</v>
      </c>
      <c r="K213" s="154">
        <v>0.01</v>
      </c>
      <c r="L213" s="154">
        <v>0</v>
      </c>
      <c r="M213" s="154">
        <v>0.03</v>
      </c>
      <c r="N213" s="59"/>
    </row>
    <row r="214" spans="1:14">
      <c r="A214" s="152">
        <v>174</v>
      </c>
      <c r="B214" s="152" t="s">
        <v>1119</v>
      </c>
      <c r="C214" s="152" t="s">
        <v>24</v>
      </c>
      <c r="D214" s="159">
        <v>0</v>
      </c>
      <c r="E214" s="159">
        <v>3</v>
      </c>
      <c r="F214" s="159">
        <v>5</v>
      </c>
      <c r="G214" s="159">
        <v>8</v>
      </c>
      <c r="H214" s="152">
        <v>-100</v>
      </c>
      <c r="I214" s="152">
        <v>-37.5</v>
      </c>
      <c r="J214" s="152">
        <v>0</v>
      </c>
      <c r="K214" s="152">
        <v>0.01</v>
      </c>
      <c r="L214" s="152">
        <v>0.03</v>
      </c>
      <c r="M214" s="152">
        <v>0.02</v>
      </c>
      <c r="N214" s="59"/>
    </row>
    <row r="215" spans="1:14" hidden="1">
      <c r="A215" s="152">
        <v>175</v>
      </c>
      <c r="B215" s="152" t="s">
        <v>412</v>
      </c>
      <c r="C215" s="152" t="s">
        <v>23</v>
      </c>
      <c r="D215" s="159">
        <v>1</v>
      </c>
      <c r="E215" s="159">
        <v>0</v>
      </c>
      <c r="F215" s="159">
        <v>5</v>
      </c>
      <c r="G215" s="159">
        <v>0</v>
      </c>
      <c r="H215" s="152">
        <v>0</v>
      </c>
      <c r="I215" s="152">
        <v>0</v>
      </c>
      <c r="J215" s="152">
        <v>0.01</v>
      </c>
      <c r="K215" s="152">
        <v>0.01</v>
      </c>
      <c r="L215" s="152">
        <v>0</v>
      </c>
      <c r="M215" s="152">
        <v>0</v>
      </c>
      <c r="N215" s="59"/>
    </row>
    <row r="216" spans="1:14" hidden="1">
      <c r="A216" s="152">
        <v>176</v>
      </c>
      <c r="B216" s="152" t="s">
        <v>1134</v>
      </c>
      <c r="C216" s="152" t="s">
        <v>23</v>
      </c>
      <c r="D216" s="159">
        <v>0</v>
      </c>
      <c r="E216" s="159">
        <v>0</v>
      </c>
      <c r="F216" s="159">
        <v>5</v>
      </c>
      <c r="G216" s="159">
        <v>0</v>
      </c>
      <c r="H216" s="152">
        <v>0</v>
      </c>
      <c r="I216" s="152">
        <v>0</v>
      </c>
      <c r="J216" s="152">
        <v>0</v>
      </c>
      <c r="K216" s="152">
        <v>0.01</v>
      </c>
      <c r="L216" s="152">
        <v>0</v>
      </c>
      <c r="M216" s="152">
        <v>0</v>
      </c>
      <c r="N216" s="59"/>
    </row>
    <row r="217" spans="1:14" hidden="1">
      <c r="A217" s="152">
        <v>177</v>
      </c>
      <c r="B217" s="152" t="s">
        <v>516</v>
      </c>
      <c r="C217" s="152" t="s">
        <v>23</v>
      </c>
      <c r="D217" s="159">
        <v>2</v>
      </c>
      <c r="E217" s="159">
        <v>7</v>
      </c>
      <c r="F217" s="159">
        <v>4</v>
      </c>
      <c r="G217" s="159">
        <v>25</v>
      </c>
      <c r="H217" s="152">
        <v>-71.430000000000007</v>
      </c>
      <c r="I217" s="152">
        <v>-84</v>
      </c>
      <c r="J217" s="152">
        <v>0.02</v>
      </c>
      <c r="K217" s="152">
        <v>0.01</v>
      </c>
      <c r="L217" s="152">
        <v>7.0000000000000007E-2</v>
      </c>
      <c r="M217" s="152">
        <v>0.05</v>
      </c>
      <c r="N217" s="59"/>
    </row>
    <row r="218" spans="1:14">
      <c r="A218" s="152">
        <v>178</v>
      </c>
      <c r="B218" s="152" t="s">
        <v>1174</v>
      </c>
      <c r="C218" s="152" t="s">
        <v>24</v>
      </c>
      <c r="D218" s="159">
        <v>0</v>
      </c>
      <c r="E218" s="159">
        <v>0</v>
      </c>
      <c r="F218" s="159">
        <v>4</v>
      </c>
      <c r="G218" s="159">
        <v>0</v>
      </c>
      <c r="H218" s="152">
        <v>0</v>
      </c>
      <c r="I218" s="152">
        <v>0</v>
      </c>
      <c r="J218" s="152">
        <v>0</v>
      </c>
      <c r="K218" s="152">
        <v>0.01</v>
      </c>
      <c r="L218" s="152">
        <v>0</v>
      </c>
      <c r="M218" s="152">
        <v>0</v>
      </c>
      <c r="N218" s="59"/>
    </row>
    <row r="219" spans="1:14" hidden="1">
      <c r="A219" s="152">
        <v>179</v>
      </c>
      <c r="B219" s="152" t="s">
        <v>152</v>
      </c>
      <c r="C219" s="152" t="s">
        <v>23</v>
      </c>
      <c r="D219" s="159">
        <v>1</v>
      </c>
      <c r="E219" s="159">
        <v>15</v>
      </c>
      <c r="F219" s="159">
        <v>3</v>
      </c>
      <c r="G219" s="159">
        <v>81</v>
      </c>
      <c r="H219" s="152">
        <v>-93.33</v>
      </c>
      <c r="I219" s="152">
        <v>-96.3</v>
      </c>
      <c r="J219" s="152">
        <v>0.01</v>
      </c>
      <c r="K219" s="152">
        <v>0.01</v>
      </c>
      <c r="L219" s="152">
        <v>0.14000000000000001</v>
      </c>
      <c r="M219" s="152">
        <v>0.17</v>
      </c>
      <c r="N219" s="59"/>
    </row>
    <row r="220" spans="1:14" hidden="1">
      <c r="A220" s="152">
        <v>180</v>
      </c>
      <c r="B220" s="152" t="s">
        <v>1133</v>
      </c>
      <c r="C220" s="152" t="s">
        <v>23</v>
      </c>
      <c r="D220" s="159">
        <v>0</v>
      </c>
      <c r="E220" s="159">
        <v>0</v>
      </c>
      <c r="F220" s="159">
        <v>3</v>
      </c>
      <c r="G220" s="159">
        <v>2</v>
      </c>
      <c r="H220" s="152">
        <v>0</v>
      </c>
      <c r="I220" s="152">
        <v>50</v>
      </c>
      <c r="J220" s="152">
        <v>0</v>
      </c>
      <c r="K220" s="152">
        <v>0.01</v>
      </c>
      <c r="L220" s="152">
        <v>0</v>
      </c>
      <c r="M220" s="152">
        <v>0</v>
      </c>
      <c r="N220" s="59"/>
    </row>
    <row r="221" spans="1:14" hidden="1">
      <c r="A221" s="152">
        <v>181</v>
      </c>
      <c r="B221" s="152" t="s">
        <v>1203</v>
      </c>
      <c r="C221" s="152" t="s">
        <v>1204</v>
      </c>
      <c r="D221" s="159">
        <v>0</v>
      </c>
      <c r="E221" s="159">
        <v>0</v>
      </c>
      <c r="F221" s="159">
        <v>3</v>
      </c>
      <c r="G221" s="159">
        <v>0</v>
      </c>
      <c r="H221" s="152">
        <v>0</v>
      </c>
      <c r="I221" s="152">
        <v>0</v>
      </c>
      <c r="J221" s="152">
        <v>0</v>
      </c>
      <c r="K221" s="152">
        <v>0.01</v>
      </c>
      <c r="L221" s="152">
        <v>0</v>
      </c>
      <c r="M221" s="152">
        <v>0</v>
      </c>
      <c r="N221" s="59"/>
    </row>
    <row r="222" spans="1:14">
      <c r="A222" s="152">
        <v>182</v>
      </c>
      <c r="B222" s="152" t="s">
        <v>242</v>
      </c>
      <c r="C222" s="152" t="s">
        <v>24</v>
      </c>
      <c r="D222" s="159">
        <v>0</v>
      </c>
      <c r="E222" s="159">
        <v>294</v>
      </c>
      <c r="F222" s="159">
        <v>2</v>
      </c>
      <c r="G222" s="159">
        <v>1171</v>
      </c>
      <c r="H222" s="152">
        <v>-100</v>
      </c>
      <c r="I222" s="152">
        <v>-99.83</v>
      </c>
      <c r="J222" s="152">
        <v>0</v>
      </c>
      <c r="K222" s="152">
        <v>0</v>
      </c>
      <c r="L222" s="152">
        <v>2.78</v>
      </c>
      <c r="M222" s="152">
        <v>2.44</v>
      </c>
      <c r="N222" s="59"/>
    </row>
    <row r="223" spans="1:14" hidden="1">
      <c r="A223" s="152">
        <v>183</v>
      </c>
      <c r="B223" s="152" t="s">
        <v>578</v>
      </c>
      <c r="C223" s="152" t="s">
        <v>23</v>
      </c>
      <c r="D223" s="159">
        <v>2</v>
      </c>
      <c r="E223" s="159">
        <v>0</v>
      </c>
      <c r="F223" s="159">
        <v>2</v>
      </c>
      <c r="G223" s="159">
        <v>2</v>
      </c>
      <c r="H223" s="152">
        <v>0</v>
      </c>
      <c r="I223" s="152">
        <v>0</v>
      </c>
      <c r="J223" s="152">
        <v>0.02</v>
      </c>
      <c r="K223" s="152">
        <v>0</v>
      </c>
      <c r="L223" s="152">
        <v>0</v>
      </c>
      <c r="M223" s="152">
        <v>0</v>
      </c>
      <c r="N223" s="59"/>
    </row>
    <row r="224" spans="1:14" hidden="1">
      <c r="A224" s="152">
        <v>184</v>
      </c>
      <c r="B224" s="152" t="s">
        <v>513</v>
      </c>
      <c r="C224" s="152" t="s">
        <v>1024</v>
      </c>
      <c r="D224" s="159">
        <v>0</v>
      </c>
      <c r="E224" s="159">
        <v>0</v>
      </c>
      <c r="F224" s="159">
        <v>2</v>
      </c>
      <c r="G224" s="159">
        <v>2</v>
      </c>
      <c r="H224" s="152">
        <v>0</v>
      </c>
      <c r="I224" s="152">
        <v>0</v>
      </c>
      <c r="J224" s="152">
        <v>0</v>
      </c>
      <c r="K224" s="152">
        <v>0</v>
      </c>
      <c r="L224" s="152">
        <v>0</v>
      </c>
      <c r="M224" s="152">
        <v>0</v>
      </c>
      <c r="N224" s="59"/>
    </row>
    <row r="225" spans="1:14" hidden="1">
      <c r="A225" s="152">
        <v>185</v>
      </c>
      <c r="B225" s="152" t="s">
        <v>699</v>
      </c>
      <c r="C225" s="152" t="s">
        <v>23</v>
      </c>
      <c r="D225" s="159">
        <v>0</v>
      </c>
      <c r="E225" s="159">
        <v>1</v>
      </c>
      <c r="F225" s="159">
        <v>2</v>
      </c>
      <c r="G225" s="159">
        <v>1</v>
      </c>
      <c r="H225" s="152">
        <v>-100</v>
      </c>
      <c r="I225" s="152">
        <v>100</v>
      </c>
      <c r="J225" s="152">
        <v>0</v>
      </c>
      <c r="K225" s="152">
        <v>0</v>
      </c>
      <c r="L225" s="152">
        <v>0.01</v>
      </c>
      <c r="M225" s="152">
        <v>0</v>
      </c>
      <c r="N225" s="59"/>
    </row>
    <row r="226" spans="1:14" hidden="1">
      <c r="A226" s="152">
        <v>186</v>
      </c>
      <c r="B226" s="152" t="s">
        <v>1136</v>
      </c>
      <c r="C226" s="152" t="s">
        <v>23</v>
      </c>
      <c r="D226" s="159">
        <v>1</v>
      </c>
      <c r="E226" s="159">
        <v>1</v>
      </c>
      <c r="F226" s="159">
        <v>2</v>
      </c>
      <c r="G226" s="159">
        <v>1</v>
      </c>
      <c r="H226" s="152">
        <v>0</v>
      </c>
      <c r="I226" s="152">
        <v>100</v>
      </c>
      <c r="J226" s="152">
        <v>0.01</v>
      </c>
      <c r="K226" s="152">
        <v>0</v>
      </c>
      <c r="L226" s="152">
        <v>0.01</v>
      </c>
      <c r="M226" s="152">
        <v>0</v>
      </c>
      <c r="N226" s="59"/>
    </row>
    <row r="227" spans="1:14" hidden="1">
      <c r="A227" s="152">
        <v>187</v>
      </c>
      <c r="B227" s="152" t="s">
        <v>1205</v>
      </c>
      <c r="C227" s="152" t="s">
        <v>23</v>
      </c>
      <c r="D227" s="159">
        <v>2</v>
      </c>
      <c r="E227" s="159">
        <v>0</v>
      </c>
      <c r="F227" s="159">
        <v>2</v>
      </c>
      <c r="G227" s="159">
        <v>0</v>
      </c>
      <c r="H227" s="152">
        <v>0</v>
      </c>
      <c r="I227" s="152">
        <v>0</v>
      </c>
      <c r="J227" s="152">
        <v>0.02</v>
      </c>
      <c r="K227" s="152">
        <v>0</v>
      </c>
      <c r="L227" s="152">
        <v>0</v>
      </c>
      <c r="M227" s="152">
        <v>0</v>
      </c>
      <c r="N227" s="59"/>
    </row>
    <row r="228" spans="1:14" hidden="1">
      <c r="A228" s="152">
        <v>188</v>
      </c>
      <c r="B228" s="152" t="s">
        <v>1099</v>
      </c>
      <c r="C228" s="152" t="s">
        <v>23</v>
      </c>
      <c r="D228" s="159">
        <v>0</v>
      </c>
      <c r="E228" s="159">
        <v>0</v>
      </c>
      <c r="F228" s="159">
        <v>2</v>
      </c>
      <c r="G228" s="159">
        <v>0</v>
      </c>
      <c r="H228" s="152">
        <v>0</v>
      </c>
      <c r="I228" s="152">
        <v>0</v>
      </c>
      <c r="J228" s="152">
        <v>0</v>
      </c>
      <c r="K228" s="152">
        <v>0</v>
      </c>
      <c r="L228" s="152">
        <v>0</v>
      </c>
      <c r="M228" s="152">
        <v>0</v>
      </c>
      <c r="N228" s="59"/>
    </row>
    <row r="229" spans="1:14">
      <c r="A229" s="152">
        <v>189</v>
      </c>
      <c r="B229" s="152" t="s">
        <v>1196</v>
      </c>
      <c r="C229" s="152" t="s">
        <v>24</v>
      </c>
      <c r="D229" s="159">
        <v>2</v>
      </c>
      <c r="E229" s="159">
        <v>0</v>
      </c>
      <c r="F229" s="159">
        <v>2</v>
      </c>
      <c r="G229" s="159">
        <v>0</v>
      </c>
      <c r="H229" s="152">
        <v>0</v>
      </c>
      <c r="I229" s="152">
        <v>0</v>
      </c>
      <c r="J229" s="152">
        <v>0.02</v>
      </c>
      <c r="K229" s="152">
        <v>0</v>
      </c>
      <c r="L229" s="152">
        <v>0</v>
      </c>
      <c r="M229" s="152">
        <v>0</v>
      </c>
      <c r="N229" s="59"/>
    </row>
    <row r="230" spans="1:14" hidden="1">
      <c r="A230" s="152">
        <v>190</v>
      </c>
      <c r="B230" s="152" t="s">
        <v>443</v>
      </c>
      <c r="C230" s="152" t="s">
        <v>23</v>
      </c>
      <c r="D230" s="159">
        <v>0</v>
      </c>
      <c r="E230" s="159">
        <v>20</v>
      </c>
      <c r="F230" s="159">
        <v>1</v>
      </c>
      <c r="G230" s="159">
        <v>82</v>
      </c>
      <c r="H230" s="152">
        <v>-100</v>
      </c>
      <c r="I230" s="152">
        <v>-98.78</v>
      </c>
      <c r="J230" s="152">
        <v>0</v>
      </c>
      <c r="K230" s="152">
        <v>0</v>
      </c>
      <c r="L230" s="152">
        <v>0.19</v>
      </c>
      <c r="M230" s="152">
        <v>0.17</v>
      </c>
      <c r="N230" s="59"/>
    </row>
    <row r="231" spans="1:14" hidden="1">
      <c r="A231" s="152">
        <v>191</v>
      </c>
      <c r="B231" s="152" t="s">
        <v>1138</v>
      </c>
      <c r="C231" s="152" t="s">
        <v>23</v>
      </c>
      <c r="D231" s="159">
        <v>1</v>
      </c>
      <c r="E231" s="159">
        <v>11</v>
      </c>
      <c r="F231" s="159">
        <v>1</v>
      </c>
      <c r="G231" s="159">
        <v>32</v>
      </c>
      <c r="H231" s="152">
        <v>-90.91</v>
      </c>
      <c r="I231" s="152">
        <v>-96.88</v>
      </c>
      <c r="J231" s="152">
        <v>0.01</v>
      </c>
      <c r="K231" s="152">
        <v>0</v>
      </c>
      <c r="L231" s="152">
        <v>0.1</v>
      </c>
      <c r="M231" s="152">
        <v>7.0000000000000007E-2</v>
      </c>
      <c r="N231" s="59"/>
    </row>
    <row r="232" spans="1:14" hidden="1">
      <c r="A232" s="152">
        <v>192</v>
      </c>
      <c r="B232" s="152" t="s">
        <v>521</v>
      </c>
      <c r="C232" s="152" t="s">
        <v>23</v>
      </c>
      <c r="D232" s="159">
        <v>0</v>
      </c>
      <c r="E232" s="159">
        <v>4</v>
      </c>
      <c r="F232" s="159">
        <v>1</v>
      </c>
      <c r="G232" s="159">
        <v>26</v>
      </c>
      <c r="H232" s="152">
        <v>-100</v>
      </c>
      <c r="I232" s="152">
        <v>-96.15</v>
      </c>
      <c r="J232" s="152">
        <v>0</v>
      </c>
      <c r="K232" s="152">
        <v>0</v>
      </c>
      <c r="L232" s="152">
        <v>0.04</v>
      </c>
      <c r="M232" s="152">
        <v>0.05</v>
      </c>
      <c r="N232" s="59"/>
    </row>
    <row r="233" spans="1:14" hidden="1">
      <c r="A233" s="152">
        <v>193</v>
      </c>
      <c r="B233" s="152" t="s">
        <v>182</v>
      </c>
      <c r="C233" s="152" t="s">
        <v>23</v>
      </c>
      <c r="D233" s="159">
        <v>0</v>
      </c>
      <c r="E233" s="159">
        <v>0</v>
      </c>
      <c r="F233" s="159">
        <v>1</v>
      </c>
      <c r="G233" s="159">
        <v>2</v>
      </c>
      <c r="H233" s="152">
        <v>0</v>
      </c>
      <c r="I233" s="152">
        <v>-50</v>
      </c>
      <c r="J233" s="152">
        <v>0</v>
      </c>
      <c r="K233" s="152">
        <v>0</v>
      </c>
      <c r="L233" s="152">
        <v>0</v>
      </c>
      <c r="M233" s="152">
        <v>0</v>
      </c>
      <c r="N233" s="59"/>
    </row>
    <row r="234" spans="1:14" hidden="1">
      <c r="A234" s="152">
        <v>194</v>
      </c>
      <c r="B234" s="152" t="s">
        <v>1135</v>
      </c>
      <c r="C234" s="152" t="s">
        <v>23</v>
      </c>
      <c r="D234" s="159">
        <v>0</v>
      </c>
      <c r="E234" s="159">
        <v>0</v>
      </c>
      <c r="F234" s="159">
        <v>1</v>
      </c>
      <c r="G234" s="159">
        <v>1</v>
      </c>
      <c r="H234" s="152">
        <v>0</v>
      </c>
      <c r="I234" s="152">
        <v>0</v>
      </c>
      <c r="J234" s="152">
        <v>0</v>
      </c>
      <c r="K234" s="152">
        <v>0</v>
      </c>
      <c r="L234" s="152">
        <v>0</v>
      </c>
      <c r="M234" s="152">
        <v>0</v>
      </c>
      <c r="N234" s="59"/>
    </row>
    <row r="235" spans="1:14" hidden="1">
      <c r="A235" s="152">
        <v>195</v>
      </c>
      <c r="B235" s="152" t="s">
        <v>1140</v>
      </c>
      <c r="C235" s="152" t="s">
        <v>23</v>
      </c>
      <c r="D235" s="159">
        <v>0</v>
      </c>
      <c r="E235" s="159">
        <v>0</v>
      </c>
      <c r="F235" s="159">
        <v>1</v>
      </c>
      <c r="G235" s="159">
        <v>1</v>
      </c>
      <c r="H235" s="152">
        <v>0</v>
      </c>
      <c r="I235" s="152">
        <v>0</v>
      </c>
      <c r="J235" s="152">
        <v>0</v>
      </c>
      <c r="K235" s="152">
        <v>0</v>
      </c>
      <c r="L235" s="152">
        <v>0</v>
      </c>
      <c r="M235" s="152">
        <v>0</v>
      </c>
    </row>
    <row r="236" spans="1:14">
      <c r="A236" s="152">
        <v>196</v>
      </c>
      <c r="B236" s="152" t="s">
        <v>1206</v>
      </c>
      <c r="C236" s="152" t="s">
        <v>24</v>
      </c>
      <c r="D236" s="159">
        <v>1</v>
      </c>
      <c r="E236" s="159">
        <v>1</v>
      </c>
      <c r="F236" s="159">
        <v>1</v>
      </c>
      <c r="G236" s="159">
        <v>1</v>
      </c>
      <c r="H236" s="152">
        <v>0</v>
      </c>
      <c r="I236" s="152">
        <v>0</v>
      </c>
      <c r="J236" s="152">
        <v>0.01</v>
      </c>
      <c r="K236" s="152">
        <v>0</v>
      </c>
      <c r="L236" s="152">
        <v>0.01</v>
      </c>
      <c r="M236" s="152">
        <v>0</v>
      </c>
    </row>
    <row r="237" spans="1:14" hidden="1">
      <c r="A237" s="152">
        <v>197</v>
      </c>
      <c r="B237" s="152" t="s">
        <v>1207</v>
      </c>
      <c r="C237" s="152" t="s">
        <v>23</v>
      </c>
      <c r="D237" s="159">
        <v>1</v>
      </c>
      <c r="E237" s="159">
        <v>0</v>
      </c>
      <c r="F237" s="159">
        <v>1</v>
      </c>
      <c r="G237" s="159">
        <v>0</v>
      </c>
      <c r="H237" s="152">
        <v>0</v>
      </c>
      <c r="I237" s="152">
        <v>0</v>
      </c>
      <c r="J237" s="152">
        <v>0.01</v>
      </c>
      <c r="K237" s="152">
        <v>0</v>
      </c>
      <c r="L237" s="152">
        <v>0</v>
      </c>
      <c r="M237" s="152">
        <v>0</v>
      </c>
    </row>
    <row r="238" spans="1:14" hidden="1">
      <c r="A238" s="152">
        <v>198</v>
      </c>
      <c r="B238" s="152" t="s">
        <v>1175</v>
      </c>
      <c r="C238" s="152" t="s">
        <v>23</v>
      </c>
      <c r="D238" s="159">
        <v>0</v>
      </c>
      <c r="E238" s="159">
        <v>0</v>
      </c>
      <c r="F238" s="159">
        <v>1</v>
      </c>
      <c r="G238" s="159">
        <v>0</v>
      </c>
      <c r="H238" s="152">
        <v>0</v>
      </c>
      <c r="I238" s="152">
        <v>0</v>
      </c>
      <c r="J238" s="152">
        <v>0</v>
      </c>
      <c r="K238" s="152">
        <v>0</v>
      </c>
      <c r="L238" s="152">
        <v>0</v>
      </c>
      <c r="M238" s="152">
        <v>0</v>
      </c>
    </row>
    <row r="239" spans="1:14">
      <c r="A239" s="152">
        <v>199</v>
      </c>
      <c r="B239" s="152" t="s">
        <v>586</v>
      </c>
      <c r="C239" s="152" t="s">
        <v>24</v>
      </c>
      <c r="D239" s="159">
        <v>0</v>
      </c>
      <c r="E239" s="159">
        <v>6</v>
      </c>
      <c r="F239" s="159">
        <v>0</v>
      </c>
      <c r="G239" s="159">
        <v>22</v>
      </c>
      <c r="H239" s="152">
        <v>-100</v>
      </c>
      <c r="I239" s="152">
        <v>-100</v>
      </c>
      <c r="J239" s="152">
        <v>0</v>
      </c>
      <c r="K239" s="152">
        <v>0</v>
      </c>
      <c r="L239" s="152">
        <v>0.06</v>
      </c>
      <c r="M239" s="152">
        <v>0.05</v>
      </c>
    </row>
    <row r="240" spans="1:14" hidden="1">
      <c r="A240" s="152">
        <v>200</v>
      </c>
      <c r="B240" s="152" t="s">
        <v>245</v>
      </c>
      <c r="C240" s="152" t="s">
        <v>23</v>
      </c>
      <c r="D240" s="159">
        <v>0</v>
      </c>
      <c r="E240" s="159">
        <v>3</v>
      </c>
      <c r="F240" s="159">
        <v>0</v>
      </c>
      <c r="G240" s="159">
        <v>18</v>
      </c>
      <c r="H240" s="152">
        <v>-100</v>
      </c>
      <c r="I240" s="152">
        <v>-100</v>
      </c>
      <c r="J240" s="152">
        <v>0</v>
      </c>
      <c r="K240" s="152">
        <v>0</v>
      </c>
      <c r="L240" s="152">
        <v>0.03</v>
      </c>
      <c r="M240" s="152">
        <v>0.04</v>
      </c>
    </row>
    <row r="241" spans="1:13" hidden="1">
      <c r="A241" s="152">
        <v>201</v>
      </c>
      <c r="B241" s="152" t="s">
        <v>373</v>
      </c>
      <c r="C241" s="152" t="s">
        <v>23</v>
      </c>
      <c r="D241" s="159">
        <v>0</v>
      </c>
      <c r="E241" s="159">
        <v>3</v>
      </c>
      <c r="F241" s="159">
        <v>0</v>
      </c>
      <c r="G241" s="159">
        <v>17</v>
      </c>
      <c r="H241" s="152">
        <v>-100</v>
      </c>
      <c r="I241" s="152">
        <v>-100</v>
      </c>
      <c r="J241" s="152">
        <v>0</v>
      </c>
      <c r="K241" s="152">
        <v>0</v>
      </c>
      <c r="L241" s="152">
        <v>0.03</v>
      </c>
      <c r="M241" s="152">
        <v>0.04</v>
      </c>
    </row>
    <row r="242" spans="1:13" hidden="1">
      <c r="A242" s="152">
        <v>202</v>
      </c>
      <c r="B242" s="152" t="s">
        <v>249</v>
      </c>
      <c r="C242" s="152" t="s">
        <v>23</v>
      </c>
      <c r="D242" s="159">
        <v>0</v>
      </c>
      <c r="E242" s="159">
        <v>1</v>
      </c>
      <c r="F242" s="159">
        <v>0</v>
      </c>
      <c r="G242" s="159">
        <v>11</v>
      </c>
      <c r="H242" s="152">
        <v>-100</v>
      </c>
      <c r="I242" s="152">
        <v>-100</v>
      </c>
      <c r="J242" s="152">
        <v>0</v>
      </c>
      <c r="K242" s="152">
        <v>0</v>
      </c>
      <c r="L242" s="152">
        <v>0.01</v>
      </c>
      <c r="M242" s="152">
        <v>0.02</v>
      </c>
    </row>
    <row r="243" spans="1:13" hidden="1">
      <c r="A243" s="152">
        <v>203</v>
      </c>
      <c r="B243" s="152" t="s">
        <v>368</v>
      </c>
      <c r="C243" s="152" t="s">
        <v>23</v>
      </c>
      <c r="D243" s="159">
        <v>0</v>
      </c>
      <c r="E243" s="159">
        <v>1</v>
      </c>
      <c r="F243" s="159">
        <v>0</v>
      </c>
      <c r="G243" s="159">
        <v>10</v>
      </c>
      <c r="H243" s="152">
        <v>-100</v>
      </c>
      <c r="I243" s="152">
        <v>-100</v>
      </c>
      <c r="J243" s="152">
        <v>0</v>
      </c>
      <c r="K243" s="152">
        <v>0</v>
      </c>
      <c r="L243" s="152">
        <v>0.01</v>
      </c>
      <c r="M243" s="152">
        <v>0.02</v>
      </c>
    </row>
    <row r="244" spans="1:13" hidden="1">
      <c r="A244" s="152">
        <v>204</v>
      </c>
      <c r="B244" s="152" t="s">
        <v>404</v>
      </c>
      <c r="C244" s="152" t="s">
        <v>23</v>
      </c>
      <c r="D244" s="159">
        <v>0</v>
      </c>
      <c r="E244" s="159">
        <v>1</v>
      </c>
      <c r="F244" s="159">
        <v>0</v>
      </c>
      <c r="G244" s="159">
        <v>8</v>
      </c>
      <c r="H244" s="152">
        <v>-100</v>
      </c>
      <c r="I244" s="152">
        <v>-100</v>
      </c>
      <c r="J244" s="152">
        <v>0</v>
      </c>
      <c r="K244" s="152">
        <v>0</v>
      </c>
      <c r="L244" s="152">
        <v>0.01</v>
      </c>
      <c r="M244" s="152">
        <v>0.02</v>
      </c>
    </row>
    <row r="245" spans="1:13" hidden="1">
      <c r="A245" s="152">
        <v>205</v>
      </c>
      <c r="B245" s="152" t="s">
        <v>425</v>
      </c>
      <c r="C245" s="152" t="s">
        <v>1100</v>
      </c>
      <c r="D245" s="159">
        <v>0</v>
      </c>
      <c r="E245" s="159">
        <v>2</v>
      </c>
      <c r="F245" s="159">
        <v>0</v>
      </c>
      <c r="G245" s="159">
        <v>5</v>
      </c>
      <c r="H245" s="152">
        <v>-100</v>
      </c>
      <c r="I245" s="152">
        <v>-100</v>
      </c>
      <c r="J245" s="152">
        <v>0</v>
      </c>
      <c r="K245" s="152">
        <v>0</v>
      </c>
      <c r="L245" s="152">
        <v>0.02</v>
      </c>
      <c r="M245" s="152">
        <v>0.01</v>
      </c>
    </row>
    <row r="246" spans="1:13">
      <c r="A246" s="152">
        <v>206</v>
      </c>
      <c r="B246" s="152" t="s">
        <v>1198</v>
      </c>
      <c r="C246" s="152" t="s">
        <v>24</v>
      </c>
      <c r="D246" s="159">
        <v>0</v>
      </c>
      <c r="E246" s="159">
        <v>5</v>
      </c>
      <c r="F246" s="159">
        <v>0</v>
      </c>
      <c r="G246" s="159">
        <v>5</v>
      </c>
      <c r="H246" s="152">
        <v>-100</v>
      </c>
      <c r="I246" s="152">
        <v>-100</v>
      </c>
      <c r="J246" s="152">
        <v>0</v>
      </c>
      <c r="K246" s="152">
        <v>0</v>
      </c>
      <c r="L246" s="152">
        <v>0.05</v>
      </c>
      <c r="M246" s="152">
        <v>0.01</v>
      </c>
    </row>
    <row r="247" spans="1:13">
      <c r="A247" s="152">
        <v>207</v>
      </c>
      <c r="B247" s="152" t="s">
        <v>1199</v>
      </c>
      <c r="C247" s="152" t="s">
        <v>24</v>
      </c>
      <c r="D247" s="159">
        <v>0</v>
      </c>
      <c r="E247" s="159">
        <v>2</v>
      </c>
      <c r="F247" s="159">
        <v>0</v>
      </c>
      <c r="G247" s="159">
        <v>2</v>
      </c>
      <c r="H247" s="152">
        <v>-100</v>
      </c>
      <c r="I247" s="152">
        <v>-100</v>
      </c>
      <c r="J247" s="152">
        <v>0</v>
      </c>
      <c r="K247" s="152">
        <v>0</v>
      </c>
      <c r="L247" s="152">
        <v>0.02</v>
      </c>
      <c r="M247" s="152">
        <v>0</v>
      </c>
    </row>
    <row r="248" spans="1:13" hidden="1">
      <c r="A248" s="152">
        <v>208</v>
      </c>
      <c r="B248" s="152" t="s">
        <v>456</v>
      </c>
      <c r="C248" s="152" t="s">
        <v>23</v>
      </c>
      <c r="D248" s="159">
        <v>0</v>
      </c>
      <c r="E248" s="159">
        <v>0</v>
      </c>
      <c r="F248" s="159">
        <v>0</v>
      </c>
      <c r="G248" s="159">
        <v>2</v>
      </c>
      <c r="H248" s="152">
        <v>0</v>
      </c>
      <c r="I248" s="152">
        <v>-100</v>
      </c>
      <c r="J248" s="152">
        <v>0</v>
      </c>
      <c r="K248" s="152">
        <v>0</v>
      </c>
      <c r="L248" s="152">
        <v>0</v>
      </c>
      <c r="M248" s="152">
        <v>0</v>
      </c>
    </row>
    <row r="249" spans="1:13" hidden="1">
      <c r="A249" s="152">
        <v>209</v>
      </c>
      <c r="B249" s="152" t="s">
        <v>216</v>
      </c>
      <c r="C249" s="152" t="s">
        <v>23</v>
      </c>
      <c r="D249" s="159">
        <v>0</v>
      </c>
      <c r="E249" s="159">
        <v>0</v>
      </c>
      <c r="F249" s="159">
        <v>0</v>
      </c>
      <c r="G249" s="159">
        <v>2</v>
      </c>
      <c r="H249" s="152">
        <v>0</v>
      </c>
      <c r="I249" s="152">
        <v>-100</v>
      </c>
      <c r="J249" s="152">
        <v>0</v>
      </c>
      <c r="K249" s="152">
        <v>0</v>
      </c>
      <c r="L249" s="152">
        <v>0</v>
      </c>
      <c r="M249" s="152">
        <v>0</v>
      </c>
    </row>
    <row r="250" spans="1:13" hidden="1">
      <c r="A250" s="152">
        <v>210</v>
      </c>
      <c r="B250" s="152" t="s">
        <v>1139</v>
      </c>
      <c r="C250" s="152" t="s">
        <v>23</v>
      </c>
      <c r="D250" s="159">
        <v>0</v>
      </c>
      <c r="E250" s="159">
        <v>0</v>
      </c>
      <c r="F250" s="159">
        <v>0</v>
      </c>
      <c r="G250" s="159">
        <v>1</v>
      </c>
      <c r="H250" s="152">
        <v>0</v>
      </c>
      <c r="I250" s="152">
        <v>-100</v>
      </c>
      <c r="J250" s="152">
        <v>0</v>
      </c>
      <c r="K250" s="152">
        <v>0</v>
      </c>
      <c r="L250" s="152">
        <v>0</v>
      </c>
      <c r="M250" s="152">
        <v>0</v>
      </c>
    </row>
    <row r="251" spans="1:13" hidden="1">
      <c r="A251" s="152">
        <v>211</v>
      </c>
      <c r="B251" s="152" t="s">
        <v>1176</v>
      </c>
      <c r="C251" s="152" t="s">
        <v>23</v>
      </c>
      <c r="D251" s="159">
        <v>0</v>
      </c>
      <c r="E251" s="159">
        <v>0</v>
      </c>
      <c r="F251" s="159">
        <v>0</v>
      </c>
      <c r="G251" s="159">
        <v>1</v>
      </c>
      <c r="H251" s="152">
        <v>0</v>
      </c>
      <c r="I251" s="152">
        <v>-100</v>
      </c>
      <c r="J251" s="152">
        <v>0</v>
      </c>
      <c r="K251" s="152">
        <v>0</v>
      </c>
      <c r="L251" s="152">
        <v>0</v>
      </c>
      <c r="M251" s="152">
        <v>0</v>
      </c>
    </row>
    <row r="252" spans="1:13" hidden="1">
      <c r="A252" s="152">
        <v>212</v>
      </c>
      <c r="B252" s="152" t="s">
        <v>1208</v>
      </c>
      <c r="C252" s="152" t="s">
        <v>23</v>
      </c>
      <c r="D252" s="159">
        <v>0</v>
      </c>
      <c r="E252" s="159">
        <v>1</v>
      </c>
      <c r="F252" s="159">
        <v>0</v>
      </c>
      <c r="G252" s="159">
        <v>1</v>
      </c>
      <c r="H252" s="152">
        <v>-100</v>
      </c>
      <c r="I252" s="152">
        <v>-100</v>
      </c>
      <c r="J252" s="152">
        <v>0</v>
      </c>
      <c r="K252" s="152">
        <v>0</v>
      </c>
      <c r="L252" s="152">
        <v>0.01</v>
      </c>
      <c r="M252" s="152">
        <v>0</v>
      </c>
    </row>
    <row r="253" spans="1:13">
      <c r="A253" s="152"/>
      <c r="B253" s="152" t="s">
        <v>477</v>
      </c>
      <c r="C253" s="152"/>
      <c r="D253" s="159">
        <f>SUBTOTAL(109,getAggRechargeModels6[antalPerioden])</f>
        <v>6928</v>
      </c>
      <c r="E253" s="159">
        <f>SUBTOTAL(109,getAggRechargeModels6[antalFGPeriod])</f>
        <v>5421</v>
      </c>
      <c r="F253" s="159">
        <f>SUBTOTAL(109,getAggRechargeModels6[antalÅret])</f>
        <v>29832</v>
      </c>
      <c r="G253" s="159">
        <f>SUBTOTAL(109,getAggRechargeModels6[antalFGAr])</f>
        <v>25135</v>
      </c>
      <c r="H253" s="154">
        <f>IF(getAggRechargeModels6[[#Totals],[antalFGPeriod]] &gt;0,(getAggRechargeModels6[[#Totals],[antalPerioden]] - getAggRechargeModels6[[#Totals],[antalFGPeriod]] ) / getAggRechargeModels6[[#Totals],[antalFGPeriod]] *100,0)</f>
        <v>27.799299022320607</v>
      </c>
      <c r="I253" s="154">
        <f>IF(getAggRechargeModels6[[#Totals],[antalFGAr]] &gt; 0,( getAggRechargeModels6[[#Totals],[antalÅret]] - getAggRechargeModels6[[#Totals],[antalFGAr]] ) / getAggRechargeModels6[[#Totals],[antalFGAr]] * 100,0)</f>
        <v>18.687089715536104</v>
      </c>
      <c r="J253" s="160">
        <f>IF(getAggModelsPB[[#Totals],[antalPerioden]] &gt; 0,getAggRechargeModels6[[#Totals],[antalPerioden]]  / getAggModelsPB[[#Totals],[antalPerioden]] * 100,0)</f>
        <v>33.653939570581947</v>
      </c>
      <c r="K253" s="160">
        <f>IF(getAggModelsPB[[#Totals],[antalÅret]] &gt; 0,getAggRechargeModels6[[#Totals],[antalÅret]]  / getAggModelsPB[[#Totals],[antalÅret]] * 100,0)</f>
        <v>35.560853498629157</v>
      </c>
      <c r="L253" s="160">
        <f>IF(getAggModelsPB[[#Totals],[antalFGPeriod]] &gt; 0,getAggRechargeModels6[[#Totals],[antalFGPeriod]]  / getAggModelsPB[[#Totals],[antalFGPeriod]] * 100,0)</f>
        <v>24.706043204812687</v>
      </c>
      <c r="M253" s="160">
        <f>IF(getAggModelsPB[[#Totals],[antalFGAr]] &gt; 0,getAggRechargeModels6[[#Totals],[antalFGAr]]  / getAggModelsPB[[#Totals],[antalFGAr]] * 100,0)</f>
        <v>27.415713179393769</v>
      </c>
    </row>
    <row r="256" spans="1:13">
      <c r="A256" t="s">
        <v>707</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57"/>
  <sheetViews>
    <sheetView topLeftCell="B1" workbookViewId="0">
      <selection activeCell="R43" sqref="R43"/>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72" t="s">
        <v>645</v>
      </c>
      <c r="P2" s="72"/>
      <c r="Q2" s="72"/>
      <c r="R2" s="72"/>
      <c r="S2" s="72"/>
      <c r="T2" s="72"/>
    </row>
    <row r="3" spans="15:21">
      <c r="O3" s="27" t="s">
        <v>644</v>
      </c>
      <c r="P3" s="27"/>
      <c r="Q3" s="27"/>
      <c r="R3" s="27"/>
      <c r="S3" s="27"/>
      <c r="T3" s="27"/>
      <c r="U3" s="27"/>
    </row>
    <row r="4" spans="15:21">
      <c r="O4" s="7"/>
      <c r="P4" s="7"/>
      <c r="Q4" s="17"/>
      <c r="R4" s="17"/>
      <c r="S4" s="17"/>
      <c r="T4" s="17"/>
      <c r="U4" s="27"/>
    </row>
    <row r="5" spans="15:21" ht="16" thickBot="1">
      <c r="O5" s="20" t="s">
        <v>478</v>
      </c>
      <c r="P5" s="20">
        <v>2021</v>
      </c>
      <c r="Q5" s="20">
        <v>2022</v>
      </c>
      <c r="R5" s="20">
        <v>2023</v>
      </c>
      <c r="S5" s="27"/>
      <c r="T5" s="27"/>
      <c r="U5" s="27"/>
    </row>
    <row r="6" spans="15:21">
      <c r="O6" s="17" t="s">
        <v>2</v>
      </c>
      <c r="P6" s="37">
        <v>5787</v>
      </c>
      <c r="Q6" s="37">
        <v>5363</v>
      </c>
      <c r="R6" s="37">
        <v>3401</v>
      </c>
      <c r="S6" s="27"/>
      <c r="T6" s="27"/>
      <c r="U6" s="27"/>
    </row>
    <row r="7" spans="15:21">
      <c r="O7" s="17" t="s">
        <v>3</v>
      </c>
      <c r="P7" s="38">
        <v>6559</v>
      </c>
      <c r="Q7" s="38">
        <v>5495</v>
      </c>
      <c r="R7" s="38">
        <v>3841</v>
      </c>
      <c r="S7" s="27"/>
      <c r="T7" s="27"/>
      <c r="U7" s="27"/>
    </row>
    <row r="8" spans="15:21">
      <c r="O8" s="17" t="s">
        <v>4</v>
      </c>
      <c r="P8" s="38">
        <v>14934</v>
      </c>
      <c r="Q8" s="38">
        <v>6809</v>
      </c>
      <c r="R8" s="38">
        <v>5540</v>
      </c>
      <c r="S8" s="27"/>
      <c r="T8" s="27"/>
      <c r="U8" s="27"/>
    </row>
    <row r="9" spans="15:21">
      <c r="O9" s="17" t="s">
        <v>5</v>
      </c>
      <c r="P9" s="38">
        <v>4563</v>
      </c>
      <c r="Q9" s="38">
        <v>5146</v>
      </c>
      <c r="R9" s="38">
        <v>4549</v>
      </c>
      <c r="S9" s="27"/>
      <c r="T9" s="27"/>
      <c r="U9" s="27"/>
    </row>
    <row r="10" spans="15:21">
      <c r="O10" s="17" t="s">
        <v>6</v>
      </c>
      <c r="P10" s="38">
        <v>5547</v>
      </c>
      <c r="Q10" s="38">
        <v>6138</v>
      </c>
      <c r="R10" s="38"/>
      <c r="S10" s="27"/>
      <c r="T10" s="27"/>
      <c r="U10" s="27"/>
    </row>
    <row r="11" spans="15:21">
      <c r="O11" s="17" t="s">
        <v>7</v>
      </c>
      <c r="P11" s="38">
        <v>9142</v>
      </c>
      <c r="Q11" s="38">
        <v>6137</v>
      </c>
      <c r="R11" s="38"/>
      <c r="S11" s="27"/>
      <c r="T11" s="27"/>
      <c r="U11" s="27"/>
    </row>
    <row r="12" spans="15:21">
      <c r="O12" s="17" t="s">
        <v>8</v>
      </c>
      <c r="P12" s="38">
        <v>3777</v>
      </c>
      <c r="Q12" s="38">
        <v>4239</v>
      </c>
      <c r="R12" s="38"/>
      <c r="S12" s="27"/>
      <c r="T12" s="27"/>
      <c r="U12" s="27"/>
    </row>
    <row r="13" spans="15:21">
      <c r="O13" s="17" t="s">
        <v>9</v>
      </c>
      <c r="P13" s="38">
        <v>4541</v>
      </c>
      <c r="Q13" s="38">
        <v>3649</v>
      </c>
      <c r="R13" s="38"/>
      <c r="S13" s="27"/>
      <c r="T13" s="27"/>
      <c r="U13" s="27"/>
    </row>
    <row r="14" spans="15:21">
      <c r="O14" s="17" t="s">
        <v>10</v>
      </c>
      <c r="P14" s="38">
        <v>4754</v>
      </c>
      <c r="Q14" s="38">
        <v>4370</v>
      </c>
      <c r="R14" s="38"/>
      <c r="S14" s="27"/>
      <c r="T14" s="27"/>
      <c r="U14" s="27"/>
    </row>
    <row r="15" spans="15:21">
      <c r="O15" s="17" t="s">
        <v>11</v>
      </c>
      <c r="P15" s="38">
        <v>5583</v>
      </c>
      <c r="Q15" s="38">
        <v>5359</v>
      </c>
      <c r="R15" s="38"/>
      <c r="S15" s="27"/>
      <c r="T15" s="27"/>
      <c r="U15" s="27"/>
    </row>
    <row r="16" spans="15:21">
      <c r="O16" s="17" t="s">
        <v>12</v>
      </c>
      <c r="P16" s="38">
        <v>5962</v>
      </c>
      <c r="Q16" s="38">
        <v>5650</v>
      </c>
      <c r="R16" s="38"/>
      <c r="S16" s="27"/>
      <c r="T16" s="27"/>
      <c r="U16" s="27"/>
    </row>
    <row r="17" spans="15:21" ht="16" thickBot="1">
      <c r="O17" s="28" t="s">
        <v>13</v>
      </c>
      <c r="P17" s="149">
        <v>6692</v>
      </c>
      <c r="Q17" s="149">
        <v>8259</v>
      </c>
      <c r="R17" s="149"/>
      <c r="S17" s="27"/>
      <c r="T17" s="27"/>
      <c r="U17" s="27"/>
    </row>
    <row r="18" spans="15:21">
      <c r="O18" s="7" t="s">
        <v>561</v>
      </c>
      <c r="P18" s="36">
        <f>SUMIF(R6:R17,"&gt;0",P6:P17)</f>
        <v>31843</v>
      </c>
      <c r="Q18" s="36">
        <f>SUMIF(R6:R17,"&gt;0",Q6:Q17)</f>
        <v>22813</v>
      </c>
      <c r="R18" s="36">
        <f>SUM(R6:R17)</f>
        <v>17331</v>
      </c>
      <c r="S18" s="27"/>
      <c r="T18" s="27"/>
      <c r="U18" s="27"/>
    </row>
    <row r="19" spans="15:21">
      <c r="O19" s="7" t="s">
        <v>560</v>
      </c>
      <c r="P19" s="33">
        <f>SUM(P6:P17)</f>
        <v>77841</v>
      </c>
      <c r="Q19" s="33">
        <f>SUM(Q6:Q17)</f>
        <v>66614</v>
      </c>
      <c r="R19" s="27"/>
      <c r="S19" s="27"/>
      <c r="T19" s="27"/>
      <c r="U19" s="27"/>
    </row>
    <row r="35" spans="1:15" ht="21" thickBot="1">
      <c r="A35" s="72" t="s">
        <v>691</v>
      </c>
      <c r="B35" s="72"/>
      <c r="C35" s="10"/>
      <c r="E35" s="289" t="s">
        <v>1275</v>
      </c>
    </row>
    <row r="36" spans="1:15" ht="20">
      <c r="A36" s="10"/>
    </row>
    <row r="37" spans="1:15">
      <c r="A37" s="8" t="s">
        <v>474</v>
      </c>
      <c r="B37" s="59"/>
      <c r="C37" s="59"/>
      <c r="D37" s="59"/>
      <c r="E37" s="59"/>
      <c r="F37" s="59"/>
      <c r="G37" s="59"/>
      <c r="H37" s="273" t="s">
        <v>475</v>
      </c>
      <c r="I37" s="273"/>
      <c r="J37" s="273"/>
      <c r="K37" s="273"/>
      <c r="L37" s="273"/>
      <c r="M37" s="273"/>
      <c r="N37" s="59"/>
      <c r="O37" s="59"/>
    </row>
    <row r="38" spans="1:15">
      <c r="A38" s="117"/>
      <c r="B38" s="128"/>
      <c r="C38" s="128"/>
      <c r="D38" s="274" t="s">
        <v>562</v>
      </c>
      <c r="E38" s="275"/>
      <c r="F38" s="276" t="s">
        <v>562</v>
      </c>
      <c r="G38" s="277"/>
      <c r="H38" s="276" t="s">
        <v>563</v>
      </c>
      <c r="I38" s="277"/>
      <c r="J38" s="276" t="s">
        <v>564</v>
      </c>
      <c r="K38" s="277"/>
      <c r="L38" s="276" t="s">
        <v>564</v>
      </c>
      <c r="M38" s="277"/>
      <c r="N38" s="59"/>
      <c r="O38" s="59"/>
    </row>
    <row r="39" spans="1:15">
      <c r="A39" s="117"/>
      <c r="B39" s="129" t="s">
        <v>476</v>
      </c>
      <c r="C39" s="130" t="s">
        <v>566</v>
      </c>
      <c r="D39" s="131" t="str">
        <f>Innehåll!D79</f>
        <v xml:space="preserve"> 2023-04</v>
      </c>
      <c r="E39" s="131" t="str">
        <f>Innehåll!D80</f>
        <v xml:space="preserve"> 2022-04</v>
      </c>
      <c r="F39" s="131" t="str">
        <f>Innehåll!D81</f>
        <v>YTD  2023</v>
      </c>
      <c r="G39" s="131" t="str">
        <f>Innehåll!D82</f>
        <v>YTD  2022</v>
      </c>
      <c r="H39" s="131" t="str">
        <f>D39</f>
        <v xml:space="preserve"> 2023-04</v>
      </c>
      <c r="I39" s="132" t="str">
        <f>F39</f>
        <v>YTD  2023</v>
      </c>
      <c r="J39" s="131" t="str">
        <f>D39</f>
        <v xml:space="preserve"> 2023-04</v>
      </c>
      <c r="K39" s="133" t="str">
        <f>F39</f>
        <v>YTD  2023</v>
      </c>
      <c r="L39" s="134" t="str">
        <f>E39</f>
        <v xml:space="preserve"> 2022-04</v>
      </c>
      <c r="M39" s="134" t="str">
        <f>G39</f>
        <v>YTD  2022</v>
      </c>
      <c r="N39" s="59"/>
      <c r="O39" s="59"/>
    </row>
    <row r="40" spans="1:15" ht="15" hidden="1" customHeight="1">
      <c r="A40" s="59" t="s">
        <v>33</v>
      </c>
      <c r="B40" s="59" t="s">
        <v>237</v>
      </c>
      <c r="C40" s="59" t="s">
        <v>238</v>
      </c>
      <c r="D40" s="59" t="s">
        <v>35</v>
      </c>
      <c r="E40" s="59" t="s">
        <v>36</v>
      </c>
      <c r="F40" s="59" t="s">
        <v>37</v>
      </c>
      <c r="G40" s="59" t="s">
        <v>38</v>
      </c>
      <c r="H40" s="59" t="s">
        <v>39</v>
      </c>
      <c r="I40" s="59" t="s">
        <v>40</v>
      </c>
      <c r="J40" s="59" t="s">
        <v>41</v>
      </c>
      <c r="K40" s="59" t="s">
        <v>42</v>
      </c>
      <c r="L40" s="59" t="s">
        <v>43</v>
      </c>
      <c r="M40" s="59" t="s">
        <v>44</v>
      </c>
      <c r="N40" s="59"/>
      <c r="O40" s="59"/>
    </row>
    <row r="41" spans="1:15" hidden="1">
      <c r="A41" s="59">
        <v>1</v>
      </c>
      <c r="B41" s="59" t="s">
        <v>629</v>
      </c>
      <c r="C41" s="59" t="s">
        <v>24</v>
      </c>
      <c r="D41" s="24">
        <v>652</v>
      </c>
      <c r="E41" s="24">
        <v>5</v>
      </c>
      <c r="F41" s="24">
        <v>4262</v>
      </c>
      <c r="G41" s="24">
        <v>1959</v>
      </c>
      <c r="H41" s="59">
        <v>12940</v>
      </c>
      <c r="I41" s="59">
        <v>117.56</v>
      </c>
      <c r="J41" s="59">
        <v>5.68</v>
      </c>
      <c r="K41" s="59">
        <v>9.0299999999999994</v>
      </c>
      <c r="L41" s="59">
        <v>0.05</v>
      </c>
      <c r="M41" s="59">
        <v>4.09</v>
      </c>
      <c r="N41" s="59"/>
      <c r="O41" s="59"/>
    </row>
    <row r="42" spans="1:15" hidden="1">
      <c r="A42" s="59">
        <v>2</v>
      </c>
      <c r="B42" s="59" t="s">
        <v>445</v>
      </c>
      <c r="C42" s="59" t="s">
        <v>24</v>
      </c>
      <c r="D42" s="24">
        <v>695</v>
      </c>
      <c r="E42" s="24">
        <v>447</v>
      </c>
      <c r="F42" s="24">
        <v>3442</v>
      </c>
      <c r="G42" s="24">
        <v>1813</v>
      </c>
      <c r="H42" s="59">
        <v>55.48</v>
      </c>
      <c r="I42" s="59">
        <v>89.85</v>
      </c>
      <c r="J42" s="59">
        <v>6.06</v>
      </c>
      <c r="K42" s="59">
        <v>7.29</v>
      </c>
      <c r="L42" s="59">
        <v>4.2300000000000004</v>
      </c>
      <c r="M42" s="59">
        <v>3.78</v>
      </c>
      <c r="N42" s="59"/>
      <c r="O42" s="59"/>
    </row>
    <row r="43" spans="1:15">
      <c r="A43" s="59">
        <v>3</v>
      </c>
      <c r="B43" s="59" t="s">
        <v>415</v>
      </c>
      <c r="C43" s="59" t="s">
        <v>23</v>
      </c>
      <c r="D43" s="24">
        <v>812</v>
      </c>
      <c r="E43" s="24">
        <v>520</v>
      </c>
      <c r="F43" s="24">
        <v>2577</v>
      </c>
      <c r="G43" s="24">
        <v>2577</v>
      </c>
      <c r="H43" s="59">
        <v>56.15</v>
      </c>
      <c r="I43" s="59">
        <v>0</v>
      </c>
      <c r="J43" s="59">
        <v>7.08</v>
      </c>
      <c r="K43" s="59">
        <v>5.46</v>
      </c>
      <c r="L43" s="59">
        <v>4.92</v>
      </c>
      <c r="M43" s="59">
        <v>5.37</v>
      </c>
      <c r="N43" s="59"/>
      <c r="O43" s="59"/>
    </row>
    <row r="44" spans="1:15" hidden="1">
      <c r="A44" s="59">
        <v>4</v>
      </c>
      <c r="B44" s="59" t="s">
        <v>505</v>
      </c>
      <c r="C44" s="59" t="s">
        <v>24</v>
      </c>
      <c r="D44" s="24">
        <v>661</v>
      </c>
      <c r="E44" s="24">
        <v>420</v>
      </c>
      <c r="F44" s="24">
        <v>2553</v>
      </c>
      <c r="G44" s="24">
        <v>2442</v>
      </c>
      <c r="H44" s="59">
        <v>57.38</v>
      </c>
      <c r="I44" s="59">
        <v>4.55</v>
      </c>
      <c r="J44" s="59">
        <v>5.76</v>
      </c>
      <c r="K44" s="59">
        <v>5.41</v>
      </c>
      <c r="L44" s="59">
        <v>3.97</v>
      </c>
      <c r="M44" s="59">
        <v>5.09</v>
      </c>
      <c r="N44" s="59"/>
      <c r="O44" s="59"/>
    </row>
    <row r="45" spans="1:15" hidden="1">
      <c r="A45" s="59">
        <v>5</v>
      </c>
      <c r="B45" s="59" t="s">
        <v>657</v>
      </c>
      <c r="C45" s="59" t="s">
        <v>24</v>
      </c>
      <c r="D45" s="24">
        <v>322</v>
      </c>
      <c r="E45" s="24">
        <v>420</v>
      </c>
      <c r="F45" s="24">
        <v>1610</v>
      </c>
      <c r="G45" s="24">
        <v>1193</v>
      </c>
      <c r="H45" s="59">
        <v>-23.33</v>
      </c>
      <c r="I45" s="59">
        <v>34.950000000000003</v>
      </c>
      <c r="J45" s="59">
        <v>2.81</v>
      </c>
      <c r="K45" s="59">
        <v>3.41</v>
      </c>
      <c r="L45" s="59">
        <v>3.97</v>
      </c>
      <c r="M45" s="59">
        <v>2.4900000000000002</v>
      </c>
      <c r="N45" s="59"/>
      <c r="O45" s="59"/>
    </row>
    <row r="46" spans="1:15">
      <c r="A46" s="59">
        <v>6</v>
      </c>
      <c r="B46" s="59" t="s">
        <v>717</v>
      </c>
      <c r="C46" s="59" t="s">
        <v>23</v>
      </c>
      <c r="D46" s="24">
        <v>282</v>
      </c>
      <c r="E46" s="24">
        <v>330</v>
      </c>
      <c r="F46" s="24">
        <v>1224</v>
      </c>
      <c r="G46" s="24">
        <v>430</v>
      </c>
      <c r="H46" s="59">
        <v>-14.55</v>
      </c>
      <c r="I46" s="59">
        <v>184.65</v>
      </c>
      <c r="J46" s="59">
        <v>2.46</v>
      </c>
      <c r="K46" s="59">
        <v>2.59</v>
      </c>
      <c r="L46" s="59">
        <v>3.12</v>
      </c>
      <c r="M46" s="59">
        <v>0.9</v>
      </c>
      <c r="N46" s="59"/>
      <c r="O46" s="59"/>
    </row>
    <row r="47" spans="1:15" hidden="1">
      <c r="A47" s="59">
        <v>7</v>
      </c>
      <c r="B47" s="59" t="s">
        <v>241</v>
      </c>
      <c r="C47" s="59" t="s">
        <v>24</v>
      </c>
      <c r="D47" s="24">
        <v>326</v>
      </c>
      <c r="E47" s="24">
        <v>670</v>
      </c>
      <c r="F47" s="24">
        <v>1168</v>
      </c>
      <c r="G47" s="24">
        <v>3150</v>
      </c>
      <c r="H47" s="59">
        <v>-51.34</v>
      </c>
      <c r="I47" s="59">
        <v>-62.92</v>
      </c>
      <c r="J47" s="59">
        <v>2.84</v>
      </c>
      <c r="K47" s="59">
        <v>2.4700000000000002</v>
      </c>
      <c r="L47" s="59">
        <v>6.34</v>
      </c>
      <c r="M47" s="59">
        <v>6.57</v>
      </c>
      <c r="N47" s="59"/>
      <c r="O47" s="59"/>
    </row>
    <row r="48" spans="1:15">
      <c r="A48" s="59">
        <v>8</v>
      </c>
      <c r="B48" s="59" t="s">
        <v>393</v>
      </c>
      <c r="C48" s="59" t="s">
        <v>23</v>
      </c>
      <c r="D48" s="24">
        <v>240</v>
      </c>
      <c r="E48" s="24">
        <v>417</v>
      </c>
      <c r="F48" s="24">
        <v>1123</v>
      </c>
      <c r="G48" s="24">
        <v>1751</v>
      </c>
      <c r="H48" s="59">
        <v>-42.45</v>
      </c>
      <c r="I48" s="59">
        <v>-35.869999999999997</v>
      </c>
      <c r="J48" s="59">
        <v>2.09</v>
      </c>
      <c r="K48" s="59">
        <v>2.38</v>
      </c>
      <c r="L48" s="59">
        <v>3.95</v>
      </c>
      <c r="M48" s="59">
        <v>3.65</v>
      </c>
      <c r="N48" s="59"/>
      <c r="O48" s="59"/>
    </row>
    <row r="49" spans="1:15" hidden="1">
      <c r="A49" s="59">
        <v>9</v>
      </c>
      <c r="B49" s="59" t="s">
        <v>665</v>
      </c>
      <c r="C49" s="59" t="s">
        <v>24</v>
      </c>
      <c r="D49" s="24">
        <v>261</v>
      </c>
      <c r="E49" s="24">
        <v>63</v>
      </c>
      <c r="F49" s="24">
        <v>1102</v>
      </c>
      <c r="G49" s="24">
        <v>293</v>
      </c>
      <c r="H49" s="59">
        <v>314.29000000000002</v>
      </c>
      <c r="I49" s="59">
        <v>276.11</v>
      </c>
      <c r="J49" s="59">
        <v>2.27</v>
      </c>
      <c r="K49" s="59">
        <v>2.34</v>
      </c>
      <c r="L49" s="59">
        <v>0.6</v>
      </c>
      <c r="M49" s="59">
        <v>0.61</v>
      </c>
      <c r="N49" s="59"/>
      <c r="O49" s="59"/>
    </row>
    <row r="50" spans="1:15" hidden="1">
      <c r="A50" s="59">
        <v>10</v>
      </c>
      <c r="B50" s="59" t="s">
        <v>594</v>
      </c>
      <c r="C50" s="59" t="s">
        <v>24</v>
      </c>
      <c r="D50" s="24">
        <v>302</v>
      </c>
      <c r="E50" s="24">
        <v>259</v>
      </c>
      <c r="F50" s="24">
        <v>1082</v>
      </c>
      <c r="G50" s="24">
        <v>799</v>
      </c>
      <c r="H50" s="59">
        <v>16.600000000000001</v>
      </c>
      <c r="I50" s="59">
        <v>35.42</v>
      </c>
      <c r="J50" s="59">
        <v>2.63</v>
      </c>
      <c r="K50" s="59">
        <v>2.29</v>
      </c>
      <c r="L50" s="59">
        <v>2.4500000000000002</v>
      </c>
      <c r="M50" s="59">
        <v>1.67</v>
      </c>
      <c r="N50" s="59"/>
      <c r="O50" s="59"/>
    </row>
    <row r="51" spans="1:15" hidden="1">
      <c r="A51" s="59">
        <v>11</v>
      </c>
      <c r="B51" s="59" t="s">
        <v>64</v>
      </c>
      <c r="C51" s="59" t="s">
        <v>24</v>
      </c>
      <c r="D51" s="24">
        <v>61</v>
      </c>
      <c r="E51" s="24">
        <v>4</v>
      </c>
      <c r="F51" s="24">
        <v>1066</v>
      </c>
      <c r="G51" s="24">
        <v>1183</v>
      </c>
      <c r="H51" s="59">
        <v>1425</v>
      </c>
      <c r="I51" s="59">
        <v>-9.89</v>
      </c>
      <c r="J51" s="59">
        <v>0.53</v>
      </c>
      <c r="K51" s="59">
        <v>2.2599999999999998</v>
      </c>
      <c r="L51" s="59">
        <v>0.04</v>
      </c>
      <c r="M51" s="59">
        <v>2.4700000000000002</v>
      </c>
      <c r="N51" s="59"/>
      <c r="O51" s="59"/>
    </row>
    <row r="52" spans="1:15" hidden="1">
      <c r="A52" s="59">
        <v>12</v>
      </c>
      <c r="B52" s="59" t="s">
        <v>439</v>
      </c>
      <c r="C52" s="59" t="s">
        <v>24</v>
      </c>
      <c r="D52" s="24">
        <v>325</v>
      </c>
      <c r="E52" s="24">
        <v>90</v>
      </c>
      <c r="F52" s="24">
        <v>892</v>
      </c>
      <c r="G52" s="24">
        <v>486</v>
      </c>
      <c r="H52" s="59">
        <v>261.11</v>
      </c>
      <c r="I52" s="59">
        <v>83.54</v>
      </c>
      <c r="J52" s="59">
        <v>2.83</v>
      </c>
      <c r="K52" s="59">
        <v>1.89</v>
      </c>
      <c r="L52" s="59">
        <v>0.85</v>
      </c>
      <c r="M52" s="59">
        <v>1.01</v>
      </c>
      <c r="N52" s="59"/>
      <c r="O52" s="59"/>
    </row>
    <row r="53" spans="1:15" hidden="1">
      <c r="A53" s="59">
        <v>13</v>
      </c>
      <c r="B53" s="59" t="s">
        <v>722</v>
      </c>
      <c r="C53" s="59" t="s">
        <v>24</v>
      </c>
      <c r="D53" s="24">
        <v>165</v>
      </c>
      <c r="E53" s="24">
        <v>10</v>
      </c>
      <c r="F53" s="24">
        <v>878</v>
      </c>
      <c r="G53" s="24">
        <v>102</v>
      </c>
      <c r="H53" s="59">
        <v>1550</v>
      </c>
      <c r="I53" s="59">
        <v>760.78</v>
      </c>
      <c r="J53" s="59">
        <v>1.44</v>
      </c>
      <c r="K53" s="59">
        <v>1.86</v>
      </c>
      <c r="L53" s="59">
        <v>0.09</v>
      </c>
      <c r="M53" s="59">
        <v>0.21</v>
      </c>
      <c r="N53" s="59"/>
      <c r="O53" s="59"/>
    </row>
    <row r="54" spans="1:15" hidden="1">
      <c r="A54" s="59">
        <v>14</v>
      </c>
      <c r="B54" s="59" t="s">
        <v>621</v>
      </c>
      <c r="C54" s="59" t="s">
        <v>24</v>
      </c>
      <c r="D54" s="24">
        <v>193</v>
      </c>
      <c r="E54" s="24">
        <v>85</v>
      </c>
      <c r="F54" s="24">
        <v>754</v>
      </c>
      <c r="G54" s="24">
        <v>778</v>
      </c>
      <c r="H54" s="59">
        <v>127.06</v>
      </c>
      <c r="I54" s="59">
        <v>-3.08</v>
      </c>
      <c r="J54" s="59">
        <v>1.68</v>
      </c>
      <c r="K54" s="59">
        <v>1.6</v>
      </c>
      <c r="L54" s="59">
        <v>0.8</v>
      </c>
      <c r="M54" s="59">
        <v>1.62</v>
      </c>
      <c r="N54" s="59"/>
      <c r="O54" s="59"/>
    </row>
    <row r="55" spans="1:15">
      <c r="A55" s="59">
        <v>15</v>
      </c>
      <c r="B55" s="59" t="s">
        <v>431</v>
      </c>
      <c r="C55" s="59" t="s">
        <v>23</v>
      </c>
      <c r="D55" s="24">
        <v>104</v>
      </c>
      <c r="E55" s="24">
        <v>361</v>
      </c>
      <c r="F55" s="24">
        <v>729</v>
      </c>
      <c r="G55" s="24">
        <v>1458</v>
      </c>
      <c r="H55" s="59">
        <v>-71.19</v>
      </c>
      <c r="I55" s="59">
        <v>-50</v>
      </c>
      <c r="J55" s="59">
        <v>0.91</v>
      </c>
      <c r="K55" s="59">
        <v>1.54</v>
      </c>
      <c r="L55" s="59">
        <v>3.42</v>
      </c>
      <c r="M55" s="59">
        <v>3.04</v>
      </c>
      <c r="N55" s="59"/>
      <c r="O55" s="59"/>
    </row>
    <row r="56" spans="1:15">
      <c r="A56" s="59">
        <v>16</v>
      </c>
      <c r="B56" s="59" t="s">
        <v>1014</v>
      </c>
      <c r="C56" s="59" t="s">
        <v>23</v>
      </c>
      <c r="D56" s="24">
        <v>35</v>
      </c>
      <c r="E56" s="24">
        <v>0</v>
      </c>
      <c r="F56" s="24">
        <v>665</v>
      </c>
      <c r="G56" s="24">
        <v>0</v>
      </c>
      <c r="H56" s="59">
        <v>0</v>
      </c>
      <c r="I56" s="59">
        <v>0</v>
      </c>
      <c r="J56" s="59">
        <v>0.3</v>
      </c>
      <c r="K56" s="59">
        <v>1.41</v>
      </c>
      <c r="L56" s="59">
        <v>0</v>
      </c>
      <c r="M56" s="59">
        <v>0</v>
      </c>
      <c r="N56" s="59"/>
      <c r="O56" s="59"/>
    </row>
    <row r="57" spans="1:15">
      <c r="A57" s="59">
        <v>17</v>
      </c>
      <c r="B57" s="59" t="s">
        <v>416</v>
      </c>
      <c r="C57" s="59" t="s">
        <v>23</v>
      </c>
      <c r="D57" s="24">
        <v>197</v>
      </c>
      <c r="E57" s="24">
        <v>138</v>
      </c>
      <c r="F57" s="24">
        <v>645</v>
      </c>
      <c r="G57" s="24">
        <v>879</v>
      </c>
      <c r="H57" s="59">
        <v>42.75</v>
      </c>
      <c r="I57" s="59">
        <v>-26.62</v>
      </c>
      <c r="J57" s="59">
        <v>1.72</v>
      </c>
      <c r="K57" s="59">
        <v>1.37</v>
      </c>
      <c r="L57" s="59">
        <v>1.31</v>
      </c>
      <c r="M57" s="59">
        <v>1.83</v>
      </c>
      <c r="N57" s="59"/>
      <c r="O57" s="59"/>
    </row>
    <row r="58" spans="1:15" hidden="1">
      <c r="A58" s="59">
        <v>18</v>
      </c>
      <c r="B58" s="59" t="s">
        <v>426</v>
      </c>
      <c r="C58" s="59" t="s">
        <v>24</v>
      </c>
      <c r="D58" s="24">
        <v>120</v>
      </c>
      <c r="E58" s="24">
        <v>496</v>
      </c>
      <c r="F58" s="24">
        <v>644</v>
      </c>
      <c r="G58" s="24">
        <v>1684</v>
      </c>
      <c r="H58" s="59">
        <v>-75.81</v>
      </c>
      <c r="I58" s="59">
        <v>-61.76</v>
      </c>
      <c r="J58" s="59">
        <v>1.05</v>
      </c>
      <c r="K58" s="59">
        <v>1.36</v>
      </c>
      <c r="L58" s="59">
        <v>4.6900000000000004</v>
      </c>
      <c r="M58" s="59">
        <v>3.51</v>
      </c>
      <c r="N58" s="59"/>
      <c r="O58" s="59"/>
    </row>
    <row r="59" spans="1:15">
      <c r="A59" s="59">
        <v>19</v>
      </c>
      <c r="B59" s="59" t="s">
        <v>397</v>
      </c>
      <c r="C59" s="59" t="s">
        <v>23</v>
      </c>
      <c r="D59" s="24">
        <v>255</v>
      </c>
      <c r="E59" s="24">
        <v>141</v>
      </c>
      <c r="F59" s="24">
        <v>623</v>
      </c>
      <c r="G59" s="24">
        <v>1058</v>
      </c>
      <c r="H59" s="59">
        <v>80.849999999999994</v>
      </c>
      <c r="I59" s="59">
        <v>-41.12</v>
      </c>
      <c r="J59" s="59">
        <v>2.2200000000000002</v>
      </c>
      <c r="K59" s="59">
        <v>1.32</v>
      </c>
      <c r="L59" s="59">
        <v>1.33</v>
      </c>
      <c r="M59" s="59">
        <v>2.21</v>
      </c>
      <c r="N59" s="59"/>
      <c r="O59" s="59"/>
    </row>
    <row r="60" spans="1:15" hidden="1">
      <c r="A60" s="59">
        <v>20</v>
      </c>
      <c r="B60" s="59" t="s">
        <v>719</v>
      </c>
      <c r="C60" s="59" t="s">
        <v>24</v>
      </c>
      <c r="D60" s="24">
        <v>235</v>
      </c>
      <c r="E60" s="24">
        <v>6</v>
      </c>
      <c r="F60" s="24">
        <v>587</v>
      </c>
      <c r="G60" s="24">
        <v>7</v>
      </c>
      <c r="H60" s="59">
        <v>3816.67</v>
      </c>
      <c r="I60" s="59">
        <v>8285.7099999999991</v>
      </c>
      <c r="J60" s="59">
        <v>2.0499999999999998</v>
      </c>
      <c r="K60" s="59">
        <v>1.24</v>
      </c>
      <c r="L60" s="59">
        <v>0.06</v>
      </c>
      <c r="M60" s="59">
        <v>0.01</v>
      </c>
      <c r="N60" s="59"/>
      <c r="O60" s="59"/>
    </row>
    <row r="61" spans="1:15">
      <c r="A61" s="59">
        <v>21</v>
      </c>
      <c r="B61" s="59" t="s">
        <v>599</v>
      </c>
      <c r="C61" s="59" t="s">
        <v>23</v>
      </c>
      <c r="D61" s="24">
        <v>143</v>
      </c>
      <c r="E61" s="24">
        <v>201</v>
      </c>
      <c r="F61" s="24">
        <v>580</v>
      </c>
      <c r="G61" s="24">
        <v>554</v>
      </c>
      <c r="H61" s="59">
        <v>-28.86</v>
      </c>
      <c r="I61" s="59">
        <v>4.6900000000000004</v>
      </c>
      <c r="J61" s="59">
        <v>1.25</v>
      </c>
      <c r="K61" s="59">
        <v>1.23</v>
      </c>
      <c r="L61" s="59">
        <v>1.9</v>
      </c>
      <c r="M61" s="59">
        <v>1.1599999999999999</v>
      </c>
      <c r="N61" s="59"/>
      <c r="O61" s="59"/>
    </row>
    <row r="62" spans="1:15" hidden="1">
      <c r="A62" s="59">
        <v>22</v>
      </c>
      <c r="B62" s="59" t="s">
        <v>103</v>
      </c>
      <c r="C62" s="59" t="s">
        <v>24</v>
      </c>
      <c r="D62" s="24">
        <v>144</v>
      </c>
      <c r="E62" s="24">
        <v>391</v>
      </c>
      <c r="F62" s="24">
        <v>566</v>
      </c>
      <c r="G62" s="24">
        <v>1219</v>
      </c>
      <c r="H62" s="59">
        <v>-63.17</v>
      </c>
      <c r="I62" s="59">
        <v>-53.57</v>
      </c>
      <c r="J62" s="59">
        <v>1.25</v>
      </c>
      <c r="K62" s="59">
        <v>1.2</v>
      </c>
      <c r="L62" s="59">
        <v>3.7</v>
      </c>
      <c r="M62" s="59">
        <v>2.54</v>
      </c>
      <c r="N62" s="59"/>
      <c r="O62" s="59"/>
    </row>
    <row r="63" spans="1:15">
      <c r="A63" s="59">
        <v>23</v>
      </c>
      <c r="B63" s="59" t="s">
        <v>243</v>
      </c>
      <c r="C63" s="59" t="s">
        <v>23</v>
      </c>
      <c r="D63" s="24">
        <v>180</v>
      </c>
      <c r="E63" s="24">
        <v>91</v>
      </c>
      <c r="F63" s="24">
        <v>557</v>
      </c>
      <c r="G63" s="24">
        <v>481</v>
      </c>
      <c r="H63" s="59">
        <v>97.8</v>
      </c>
      <c r="I63" s="59">
        <v>15.8</v>
      </c>
      <c r="J63" s="59">
        <v>1.57</v>
      </c>
      <c r="K63" s="59">
        <v>1.18</v>
      </c>
      <c r="L63" s="59">
        <v>0.86</v>
      </c>
      <c r="M63" s="59">
        <v>1</v>
      </c>
      <c r="N63" s="59"/>
      <c r="O63" s="59"/>
    </row>
    <row r="64" spans="1:15">
      <c r="A64" s="59">
        <v>24</v>
      </c>
      <c r="B64" s="59" t="s">
        <v>422</v>
      </c>
      <c r="C64" s="59" t="s">
        <v>23</v>
      </c>
      <c r="D64" s="24">
        <v>158</v>
      </c>
      <c r="E64" s="24">
        <v>176</v>
      </c>
      <c r="F64" s="24">
        <v>534</v>
      </c>
      <c r="G64" s="24">
        <v>631</v>
      </c>
      <c r="H64" s="59">
        <v>-10.23</v>
      </c>
      <c r="I64" s="59">
        <v>-15.37</v>
      </c>
      <c r="J64" s="59">
        <v>1.38</v>
      </c>
      <c r="K64" s="59">
        <v>1.1299999999999999</v>
      </c>
      <c r="L64" s="59">
        <v>1.67</v>
      </c>
      <c r="M64" s="59">
        <v>1.32</v>
      </c>
      <c r="N64" s="59"/>
      <c r="O64" s="59"/>
    </row>
    <row r="65" spans="1:15" hidden="1">
      <c r="A65" s="59">
        <v>25</v>
      </c>
      <c r="B65" s="59" t="s">
        <v>1060</v>
      </c>
      <c r="C65" s="59" t="s">
        <v>24</v>
      </c>
      <c r="D65" s="24">
        <v>140</v>
      </c>
      <c r="E65" s="24">
        <v>0</v>
      </c>
      <c r="F65" s="24">
        <v>496</v>
      </c>
      <c r="G65" s="24">
        <v>0</v>
      </c>
      <c r="H65" s="59">
        <v>0</v>
      </c>
      <c r="I65" s="59">
        <v>0</v>
      </c>
      <c r="J65" s="59">
        <v>1.22</v>
      </c>
      <c r="K65" s="59">
        <v>1.05</v>
      </c>
      <c r="L65" s="59">
        <v>0</v>
      </c>
      <c r="M65" s="59">
        <v>0</v>
      </c>
      <c r="N65" s="59"/>
      <c r="O65" s="59"/>
    </row>
    <row r="66" spans="1:15">
      <c r="A66" s="59">
        <v>26</v>
      </c>
      <c r="B66" s="59" t="s">
        <v>434</v>
      </c>
      <c r="C66" s="59" t="s">
        <v>23</v>
      </c>
      <c r="D66" s="24">
        <v>82</v>
      </c>
      <c r="E66" s="24">
        <v>73</v>
      </c>
      <c r="F66" s="24">
        <v>489</v>
      </c>
      <c r="G66" s="24">
        <v>631</v>
      </c>
      <c r="H66" s="59">
        <v>12.33</v>
      </c>
      <c r="I66" s="59">
        <v>-22.5</v>
      </c>
      <c r="J66" s="59">
        <v>0.71</v>
      </c>
      <c r="K66" s="59">
        <v>1.04</v>
      </c>
      <c r="L66" s="59">
        <v>0.69</v>
      </c>
      <c r="M66" s="59">
        <v>1.32</v>
      </c>
      <c r="N66" s="59"/>
      <c r="O66" s="59"/>
    </row>
    <row r="67" spans="1:15">
      <c r="A67" s="59">
        <v>27</v>
      </c>
      <c r="B67" s="59" t="s">
        <v>672</v>
      </c>
      <c r="C67" s="59" t="s">
        <v>23</v>
      </c>
      <c r="D67" s="24">
        <v>155</v>
      </c>
      <c r="E67" s="24">
        <v>89</v>
      </c>
      <c r="F67" s="24">
        <v>485</v>
      </c>
      <c r="G67" s="24">
        <v>241</v>
      </c>
      <c r="H67" s="59">
        <v>74.16</v>
      </c>
      <c r="I67" s="59">
        <v>101.24</v>
      </c>
      <c r="J67" s="59">
        <v>1.35</v>
      </c>
      <c r="K67" s="59">
        <v>1.03</v>
      </c>
      <c r="L67" s="59">
        <v>0.84</v>
      </c>
      <c r="M67" s="59">
        <v>0.5</v>
      </c>
      <c r="N67" s="59"/>
      <c r="O67" s="59"/>
    </row>
    <row r="68" spans="1:15" hidden="1">
      <c r="A68" s="59">
        <v>28</v>
      </c>
      <c r="B68" s="59" t="s">
        <v>718</v>
      </c>
      <c r="C68" s="59" t="s">
        <v>24</v>
      </c>
      <c r="D68" s="24">
        <v>181</v>
      </c>
      <c r="E68" s="24">
        <v>18</v>
      </c>
      <c r="F68" s="24">
        <v>462</v>
      </c>
      <c r="G68" s="24">
        <v>52</v>
      </c>
      <c r="H68" s="59">
        <v>905.56</v>
      </c>
      <c r="I68" s="59">
        <v>788.46</v>
      </c>
      <c r="J68" s="59">
        <v>1.58</v>
      </c>
      <c r="K68" s="59">
        <v>0.98</v>
      </c>
      <c r="L68" s="59">
        <v>0.17</v>
      </c>
      <c r="M68" s="59">
        <v>0.11</v>
      </c>
      <c r="N68" s="59"/>
      <c r="O68" s="59"/>
    </row>
    <row r="69" spans="1:15" hidden="1">
      <c r="A69" s="59">
        <v>29</v>
      </c>
      <c r="B69" s="59" t="s">
        <v>148</v>
      </c>
      <c r="C69" s="59" t="s">
        <v>24</v>
      </c>
      <c r="D69" s="24">
        <v>151</v>
      </c>
      <c r="E69" s="24">
        <v>194</v>
      </c>
      <c r="F69" s="24">
        <v>445</v>
      </c>
      <c r="G69" s="24">
        <v>472</v>
      </c>
      <c r="H69" s="59">
        <v>-22.16</v>
      </c>
      <c r="I69" s="59">
        <v>-5.72</v>
      </c>
      <c r="J69" s="59">
        <v>1.32</v>
      </c>
      <c r="K69" s="59">
        <v>0.94</v>
      </c>
      <c r="L69" s="59">
        <v>1.84</v>
      </c>
      <c r="M69" s="59">
        <v>0.98</v>
      </c>
      <c r="N69" s="59"/>
      <c r="O69" s="59"/>
    </row>
    <row r="70" spans="1:15">
      <c r="A70" s="59">
        <v>30</v>
      </c>
      <c r="B70" s="59" t="s">
        <v>403</v>
      </c>
      <c r="C70" s="59" t="s">
        <v>23</v>
      </c>
      <c r="D70" s="24">
        <v>41</v>
      </c>
      <c r="E70" s="24">
        <v>259</v>
      </c>
      <c r="F70" s="24">
        <v>437</v>
      </c>
      <c r="G70" s="24">
        <v>735</v>
      </c>
      <c r="H70" s="59">
        <v>-84.17</v>
      </c>
      <c r="I70" s="59">
        <v>-40.54</v>
      </c>
      <c r="J70" s="59">
        <v>0.36</v>
      </c>
      <c r="K70" s="59">
        <v>0.93</v>
      </c>
      <c r="L70" s="59">
        <v>2.4500000000000002</v>
      </c>
      <c r="M70" s="59">
        <v>1.53</v>
      </c>
      <c r="N70" s="59"/>
      <c r="O70" s="59"/>
    </row>
    <row r="71" spans="1:15" hidden="1">
      <c r="A71" s="59">
        <v>31</v>
      </c>
      <c r="B71" s="59" t="s">
        <v>724</v>
      </c>
      <c r="C71" s="59" t="s">
        <v>24</v>
      </c>
      <c r="D71" s="24">
        <v>149</v>
      </c>
      <c r="E71" s="24">
        <v>20</v>
      </c>
      <c r="F71" s="24">
        <v>416</v>
      </c>
      <c r="G71" s="24">
        <v>20</v>
      </c>
      <c r="H71" s="59">
        <v>645</v>
      </c>
      <c r="I71" s="59">
        <v>1980</v>
      </c>
      <c r="J71" s="59">
        <v>1.3</v>
      </c>
      <c r="K71" s="59">
        <v>0.88</v>
      </c>
      <c r="L71" s="59">
        <v>0.19</v>
      </c>
      <c r="M71" s="59">
        <v>0.04</v>
      </c>
      <c r="N71" s="59"/>
      <c r="O71" s="59"/>
    </row>
    <row r="72" spans="1:15" hidden="1">
      <c r="A72" s="59">
        <v>32</v>
      </c>
      <c r="B72" s="59" t="s">
        <v>674</v>
      </c>
      <c r="C72" s="59" t="s">
        <v>24</v>
      </c>
      <c r="D72" s="24">
        <v>133</v>
      </c>
      <c r="E72" s="24">
        <v>34</v>
      </c>
      <c r="F72" s="24">
        <v>405</v>
      </c>
      <c r="G72" s="24">
        <v>78</v>
      </c>
      <c r="H72" s="59">
        <v>291.18</v>
      </c>
      <c r="I72" s="59">
        <v>419.23</v>
      </c>
      <c r="J72" s="59">
        <v>1.1599999999999999</v>
      </c>
      <c r="K72" s="59">
        <v>0.86</v>
      </c>
      <c r="L72" s="59">
        <v>0.32</v>
      </c>
      <c r="M72" s="59">
        <v>0.16</v>
      </c>
      <c r="N72" s="59"/>
      <c r="O72" s="59"/>
    </row>
    <row r="73" spans="1:15" hidden="1">
      <c r="A73" s="59">
        <v>33</v>
      </c>
      <c r="B73" s="59" t="s">
        <v>727</v>
      </c>
      <c r="C73" s="59" t="s">
        <v>24</v>
      </c>
      <c r="D73" s="24">
        <v>73</v>
      </c>
      <c r="E73" s="24">
        <v>64</v>
      </c>
      <c r="F73" s="24">
        <v>387</v>
      </c>
      <c r="G73" s="24">
        <v>64</v>
      </c>
      <c r="H73" s="59">
        <v>14.06</v>
      </c>
      <c r="I73" s="59">
        <v>504.69</v>
      </c>
      <c r="J73" s="59">
        <v>0.64</v>
      </c>
      <c r="K73" s="59">
        <v>0.82</v>
      </c>
      <c r="L73" s="59">
        <v>0.61</v>
      </c>
      <c r="M73" s="59">
        <v>0.13</v>
      </c>
      <c r="N73" s="59"/>
      <c r="O73" s="59"/>
    </row>
    <row r="74" spans="1:15" hidden="1">
      <c r="A74" s="59">
        <v>34</v>
      </c>
      <c r="B74" s="59" t="s">
        <v>1041</v>
      </c>
      <c r="C74" s="59" t="s">
        <v>24</v>
      </c>
      <c r="D74" s="24">
        <v>115</v>
      </c>
      <c r="E74" s="24">
        <v>0</v>
      </c>
      <c r="F74" s="24">
        <v>387</v>
      </c>
      <c r="G74" s="24">
        <v>0</v>
      </c>
      <c r="H74" s="59">
        <v>0</v>
      </c>
      <c r="I74" s="59">
        <v>0</v>
      </c>
      <c r="J74" s="59">
        <v>1</v>
      </c>
      <c r="K74" s="59">
        <v>0.82</v>
      </c>
      <c r="L74" s="59">
        <v>0</v>
      </c>
      <c r="M74" s="59">
        <v>0</v>
      </c>
      <c r="N74" s="59"/>
      <c r="O74" s="59"/>
    </row>
    <row r="75" spans="1:15" hidden="1">
      <c r="A75" s="59">
        <v>35</v>
      </c>
      <c r="B75" s="59" t="s">
        <v>108</v>
      </c>
      <c r="C75" s="59" t="s">
        <v>24</v>
      </c>
      <c r="D75" s="24">
        <v>37</v>
      </c>
      <c r="E75" s="24">
        <v>107</v>
      </c>
      <c r="F75" s="24">
        <v>374</v>
      </c>
      <c r="G75" s="24">
        <v>393</v>
      </c>
      <c r="H75" s="59">
        <v>-65.42</v>
      </c>
      <c r="I75" s="59">
        <v>-4.83</v>
      </c>
      <c r="J75" s="59">
        <v>0.32</v>
      </c>
      <c r="K75" s="59">
        <v>0.79</v>
      </c>
      <c r="L75" s="59">
        <v>1.01</v>
      </c>
      <c r="M75" s="59">
        <v>0.82</v>
      </c>
      <c r="N75" s="59"/>
      <c r="O75" s="59"/>
    </row>
    <row r="76" spans="1:15">
      <c r="A76" s="59">
        <v>36</v>
      </c>
      <c r="B76" s="59" t="s">
        <v>239</v>
      </c>
      <c r="C76" s="59" t="s">
        <v>23</v>
      </c>
      <c r="D76" s="24">
        <v>104</v>
      </c>
      <c r="E76" s="24">
        <v>112</v>
      </c>
      <c r="F76" s="24">
        <v>358</v>
      </c>
      <c r="G76" s="24">
        <v>778</v>
      </c>
      <c r="H76" s="59">
        <v>-7.14</v>
      </c>
      <c r="I76" s="59">
        <v>-53.98</v>
      </c>
      <c r="J76" s="59">
        <v>0.91</v>
      </c>
      <c r="K76" s="59">
        <v>0.76</v>
      </c>
      <c r="L76" s="59">
        <v>1.06</v>
      </c>
      <c r="M76" s="59">
        <v>1.62</v>
      </c>
      <c r="N76" s="59"/>
      <c r="O76" s="59"/>
    </row>
    <row r="77" spans="1:15" hidden="1">
      <c r="A77" s="59">
        <v>37</v>
      </c>
      <c r="B77" s="59" t="s">
        <v>666</v>
      </c>
      <c r="C77" s="59" t="s">
        <v>24</v>
      </c>
      <c r="D77" s="24">
        <v>74</v>
      </c>
      <c r="E77" s="24">
        <v>92</v>
      </c>
      <c r="F77" s="24">
        <v>341</v>
      </c>
      <c r="G77" s="24">
        <v>185</v>
      </c>
      <c r="H77" s="59">
        <v>-19.57</v>
      </c>
      <c r="I77" s="59">
        <v>84.32</v>
      </c>
      <c r="J77" s="59">
        <v>0.64</v>
      </c>
      <c r="K77" s="59">
        <v>0.72</v>
      </c>
      <c r="L77" s="59">
        <v>0.87</v>
      </c>
      <c r="M77" s="59">
        <v>0.39</v>
      </c>
      <c r="N77" s="59"/>
      <c r="O77" s="59"/>
    </row>
    <row r="78" spans="1:15">
      <c r="A78" s="59">
        <v>38</v>
      </c>
      <c r="B78" s="59" t="s">
        <v>1062</v>
      </c>
      <c r="C78" s="59" t="s">
        <v>23</v>
      </c>
      <c r="D78" s="24">
        <v>111</v>
      </c>
      <c r="E78" s="24">
        <v>0</v>
      </c>
      <c r="F78" s="24">
        <v>323</v>
      </c>
      <c r="G78" s="24">
        <v>0</v>
      </c>
      <c r="H78" s="59">
        <v>0</v>
      </c>
      <c r="I78" s="59">
        <v>0</v>
      </c>
      <c r="J78" s="59">
        <v>0.97</v>
      </c>
      <c r="K78" s="59">
        <v>0.68</v>
      </c>
      <c r="L78" s="59">
        <v>0</v>
      </c>
      <c r="M78" s="59">
        <v>0</v>
      </c>
      <c r="N78" s="59"/>
      <c r="O78" s="59"/>
    </row>
    <row r="79" spans="1:15" hidden="1">
      <c r="A79" s="59">
        <v>39</v>
      </c>
      <c r="B79" s="59" t="s">
        <v>613</v>
      </c>
      <c r="C79" s="59" t="s">
        <v>24</v>
      </c>
      <c r="D79" s="24">
        <v>58</v>
      </c>
      <c r="E79" s="24">
        <v>233</v>
      </c>
      <c r="F79" s="24">
        <v>318</v>
      </c>
      <c r="G79" s="24">
        <v>563</v>
      </c>
      <c r="H79" s="59">
        <v>-75.11</v>
      </c>
      <c r="I79" s="59">
        <v>-43.52</v>
      </c>
      <c r="J79" s="59">
        <v>0.51</v>
      </c>
      <c r="K79" s="59">
        <v>0.67</v>
      </c>
      <c r="L79" s="59">
        <v>2.2000000000000002</v>
      </c>
      <c r="M79" s="59">
        <v>1.17</v>
      </c>
      <c r="N79" s="59"/>
      <c r="O79" s="59"/>
    </row>
    <row r="80" spans="1:15">
      <c r="A80" s="59">
        <v>40</v>
      </c>
      <c r="B80" s="59" t="s">
        <v>514</v>
      </c>
      <c r="C80" s="59" t="s">
        <v>23</v>
      </c>
      <c r="D80" s="24">
        <v>92</v>
      </c>
      <c r="E80" s="24">
        <v>16</v>
      </c>
      <c r="F80" s="24">
        <v>315</v>
      </c>
      <c r="G80" s="24">
        <v>149</v>
      </c>
      <c r="H80" s="59">
        <v>475</v>
      </c>
      <c r="I80" s="59">
        <v>111.41</v>
      </c>
      <c r="J80" s="59">
        <v>0.8</v>
      </c>
      <c r="K80" s="59">
        <v>0.67</v>
      </c>
      <c r="L80" s="59">
        <v>0.15</v>
      </c>
      <c r="M80" s="59">
        <v>0.31</v>
      </c>
      <c r="N80" s="59"/>
      <c r="O80" s="59"/>
    </row>
    <row r="81" spans="1:15">
      <c r="A81" s="59">
        <v>41</v>
      </c>
      <c r="B81" s="59" t="s">
        <v>417</v>
      </c>
      <c r="C81" s="59" t="s">
        <v>23</v>
      </c>
      <c r="D81" s="24">
        <v>98</v>
      </c>
      <c r="E81" s="24">
        <v>134</v>
      </c>
      <c r="F81" s="24">
        <v>307</v>
      </c>
      <c r="G81" s="24">
        <v>944</v>
      </c>
      <c r="H81" s="59">
        <v>-26.87</v>
      </c>
      <c r="I81" s="59">
        <v>-67.48</v>
      </c>
      <c r="J81" s="59">
        <v>0.85</v>
      </c>
      <c r="K81" s="59">
        <v>0.65</v>
      </c>
      <c r="L81" s="59">
        <v>1.27</v>
      </c>
      <c r="M81" s="59">
        <v>1.97</v>
      </c>
      <c r="N81" s="59"/>
      <c r="O81" s="59"/>
    </row>
    <row r="82" spans="1:15" hidden="1">
      <c r="A82" s="59">
        <v>42</v>
      </c>
      <c r="B82" s="59" t="s">
        <v>667</v>
      </c>
      <c r="C82" s="59" t="s">
        <v>24</v>
      </c>
      <c r="D82" s="24">
        <v>106</v>
      </c>
      <c r="E82" s="24">
        <v>0</v>
      </c>
      <c r="F82" s="24">
        <v>307</v>
      </c>
      <c r="G82" s="24">
        <v>0</v>
      </c>
      <c r="H82" s="59">
        <v>0</v>
      </c>
      <c r="I82" s="59">
        <v>0</v>
      </c>
      <c r="J82" s="59">
        <v>0.92</v>
      </c>
      <c r="K82" s="59">
        <v>0.65</v>
      </c>
      <c r="L82" s="59">
        <v>0</v>
      </c>
      <c r="M82" s="59">
        <v>0</v>
      </c>
      <c r="N82" s="59"/>
      <c r="O82" s="59"/>
    </row>
    <row r="83" spans="1:15" hidden="1">
      <c r="A83" s="59">
        <v>43</v>
      </c>
      <c r="B83" s="59" t="s">
        <v>520</v>
      </c>
      <c r="C83" s="59" t="s">
        <v>24</v>
      </c>
      <c r="D83" s="24">
        <v>68</v>
      </c>
      <c r="E83" s="24">
        <v>24</v>
      </c>
      <c r="F83" s="24">
        <v>301</v>
      </c>
      <c r="G83" s="24">
        <v>175</v>
      </c>
      <c r="H83" s="59">
        <v>183.33</v>
      </c>
      <c r="I83" s="59">
        <v>72</v>
      </c>
      <c r="J83" s="59">
        <v>0.59</v>
      </c>
      <c r="K83" s="59">
        <v>0.64</v>
      </c>
      <c r="L83" s="59">
        <v>0.23</v>
      </c>
      <c r="M83" s="59">
        <v>0.36</v>
      </c>
      <c r="N83" s="59"/>
      <c r="O83" s="59"/>
    </row>
    <row r="84" spans="1:15">
      <c r="A84" s="59">
        <v>44</v>
      </c>
      <c r="B84" s="59" t="s">
        <v>378</v>
      </c>
      <c r="C84" s="59" t="s">
        <v>23</v>
      </c>
      <c r="D84" s="24">
        <v>98</v>
      </c>
      <c r="E84" s="24">
        <v>17</v>
      </c>
      <c r="F84" s="24">
        <v>300</v>
      </c>
      <c r="G84" s="24">
        <v>102</v>
      </c>
      <c r="H84" s="59">
        <v>476.47</v>
      </c>
      <c r="I84" s="59">
        <v>194.12</v>
      </c>
      <c r="J84" s="59">
        <v>0.85</v>
      </c>
      <c r="K84" s="59">
        <v>0.64</v>
      </c>
      <c r="L84" s="59">
        <v>0.16</v>
      </c>
      <c r="M84" s="59">
        <v>0.21</v>
      </c>
      <c r="N84" s="59"/>
      <c r="O84" s="59"/>
    </row>
    <row r="85" spans="1:15" hidden="1">
      <c r="A85" s="59">
        <v>45</v>
      </c>
      <c r="B85" s="59" t="s">
        <v>508</v>
      </c>
      <c r="C85" s="59" t="s">
        <v>24</v>
      </c>
      <c r="D85" s="24">
        <v>4</v>
      </c>
      <c r="E85" s="24">
        <v>60</v>
      </c>
      <c r="F85" s="24">
        <v>300</v>
      </c>
      <c r="G85" s="24">
        <v>83</v>
      </c>
      <c r="H85" s="59">
        <v>-93.33</v>
      </c>
      <c r="I85" s="59">
        <v>261.45</v>
      </c>
      <c r="J85" s="59">
        <v>0.03</v>
      </c>
      <c r="K85" s="59">
        <v>0.64</v>
      </c>
      <c r="L85" s="59">
        <v>0.56999999999999995</v>
      </c>
      <c r="M85" s="59">
        <v>0.17</v>
      </c>
      <c r="N85" s="59"/>
      <c r="O85" s="59"/>
    </row>
    <row r="86" spans="1:15">
      <c r="A86" s="59">
        <v>46</v>
      </c>
      <c r="B86" s="59" t="s">
        <v>515</v>
      </c>
      <c r="C86" s="59" t="s">
        <v>23</v>
      </c>
      <c r="D86" s="24">
        <v>107</v>
      </c>
      <c r="E86" s="24">
        <v>114</v>
      </c>
      <c r="F86" s="24">
        <v>296</v>
      </c>
      <c r="G86" s="24">
        <v>583</v>
      </c>
      <c r="H86" s="59">
        <v>-6.14</v>
      </c>
      <c r="I86" s="59">
        <v>-49.23</v>
      </c>
      <c r="J86" s="59">
        <v>0.93</v>
      </c>
      <c r="K86" s="59">
        <v>0.63</v>
      </c>
      <c r="L86" s="59">
        <v>1.08</v>
      </c>
      <c r="M86" s="59">
        <v>1.22</v>
      </c>
      <c r="N86" s="59"/>
      <c r="O86" s="59"/>
    </row>
    <row r="87" spans="1:15" hidden="1">
      <c r="A87" s="59">
        <v>47</v>
      </c>
      <c r="B87" s="59" t="s">
        <v>627</v>
      </c>
      <c r="C87" s="59" t="s">
        <v>24</v>
      </c>
      <c r="D87" s="24">
        <v>50</v>
      </c>
      <c r="E87" s="24">
        <v>23</v>
      </c>
      <c r="F87" s="24">
        <v>282</v>
      </c>
      <c r="G87" s="24">
        <v>264</v>
      </c>
      <c r="H87" s="59">
        <v>117.39</v>
      </c>
      <c r="I87" s="59">
        <v>6.82</v>
      </c>
      <c r="J87" s="59">
        <v>0.44</v>
      </c>
      <c r="K87" s="59">
        <v>0.6</v>
      </c>
      <c r="L87" s="59">
        <v>0.22</v>
      </c>
      <c r="M87" s="59">
        <v>0.55000000000000004</v>
      </c>
      <c r="N87" s="59"/>
      <c r="O87" s="59"/>
    </row>
    <row r="88" spans="1:15">
      <c r="A88" s="59">
        <v>48</v>
      </c>
      <c r="B88" s="59" t="s">
        <v>446</v>
      </c>
      <c r="C88" s="59" t="s">
        <v>23</v>
      </c>
      <c r="D88" s="24">
        <v>114</v>
      </c>
      <c r="E88" s="24">
        <v>126</v>
      </c>
      <c r="F88" s="24">
        <v>270</v>
      </c>
      <c r="G88" s="24">
        <v>845</v>
      </c>
      <c r="H88" s="59">
        <v>-9.52</v>
      </c>
      <c r="I88" s="59">
        <v>-68.05</v>
      </c>
      <c r="J88" s="59">
        <v>0.99</v>
      </c>
      <c r="K88" s="59">
        <v>0.56999999999999995</v>
      </c>
      <c r="L88" s="59">
        <v>1.19</v>
      </c>
      <c r="M88" s="59">
        <v>1.76</v>
      </c>
      <c r="N88" s="59"/>
      <c r="O88" s="59"/>
    </row>
    <row r="89" spans="1:15" hidden="1">
      <c r="A89" s="59">
        <v>49</v>
      </c>
      <c r="B89" s="59" t="s">
        <v>383</v>
      </c>
      <c r="C89" s="59" t="s">
        <v>24</v>
      </c>
      <c r="D89" s="24">
        <v>56</v>
      </c>
      <c r="E89" s="24">
        <v>40</v>
      </c>
      <c r="F89" s="24">
        <v>257</v>
      </c>
      <c r="G89" s="24">
        <v>315</v>
      </c>
      <c r="H89" s="59">
        <v>40</v>
      </c>
      <c r="I89" s="59">
        <v>-18.41</v>
      </c>
      <c r="J89" s="59">
        <v>0.49</v>
      </c>
      <c r="K89" s="59">
        <v>0.54</v>
      </c>
      <c r="L89" s="59">
        <v>0.38</v>
      </c>
      <c r="M89" s="59">
        <v>0.66</v>
      </c>
      <c r="N89" s="59"/>
      <c r="O89" s="59"/>
    </row>
    <row r="90" spans="1:15" hidden="1">
      <c r="A90" s="59">
        <v>50</v>
      </c>
      <c r="B90" s="59" t="s">
        <v>423</v>
      </c>
      <c r="C90" s="59" t="s">
        <v>24</v>
      </c>
      <c r="D90" s="24">
        <v>56</v>
      </c>
      <c r="E90" s="24">
        <v>52</v>
      </c>
      <c r="F90" s="24">
        <v>249</v>
      </c>
      <c r="G90" s="24">
        <v>291</v>
      </c>
      <c r="H90" s="59">
        <v>7.69</v>
      </c>
      <c r="I90" s="59">
        <v>-14.43</v>
      </c>
      <c r="J90" s="59">
        <v>0.49</v>
      </c>
      <c r="K90" s="59">
        <v>0.53</v>
      </c>
      <c r="L90" s="59">
        <v>0.49</v>
      </c>
      <c r="M90" s="59">
        <v>0.61</v>
      </c>
      <c r="N90" s="59"/>
      <c r="O90" s="59"/>
    </row>
    <row r="91" spans="1:15">
      <c r="A91" s="59">
        <v>51</v>
      </c>
      <c r="B91" s="59" t="s">
        <v>246</v>
      </c>
      <c r="C91" s="59" t="s">
        <v>23</v>
      </c>
      <c r="D91" s="24">
        <v>52</v>
      </c>
      <c r="E91" s="24">
        <v>1</v>
      </c>
      <c r="F91" s="24">
        <v>240</v>
      </c>
      <c r="G91" s="24">
        <v>1</v>
      </c>
      <c r="H91" s="59">
        <v>5100</v>
      </c>
      <c r="I91" s="59">
        <v>23900</v>
      </c>
      <c r="J91" s="59">
        <v>0.45</v>
      </c>
      <c r="K91" s="59">
        <v>0.51</v>
      </c>
      <c r="L91" s="59">
        <v>0.01</v>
      </c>
      <c r="M91" s="59">
        <v>0</v>
      </c>
      <c r="N91" s="59"/>
      <c r="O91" s="59"/>
    </row>
    <row r="92" spans="1:15" hidden="1">
      <c r="A92" s="59">
        <v>52</v>
      </c>
      <c r="B92" s="59" t="s">
        <v>585</v>
      </c>
      <c r="C92" s="59" t="s">
        <v>24</v>
      </c>
      <c r="D92" s="24">
        <v>92</v>
      </c>
      <c r="E92" s="24">
        <v>24</v>
      </c>
      <c r="F92" s="24">
        <v>239</v>
      </c>
      <c r="G92" s="24">
        <v>172</v>
      </c>
      <c r="H92" s="59">
        <v>283.33</v>
      </c>
      <c r="I92" s="59">
        <v>38.950000000000003</v>
      </c>
      <c r="J92" s="59">
        <v>0.8</v>
      </c>
      <c r="K92" s="59">
        <v>0.51</v>
      </c>
      <c r="L92" s="59">
        <v>0.23</v>
      </c>
      <c r="M92" s="59">
        <v>0.36</v>
      </c>
      <c r="N92" s="59"/>
      <c r="O92" s="59"/>
    </row>
    <row r="93" spans="1:15" hidden="1">
      <c r="A93" s="59">
        <v>53</v>
      </c>
      <c r="B93" s="59" t="s">
        <v>587</v>
      </c>
      <c r="C93" s="59" t="s">
        <v>24</v>
      </c>
      <c r="D93" s="24">
        <v>77</v>
      </c>
      <c r="E93" s="24">
        <v>37</v>
      </c>
      <c r="F93" s="24">
        <v>236</v>
      </c>
      <c r="G93" s="24">
        <v>99</v>
      </c>
      <c r="H93" s="67">
        <v>108.11</v>
      </c>
      <c r="I93" s="67">
        <v>138.38</v>
      </c>
      <c r="J93" s="59">
        <v>0.67</v>
      </c>
      <c r="K93" s="59">
        <v>0.5</v>
      </c>
      <c r="L93" s="59">
        <v>0.35</v>
      </c>
      <c r="M93" s="59">
        <v>0.21</v>
      </c>
      <c r="N93" s="59"/>
      <c r="O93" s="59"/>
    </row>
    <row r="94" spans="1:15" hidden="1">
      <c r="A94" s="59">
        <v>54</v>
      </c>
      <c r="B94" s="59" t="s">
        <v>1167</v>
      </c>
      <c r="C94" s="59" t="s">
        <v>24</v>
      </c>
      <c r="D94" s="24">
        <v>190</v>
      </c>
      <c r="E94" s="24">
        <v>0</v>
      </c>
      <c r="F94" s="24">
        <v>234</v>
      </c>
      <c r="G94" s="24">
        <v>0</v>
      </c>
      <c r="H94" s="85">
        <v>0</v>
      </c>
      <c r="I94" s="85">
        <v>0</v>
      </c>
      <c r="J94" s="59">
        <v>1.66</v>
      </c>
      <c r="K94" s="59">
        <v>0.5</v>
      </c>
      <c r="L94" s="59">
        <v>0</v>
      </c>
      <c r="M94" s="59">
        <v>0</v>
      </c>
      <c r="N94" s="59"/>
      <c r="O94" s="59"/>
    </row>
    <row r="95" spans="1:15" hidden="1">
      <c r="A95" s="59">
        <v>55</v>
      </c>
      <c r="B95" s="59" t="s">
        <v>1047</v>
      </c>
      <c r="C95" s="59" t="s">
        <v>24</v>
      </c>
      <c r="D95" s="24">
        <v>83</v>
      </c>
      <c r="E95" s="24">
        <v>0</v>
      </c>
      <c r="F95" s="24">
        <v>232</v>
      </c>
      <c r="G95" s="24">
        <v>0</v>
      </c>
      <c r="H95" s="59">
        <v>0</v>
      </c>
      <c r="I95" s="59">
        <v>0</v>
      </c>
      <c r="J95" s="59">
        <v>0.72</v>
      </c>
      <c r="K95" s="59">
        <v>0.49</v>
      </c>
      <c r="L95" s="59">
        <v>0</v>
      </c>
      <c r="M95" s="59">
        <v>0</v>
      </c>
      <c r="N95" s="59"/>
      <c r="O95" s="59"/>
    </row>
    <row r="96" spans="1:15" hidden="1">
      <c r="A96" s="59">
        <v>56</v>
      </c>
      <c r="B96" s="59" t="s">
        <v>1057</v>
      </c>
      <c r="C96" s="59" t="s">
        <v>24</v>
      </c>
      <c r="D96" s="24">
        <v>60</v>
      </c>
      <c r="E96" s="24">
        <v>0</v>
      </c>
      <c r="F96" s="24">
        <v>232</v>
      </c>
      <c r="G96" s="24">
        <v>0</v>
      </c>
      <c r="H96" s="59">
        <v>0</v>
      </c>
      <c r="I96" s="59">
        <v>0</v>
      </c>
      <c r="J96" s="59">
        <v>0.52</v>
      </c>
      <c r="K96" s="59">
        <v>0.49</v>
      </c>
      <c r="L96" s="59">
        <v>0</v>
      </c>
      <c r="M96" s="59">
        <v>0</v>
      </c>
      <c r="N96" s="59"/>
      <c r="O96" s="59"/>
    </row>
    <row r="97" spans="1:15">
      <c r="A97" s="59">
        <v>57</v>
      </c>
      <c r="B97" s="59" t="s">
        <v>427</v>
      </c>
      <c r="C97" s="59" t="s">
        <v>23</v>
      </c>
      <c r="D97" s="24">
        <v>40</v>
      </c>
      <c r="E97" s="24">
        <v>34</v>
      </c>
      <c r="F97" s="24">
        <v>228</v>
      </c>
      <c r="G97" s="24">
        <v>100</v>
      </c>
      <c r="H97" s="59">
        <v>17.649999999999999</v>
      </c>
      <c r="I97" s="59">
        <v>128</v>
      </c>
      <c r="J97" s="59">
        <v>0.35</v>
      </c>
      <c r="K97" s="59">
        <v>0.48</v>
      </c>
      <c r="L97" s="59">
        <v>0.32</v>
      </c>
      <c r="M97" s="59">
        <v>0.21</v>
      </c>
      <c r="N97" s="59"/>
      <c r="O97" s="59"/>
    </row>
    <row r="98" spans="1:15">
      <c r="A98" s="59">
        <v>58</v>
      </c>
      <c r="B98" s="59" t="s">
        <v>127</v>
      </c>
      <c r="C98" s="59" t="s">
        <v>23</v>
      </c>
      <c r="D98" s="24">
        <v>29</v>
      </c>
      <c r="E98" s="24">
        <v>56</v>
      </c>
      <c r="F98" s="24">
        <v>221</v>
      </c>
      <c r="G98" s="24">
        <v>247</v>
      </c>
      <c r="H98" s="59">
        <v>-48.21</v>
      </c>
      <c r="I98" s="59">
        <v>-10.53</v>
      </c>
      <c r="J98" s="59">
        <v>0.25</v>
      </c>
      <c r="K98" s="59">
        <v>0.47</v>
      </c>
      <c r="L98" s="59">
        <v>0.53</v>
      </c>
      <c r="M98" s="59">
        <v>0.52</v>
      </c>
      <c r="N98" s="59"/>
      <c r="O98" s="59"/>
    </row>
    <row r="99" spans="1:15" hidden="1">
      <c r="A99" s="59">
        <v>59</v>
      </c>
      <c r="B99" s="59" t="s">
        <v>688</v>
      </c>
      <c r="C99" s="59" t="s">
        <v>24</v>
      </c>
      <c r="D99" s="24">
        <v>61</v>
      </c>
      <c r="E99" s="24">
        <v>14</v>
      </c>
      <c r="F99" s="24">
        <v>221</v>
      </c>
      <c r="G99" s="24">
        <v>148</v>
      </c>
      <c r="H99" s="59">
        <v>335.71</v>
      </c>
      <c r="I99" s="59">
        <v>49.32</v>
      </c>
      <c r="J99" s="59">
        <v>0.53</v>
      </c>
      <c r="K99" s="59">
        <v>0.47</v>
      </c>
      <c r="L99" s="59">
        <v>0.13</v>
      </c>
      <c r="M99" s="59">
        <v>0.31</v>
      </c>
      <c r="N99" s="59"/>
      <c r="O99" s="59"/>
    </row>
    <row r="100" spans="1:15" hidden="1">
      <c r="A100" s="59">
        <v>60</v>
      </c>
      <c r="B100" s="59" t="s">
        <v>433</v>
      </c>
      <c r="C100" s="59" t="s">
        <v>24</v>
      </c>
      <c r="D100" s="24">
        <v>22</v>
      </c>
      <c r="E100" s="24">
        <v>26</v>
      </c>
      <c r="F100" s="24">
        <v>219</v>
      </c>
      <c r="G100" s="24">
        <v>464</v>
      </c>
      <c r="H100" s="59">
        <v>-15.38</v>
      </c>
      <c r="I100" s="59">
        <v>-52.8</v>
      </c>
      <c r="J100" s="59">
        <v>0.19</v>
      </c>
      <c r="K100" s="59">
        <v>0.46</v>
      </c>
      <c r="L100" s="59">
        <v>0.25</v>
      </c>
      <c r="M100" s="59">
        <v>0.97</v>
      </c>
      <c r="N100" s="59"/>
      <c r="O100" s="59"/>
    </row>
    <row r="101" spans="1:15">
      <c r="A101" s="59">
        <v>61</v>
      </c>
      <c r="B101" s="59" t="s">
        <v>394</v>
      </c>
      <c r="C101" s="59" t="s">
        <v>23</v>
      </c>
      <c r="D101" s="24">
        <v>51</v>
      </c>
      <c r="E101" s="24">
        <v>130</v>
      </c>
      <c r="F101" s="24">
        <v>208</v>
      </c>
      <c r="G101" s="24">
        <v>452</v>
      </c>
      <c r="H101" s="59">
        <v>-60.77</v>
      </c>
      <c r="I101" s="59">
        <v>-53.98</v>
      </c>
      <c r="J101" s="59">
        <v>0.44</v>
      </c>
      <c r="K101" s="59">
        <v>0.44</v>
      </c>
      <c r="L101" s="59">
        <v>1.23</v>
      </c>
      <c r="M101" s="59">
        <v>0.94</v>
      </c>
      <c r="N101" s="59"/>
      <c r="O101" s="59"/>
    </row>
    <row r="102" spans="1:15" hidden="1">
      <c r="A102" s="59">
        <v>62</v>
      </c>
      <c r="B102" s="59" t="s">
        <v>428</v>
      </c>
      <c r="C102" s="59" t="s">
        <v>24</v>
      </c>
      <c r="D102" s="24">
        <v>37</v>
      </c>
      <c r="E102" s="24">
        <v>39</v>
      </c>
      <c r="F102" s="24">
        <v>166</v>
      </c>
      <c r="G102" s="24">
        <v>234</v>
      </c>
      <c r="H102" s="59">
        <v>-5.13</v>
      </c>
      <c r="I102" s="59">
        <v>-29.06</v>
      </c>
      <c r="J102" s="59">
        <v>0.32</v>
      </c>
      <c r="K102" s="59">
        <v>0.35</v>
      </c>
      <c r="L102" s="59">
        <v>0.37</v>
      </c>
      <c r="M102" s="59">
        <v>0.49</v>
      </c>
      <c r="N102" s="59"/>
      <c r="O102" s="59"/>
    </row>
    <row r="103" spans="1:15">
      <c r="A103" s="59">
        <v>63</v>
      </c>
      <c r="B103" s="59" t="s">
        <v>453</v>
      </c>
      <c r="C103" s="59" t="s">
        <v>23</v>
      </c>
      <c r="D103" s="24">
        <v>17</v>
      </c>
      <c r="E103" s="24">
        <v>66</v>
      </c>
      <c r="F103" s="24">
        <v>153</v>
      </c>
      <c r="G103" s="24">
        <v>298</v>
      </c>
      <c r="H103" s="59">
        <v>-74.239999999999995</v>
      </c>
      <c r="I103" s="59">
        <v>-48.66</v>
      </c>
      <c r="J103" s="59">
        <v>0.15</v>
      </c>
      <c r="K103" s="59">
        <v>0.32</v>
      </c>
      <c r="L103" s="59">
        <v>0.62</v>
      </c>
      <c r="M103" s="59">
        <v>0.62</v>
      </c>
      <c r="N103" s="59"/>
      <c r="O103" s="59"/>
    </row>
    <row r="104" spans="1:15">
      <c r="A104" s="59">
        <v>64</v>
      </c>
      <c r="B104" s="59" t="s">
        <v>372</v>
      </c>
      <c r="C104" s="59" t="s">
        <v>23</v>
      </c>
      <c r="D104" s="24">
        <v>28</v>
      </c>
      <c r="E104" s="24">
        <v>68</v>
      </c>
      <c r="F104" s="24">
        <v>148</v>
      </c>
      <c r="G104" s="24">
        <v>234</v>
      </c>
      <c r="H104" s="59">
        <v>-58.82</v>
      </c>
      <c r="I104" s="59">
        <v>-36.75</v>
      </c>
      <c r="J104" s="59">
        <v>0.24</v>
      </c>
      <c r="K104" s="59">
        <v>0.31</v>
      </c>
      <c r="L104" s="59">
        <v>0.64</v>
      </c>
      <c r="M104" s="59">
        <v>0.49</v>
      </c>
      <c r="N104" s="59"/>
      <c r="O104" s="59"/>
    </row>
    <row r="105" spans="1:15">
      <c r="A105" s="59">
        <v>65</v>
      </c>
      <c r="B105" s="59" t="s">
        <v>419</v>
      </c>
      <c r="C105" s="59" t="s">
        <v>23</v>
      </c>
      <c r="D105" s="24">
        <v>39</v>
      </c>
      <c r="E105" s="24">
        <v>64</v>
      </c>
      <c r="F105" s="24">
        <v>145</v>
      </c>
      <c r="G105" s="24">
        <v>171</v>
      </c>
      <c r="H105" s="59">
        <v>-39.06</v>
      </c>
      <c r="I105" s="59">
        <v>-15.2</v>
      </c>
      <c r="J105" s="59">
        <v>0.34</v>
      </c>
      <c r="K105" s="59">
        <v>0.31</v>
      </c>
      <c r="L105" s="59">
        <v>0.61</v>
      </c>
      <c r="M105" s="59">
        <v>0.36</v>
      </c>
      <c r="N105" s="59"/>
      <c r="O105" s="59"/>
    </row>
    <row r="106" spans="1:15">
      <c r="A106" s="59">
        <v>66</v>
      </c>
      <c r="B106" s="59" t="s">
        <v>614</v>
      </c>
      <c r="C106" s="59" t="s">
        <v>23</v>
      </c>
      <c r="D106" s="24">
        <v>5</v>
      </c>
      <c r="E106" s="24">
        <v>49</v>
      </c>
      <c r="F106" s="24">
        <v>142</v>
      </c>
      <c r="G106" s="24">
        <v>765</v>
      </c>
      <c r="H106" s="59">
        <v>-89.8</v>
      </c>
      <c r="I106" s="59">
        <v>-81.44</v>
      </c>
      <c r="J106" s="59">
        <v>0.04</v>
      </c>
      <c r="K106" s="59">
        <v>0.3</v>
      </c>
      <c r="L106" s="59">
        <v>0.46</v>
      </c>
      <c r="M106" s="59">
        <v>1.6</v>
      </c>
      <c r="N106" s="59"/>
      <c r="O106" s="59"/>
    </row>
    <row r="107" spans="1:15">
      <c r="A107" s="59">
        <v>67</v>
      </c>
      <c r="B107" s="59" t="s">
        <v>396</v>
      </c>
      <c r="C107" s="59" t="s">
        <v>23</v>
      </c>
      <c r="D107" s="24">
        <v>6</v>
      </c>
      <c r="E107" s="24">
        <v>45</v>
      </c>
      <c r="F107" s="24">
        <v>137</v>
      </c>
      <c r="G107" s="24">
        <v>263</v>
      </c>
      <c r="H107" s="59">
        <v>-86.67</v>
      </c>
      <c r="I107" s="59">
        <v>-47.91</v>
      </c>
      <c r="J107" s="59">
        <v>0.05</v>
      </c>
      <c r="K107" s="59">
        <v>0.28999999999999998</v>
      </c>
      <c r="L107" s="59">
        <v>0.43</v>
      </c>
      <c r="M107" s="59">
        <v>0.55000000000000004</v>
      </c>
      <c r="N107" s="59"/>
      <c r="O107" s="59"/>
    </row>
    <row r="108" spans="1:15">
      <c r="A108" s="59">
        <v>68</v>
      </c>
      <c r="B108" s="59" t="s">
        <v>412</v>
      </c>
      <c r="C108" s="59" t="s">
        <v>23</v>
      </c>
      <c r="D108" s="24">
        <v>64</v>
      </c>
      <c r="E108" s="24">
        <v>113</v>
      </c>
      <c r="F108" s="24">
        <v>134</v>
      </c>
      <c r="G108" s="24">
        <v>349</v>
      </c>
      <c r="H108" s="59">
        <v>-43.36</v>
      </c>
      <c r="I108" s="59">
        <v>-61.6</v>
      </c>
      <c r="J108" s="59">
        <v>0.56000000000000005</v>
      </c>
      <c r="K108" s="59">
        <v>0.28000000000000003</v>
      </c>
      <c r="L108" s="59">
        <v>1.07</v>
      </c>
      <c r="M108" s="59">
        <v>0.73</v>
      </c>
      <c r="N108" s="59"/>
      <c r="O108" s="59"/>
    </row>
    <row r="109" spans="1:15">
      <c r="A109" s="59">
        <v>69</v>
      </c>
      <c r="B109" s="59" t="s">
        <v>240</v>
      </c>
      <c r="C109" s="59" t="s">
        <v>23</v>
      </c>
      <c r="D109" s="24">
        <v>38</v>
      </c>
      <c r="E109" s="24">
        <v>92</v>
      </c>
      <c r="F109" s="24">
        <v>132</v>
      </c>
      <c r="G109" s="24">
        <v>322</v>
      </c>
      <c r="H109" s="59">
        <v>-58.7</v>
      </c>
      <c r="I109" s="59">
        <v>-59.01</v>
      </c>
      <c r="J109" s="59">
        <v>0.33</v>
      </c>
      <c r="K109" s="59">
        <v>0.28000000000000003</v>
      </c>
      <c r="L109" s="59">
        <v>0.87</v>
      </c>
      <c r="M109" s="59">
        <v>0.67</v>
      </c>
      <c r="N109" s="59"/>
      <c r="O109" s="59"/>
    </row>
    <row r="110" spans="1:15">
      <c r="A110" s="59">
        <v>70</v>
      </c>
      <c r="B110" s="59" t="s">
        <v>681</v>
      </c>
      <c r="C110" s="59" t="s">
        <v>23</v>
      </c>
      <c r="D110" s="24">
        <v>38</v>
      </c>
      <c r="E110" s="24">
        <v>40</v>
      </c>
      <c r="F110" s="24">
        <v>132</v>
      </c>
      <c r="G110" s="24">
        <v>101</v>
      </c>
      <c r="H110" s="59">
        <v>-5</v>
      </c>
      <c r="I110" s="59">
        <v>30.69</v>
      </c>
      <c r="J110" s="59">
        <v>0.33</v>
      </c>
      <c r="K110" s="59">
        <v>0.28000000000000003</v>
      </c>
      <c r="L110" s="59">
        <v>0.38</v>
      </c>
      <c r="M110" s="59">
        <v>0.21</v>
      </c>
      <c r="N110" s="59"/>
      <c r="O110" s="59"/>
    </row>
    <row r="111" spans="1:15" hidden="1">
      <c r="A111" s="59">
        <v>71</v>
      </c>
      <c r="B111" s="59" t="s">
        <v>668</v>
      </c>
      <c r="C111" s="59" t="s">
        <v>24</v>
      </c>
      <c r="D111" s="24">
        <v>19</v>
      </c>
      <c r="E111" s="24">
        <v>29</v>
      </c>
      <c r="F111" s="24">
        <v>128</v>
      </c>
      <c r="G111" s="24">
        <v>105</v>
      </c>
      <c r="H111" s="59">
        <v>-34.479999999999997</v>
      </c>
      <c r="I111" s="59">
        <v>21.9</v>
      </c>
      <c r="J111" s="59">
        <v>0.17</v>
      </c>
      <c r="K111" s="59">
        <v>0.27</v>
      </c>
      <c r="L111" s="59">
        <v>0.27</v>
      </c>
      <c r="M111" s="59">
        <v>0.22</v>
      </c>
      <c r="N111" s="59"/>
      <c r="O111" s="59"/>
    </row>
    <row r="112" spans="1:15">
      <c r="A112" s="59">
        <v>72</v>
      </c>
      <c r="B112" s="59" t="s">
        <v>424</v>
      </c>
      <c r="C112" s="59" t="s">
        <v>23</v>
      </c>
      <c r="D112" s="24">
        <v>41</v>
      </c>
      <c r="E112" s="24">
        <v>147</v>
      </c>
      <c r="F112" s="24">
        <v>125</v>
      </c>
      <c r="G112" s="24">
        <v>585</v>
      </c>
      <c r="H112" s="59">
        <v>-72.11</v>
      </c>
      <c r="I112" s="59">
        <v>-78.63</v>
      </c>
      <c r="J112" s="59">
        <v>0.36</v>
      </c>
      <c r="K112" s="59">
        <v>0.26</v>
      </c>
      <c r="L112" s="59">
        <v>1.39</v>
      </c>
      <c r="M112" s="59">
        <v>1.22</v>
      </c>
      <c r="N112" s="59"/>
      <c r="O112" s="59"/>
    </row>
    <row r="113" spans="1:15">
      <c r="A113" s="59">
        <v>73</v>
      </c>
      <c r="B113" s="59" t="s">
        <v>84</v>
      </c>
      <c r="C113" s="59" t="s">
        <v>23</v>
      </c>
      <c r="D113" s="24">
        <v>44</v>
      </c>
      <c r="E113" s="24">
        <v>51</v>
      </c>
      <c r="F113" s="24">
        <v>124</v>
      </c>
      <c r="G113" s="24">
        <v>267</v>
      </c>
      <c r="H113" s="59">
        <v>-13.73</v>
      </c>
      <c r="I113" s="59">
        <v>-53.56</v>
      </c>
      <c r="J113" s="59">
        <v>0.38</v>
      </c>
      <c r="K113" s="59">
        <v>0.26</v>
      </c>
      <c r="L113" s="59">
        <v>0.48</v>
      </c>
      <c r="M113" s="59">
        <v>0.56000000000000005</v>
      </c>
      <c r="N113" s="59"/>
      <c r="O113" s="59"/>
    </row>
    <row r="114" spans="1:15">
      <c r="A114" s="59">
        <v>74</v>
      </c>
      <c r="B114" s="59" t="s">
        <v>380</v>
      </c>
      <c r="C114" s="59" t="s">
        <v>23</v>
      </c>
      <c r="D114" s="24">
        <v>23</v>
      </c>
      <c r="E114" s="24">
        <v>146</v>
      </c>
      <c r="F114" s="24">
        <v>117</v>
      </c>
      <c r="G114" s="24">
        <v>522</v>
      </c>
      <c r="H114" s="59">
        <v>-84.25</v>
      </c>
      <c r="I114" s="59">
        <v>-77.59</v>
      </c>
      <c r="J114" s="59">
        <v>0.2</v>
      </c>
      <c r="K114" s="59">
        <v>0.25</v>
      </c>
      <c r="L114" s="59">
        <v>1.38</v>
      </c>
      <c r="M114" s="59">
        <v>1.0900000000000001</v>
      </c>
      <c r="N114" s="59"/>
      <c r="O114" s="59"/>
    </row>
    <row r="115" spans="1:15">
      <c r="A115" s="59">
        <v>75</v>
      </c>
      <c r="B115" s="59" t="s">
        <v>395</v>
      </c>
      <c r="C115" s="59" t="s">
        <v>23</v>
      </c>
      <c r="D115" s="24">
        <v>24</v>
      </c>
      <c r="E115" s="24">
        <v>8</v>
      </c>
      <c r="F115" s="24">
        <v>112</v>
      </c>
      <c r="G115" s="24">
        <v>42</v>
      </c>
      <c r="H115" s="59">
        <v>200</v>
      </c>
      <c r="I115" s="59">
        <v>166.67</v>
      </c>
      <c r="J115" s="59">
        <v>0.21</v>
      </c>
      <c r="K115" s="59">
        <v>0.24</v>
      </c>
      <c r="L115" s="59">
        <v>0.08</v>
      </c>
      <c r="M115" s="59">
        <v>0.09</v>
      </c>
      <c r="N115" s="59"/>
      <c r="O115" s="59"/>
    </row>
    <row r="116" spans="1:15">
      <c r="A116" s="59">
        <v>76</v>
      </c>
      <c r="B116" s="59" t="s">
        <v>1074</v>
      </c>
      <c r="C116" s="59" t="s">
        <v>23</v>
      </c>
      <c r="D116" s="24">
        <v>30</v>
      </c>
      <c r="E116" s="24">
        <v>0</v>
      </c>
      <c r="F116" s="24">
        <v>112</v>
      </c>
      <c r="G116" s="24">
        <v>0</v>
      </c>
      <c r="H116" s="59">
        <v>0</v>
      </c>
      <c r="I116" s="59">
        <v>0</v>
      </c>
      <c r="J116" s="59">
        <v>0.26</v>
      </c>
      <c r="K116" s="59">
        <v>0.24</v>
      </c>
      <c r="L116" s="59">
        <v>0</v>
      </c>
      <c r="M116" s="59">
        <v>0</v>
      </c>
      <c r="N116" s="59"/>
      <c r="O116" s="59"/>
    </row>
    <row r="117" spans="1:15" hidden="1">
      <c r="A117" s="59">
        <v>77</v>
      </c>
      <c r="B117" s="59" t="s">
        <v>598</v>
      </c>
      <c r="C117" s="59" t="s">
        <v>24</v>
      </c>
      <c r="D117" s="24">
        <v>10</v>
      </c>
      <c r="E117" s="24">
        <v>13</v>
      </c>
      <c r="F117" s="24">
        <v>101</v>
      </c>
      <c r="G117" s="24">
        <v>315</v>
      </c>
      <c r="H117" s="59">
        <v>-23.08</v>
      </c>
      <c r="I117" s="59">
        <v>-67.94</v>
      </c>
      <c r="J117" s="59">
        <v>0.09</v>
      </c>
      <c r="K117" s="59">
        <v>0.21</v>
      </c>
      <c r="L117" s="59">
        <v>0.12</v>
      </c>
      <c r="M117" s="59">
        <v>0.66</v>
      </c>
      <c r="N117" s="59"/>
      <c r="O117" s="59"/>
    </row>
    <row r="118" spans="1:15">
      <c r="A118" s="59">
        <v>78</v>
      </c>
      <c r="B118" s="59" t="s">
        <v>436</v>
      </c>
      <c r="C118" s="59" t="s">
        <v>23</v>
      </c>
      <c r="D118" s="24">
        <v>22</v>
      </c>
      <c r="E118" s="24">
        <v>28</v>
      </c>
      <c r="F118" s="24">
        <v>100</v>
      </c>
      <c r="G118" s="24">
        <v>178</v>
      </c>
      <c r="H118" s="59">
        <v>-21.43</v>
      </c>
      <c r="I118" s="59">
        <v>-43.82</v>
      </c>
      <c r="J118" s="59">
        <v>0.19</v>
      </c>
      <c r="K118" s="59">
        <v>0.21</v>
      </c>
      <c r="L118" s="59">
        <v>0.26</v>
      </c>
      <c r="M118" s="59">
        <v>0.37</v>
      </c>
      <c r="N118" s="59"/>
      <c r="O118" s="59"/>
    </row>
    <row r="119" spans="1:15">
      <c r="A119" s="59">
        <v>79</v>
      </c>
      <c r="B119" s="59" t="s">
        <v>184</v>
      </c>
      <c r="C119" s="59" t="s">
        <v>23</v>
      </c>
      <c r="D119" s="24">
        <v>24</v>
      </c>
      <c r="E119" s="24">
        <v>46</v>
      </c>
      <c r="F119" s="24">
        <v>100</v>
      </c>
      <c r="G119" s="24">
        <v>169</v>
      </c>
      <c r="H119" s="59">
        <v>-47.83</v>
      </c>
      <c r="I119" s="59">
        <v>-40.83</v>
      </c>
      <c r="J119" s="59">
        <v>0.21</v>
      </c>
      <c r="K119" s="59">
        <v>0.21</v>
      </c>
      <c r="L119" s="59">
        <v>0.44</v>
      </c>
      <c r="M119" s="59">
        <v>0.35</v>
      </c>
      <c r="N119" s="59"/>
      <c r="O119" s="59"/>
    </row>
    <row r="120" spans="1:15" hidden="1">
      <c r="A120" s="59">
        <v>80</v>
      </c>
      <c r="B120" s="59" t="s">
        <v>620</v>
      </c>
      <c r="C120" s="59" t="s">
        <v>24</v>
      </c>
      <c r="D120" s="24">
        <v>15</v>
      </c>
      <c r="E120" s="24">
        <v>128</v>
      </c>
      <c r="F120" s="24">
        <v>93</v>
      </c>
      <c r="G120" s="24">
        <v>549</v>
      </c>
      <c r="H120" s="59">
        <v>-88.28</v>
      </c>
      <c r="I120" s="59">
        <v>-83.06</v>
      </c>
      <c r="J120" s="59">
        <v>0.13</v>
      </c>
      <c r="K120" s="59">
        <v>0.2</v>
      </c>
      <c r="L120" s="59">
        <v>1.21</v>
      </c>
      <c r="M120" s="59">
        <v>1.1399999999999999</v>
      </c>
      <c r="N120" s="59"/>
      <c r="O120" s="59"/>
    </row>
    <row r="121" spans="1:15" hidden="1">
      <c r="A121" s="59">
        <v>81</v>
      </c>
      <c r="B121" s="59" t="s">
        <v>464</v>
      </c>
      <c r="C121" s="59" t="s">
        <v>24</v>
      </c>
      <c r="D121" s="24">
        <v>17</v>
      </c>
      <c r="E121" s="24">
        <v>6</v>
      </c>
      <c r="F121" s="24">
        <v>91</v>
      </c>
      <c r="G121" s="24">
        <v>31</v>
      </c>
      <c r="H121" s="59">
        <v>183.33</v>
      </c>
      <c r="I121" s="59">
        <v>193.55</v>
      </c>
      <c r="J121" s="59">
        <v>0.15</v>
      </c>
      <c r="K121" s="59">
        <v>0.19</v>
      </c>
      <c r="L121" s="59">
        <v>0.06</v>
      </c>
      <c r="M121" s="59">
        <v>0.06</v>
      </c>
      <c r="N121" s="59"/>
      <c r="O121" s="59"/>
    </row>
    <row r="122" spans="1:15" hidden="1">
      <c r="A122" s="59">
        <v>82</v>
      </c>
      <c r="B122" s="59" t="s">
        <v>88</v>
      </c>
      <c r="C122" s="59" t="s">
        <v>24</v>
      </c>
      <c r="D122" s="24">
        <v>21</v>
      </c>
      <c r="E122" s="24">
        <v>58</v>
      </c>
      <c r="F122" s="24">
        <v>90</v>
      </c>
      <c r="G122" s="24">
        <v>255</v>
      </c>
      <c r="H122" s="59">
        <v>-63.79</v>
      </c>
      <c r="I122" s="59">
        <v>-64.709999999999994</v>
      </c>
      <c r="J122" s="59">
        <v>0.18</v>
      </c>
      <c r="K122" s="59">
        <v>0.19</v>
      </c>
      <c r="L122" s="59">
        <v>0.55000000000000004</v>
      </c>
      <c r="M122" s="59">
        <v>0.53</v>
      </c>
      <c r="N122" s="59"/>
      <c r="O122" s="59"/>
    </row>
    <row r="123" spans="1:15">
      <c r="A123" s="59">
        <v>83</v>
      </c>
      <c r="B123" s="59" t="s">
        <v>1023</v>
      </c>
      <c r="C123" s="59" t="s">
        <v>23</v>
      </c>
      <c r="D123" s="24">
        <v>19</v>
      </c>
      <c r="E123" s="24">
        <v>0</v>
      </c>
      <c r="F123" s="24">
        <v>90</v>
      </c>
      <c r="G123" s="24">
        <v>0</v>
      </c>
      <c r="H123" s="59">
        <v>0</v>
      </c>
      <c r="I123" s="59">
        <v>0</v>
      </c>
      <c r="J123" s="59">
        <v>0.17</v>
      </c>
      <c r="K123" s="59">
        <v>0.19</v>
      </c>
      <c r="L123" s="59">
        <v>0</v>
      </c>
      <c r="M123" s="59">
        <v>0</v>
      </c>
      <c r="N123" s="59"/>
      <c r="O123" s="59"/>
    </row>
    <row r="124" spans="1:15" hidden="1">
      <c r="A124" s="59">
        <v>84</v>
      </c>
      <c r="B124" s="59" t="s">
        <v>1040</v>
      </c>
      <c r="C124" s="59" t="s">
        <v>24</v>
      </c>
      <c r="D124" s="24">
        <v>19</v>
      </c>
      <c r="E124" s="24">
        <v>0</v>
      </c>
      <c r="F124" s="24">
        <v>83</v>
      </c>
      <c r="G124" s="24">
        <v>0</v>
      </c>
      <c r="H124" s="59">
        <v>0</v>
      </c>
      <c r="I124" s="59">
        <v>0</v>
      </c>
      <c r="J124" s="59">
        <v>0.17</v>
      </c>
      <c r="K124" s="59">
        <v>0.18</v>
      </c>
      <c r="L124" s="59">
        <v>0</v>
      </c>
      <c r="M124" s="59">
        <v>0</v>
      </c>
      <c r="N124" s="59"/>
      <c r="O124" s="59"/>
    </row>
    <row r="125" spans="1:15">
      <c r="A125" s="59">
        <v>85</v>
      </c>
      <c r="B125" s="59" t="s">
        <v>658</v>
      </c>
      <c r="C125" s="59" t="s">
        <v>23</v>
      </c>
      <c r="D125" s="24">
        <v>7</v>
      </c>
      <c r="E125" s="24">
        <v>17</v>
      </c>
      <c r="F125" s="24">
        <v>82</v>
      </c>
      <c r="G125" s="24">
        <v>121</v>
      </c>
      <c r="H125" s="59">
        <v>-58.82</v>
      </c>
      <c r="I125" s="59">
        <v>-32.229999999999997</v>
      </c>
      <c r="J125" s="59">
        <v>0.06</v>
      </c>
      <c r="K125" s="59">
        <v>0.17</v>
      </c>
      <c r="L125" s="59">
        <v>0.16</v>
      </c>
      <c r="M125" s="59">
        <v>0.25</v>
      </c>
      <c r="N125" s="59"/>
      <c r="O125" s="59"/>
    </row>
    <row r="126" spans="1:15">
      <c r="A126" s="59">
        <v>86</v>
      </c>
      <c r="B126" s="59" t="s">
        <v>405</v>
      </c>
      <c r="C126" s="59" t="s">
        <v>23</v>
      </c>
      <c r="D126" s="24">
        <v>18</v>
      </c>
      <c r="E126" s="24">
        <v>22</v>
      </c>
      <c r="F126" s="24">
        <v>82</v>
      </c>
      <c r="G126" s="24">
        <v>96</v>
      </c>
      <c r="H126" s="59">
        <v>-18.18</v>
      </c>
      <c r="I126" s="59">
        <v>-14.58</v>
      </c>
      <c r="J126" s="59">
        <v>0.16</v>
      </c>
      <c r="K126" s="59">
        <v>0.17</v>
      </c>
      <c r="L126" s="59">
        <v>0.21</v>
      </c>
      <c r="M126" s="59">
        <v>0.2</v>
      </c>
      <c r="N126" s="59"/>
      <c r="O126" s="59"/>
    </row>
    <row r="127" spans="1:15" hidden="1">
      <c r="A127" s="59">
        <v>87</v>
      </c>
      <c r="B127" s="59" t="s">
        <v>418</v>
      </c>
      <c r="C127" s="59" t="s">
        <v>24</v>
      </c>
      <c r="D127" s="24">
        <v>21</v>
      </c>
      <c r="E127" s="24">
        <v>36</v>
      </c>
      <c r="F127" s="24">
        <v>79</v>
      </c>
      <c r="G127" s="24">
        <v>259</v>
      </c>
      <c r="H127" s="59">
        <v>-41.67</v>
      </c>
      <c r="I127" s="59">
        <v>-69.5</v>
      </c>
      <c r="J127" s="59">
        <v>0.18</v>
      </c>
      <c r="K127" s="59">
        <v>0.17</v>
      </c>
      <c r="L127" s="59">
        <v>0.34</v>
      </c>
      <c r="M127" s="59">
        <v>0.54</v>
      </c>
      <c r="N127" s="59"/>
      <c r="O127" s="59"/>
    </row>
    <row r="128" spans="1:15" hidden="1">
      <c r="A128" s="59">
        <v>88</v>
      </c>
      <c r="B128" s="59" t="s">
        <v>1131</v>
      </c>
      <c r="C128" s="59" t="s">
        <v>24</v>
      </c>
      <c r="D128" s="24">
        <v>44</v>
      </c>
      <c r="E128" s="24">
        <v>0</v>
      </c>
      <c r="F128" s="24">
        <v>75</v>
      </c>
      <c r="G128" s="24">
        <v>0</v>
      </c>
      <c r="H128" s="59">
        <v>0</v>
      </c>
      <c r="I128" s="59">
        <v>0</v>
      </c>
      <c r="J128" s="59">
        <v>0.38</v>
      </c>
      <c r="K128" s="59">
        <v>0.16</v>
      </c>
      <c r="L128" s="59">
        <v>0</v>
      </c>
      <c r="M128" s="59">
        <v>0</v>
      </c>
      <c r="N128" s="59"/>
      <c r="O128" s="59"/>
    </row>
    <row r="129" spans="1:15">
      <c r="A129" s="59">
        <v>89</v>
      </c>
      <c r="B129" s="59" t="s">
        <v>165</v>
      </c>
      <c r="C129" s="59" t="s">
        <v>23</v>
      </c>
      <c r="D129" s="24">
        <v>16</v>
      </c>
      <c r="E129" s="24">
        <v>56</v>
      </c>
      <c r="F129" s="24">
        <v>72</v>
      </c>
      <c r="G129" s="24">
        <v>133</v>
      </c>
      <c r="H129" s="59">
        <v>-71.430000000000007</v>
      </c>
      <c r="I129" s="59">
        <v>-45.86</v>
      </c>
      <c r="J129" s="59">
        <v>0.14000000000000001</v>
      </c>
      <c r="K129" s="59">
        <v>0.15</v>
      </c>
      <c r="L129" s="59">
        <v>0.53</v>
      </c>
      <c r="M129" s="59">
        <v>0.28000000000000003</v>
      </c>
      <c r="N129" s="59"/>
      <c r="O129" s="59"/>
    </row>
    <row r="130" spans="1:15">
      <c r="A130" s="59">
        <v>90</v>
      </c>
      <c r="B130" s="59" t="s">
        <v>49</v>
      </c>
      <c r="C130" s="59" t="s">
        <v>23</v>
      </c>
      <c r="D130" s="24">
        <v>27</v>
      </c>
      <c r="E130" s="24">
        <v>17</v>
      </c>
      <c r="F130" s="24">
        <v>70</v>
      </c>
      <c r="G130" s="24">
        <v>96</v>
      </c>
      <c r="H130" s="59">
        <v>58.82</v>
      </c>
      <c r="I130" s="59">
        <v>-27.08</v>
      </c>
      <c r="J130" s="59">
        <v>0.24</v>
      </c>
      <c r="K130" s="59">
        <v>0.15</v>
      </c>
      <c r="L130" s="59">
        <v>0.16</v>
      </c>
      <c r="M130" s="59">
        <v>0.2</v>
      </c>
      <c r="N130" s="59"/>
      <c r="O130" s="59"/>
    </row>
    <row r="131" spans="1:15">
      <c r="A131" s="59">
        <v>91</v>
      </c>
      <c r="B131" s="59" t="s">
        <v>435</v>
      </c>
      <c r="C131" s="59" t="s">
        <v>23</v>
      </c>
      <c r="D131" s="24">
        <v>48</v>
      </c>
      <c r="E131" s="24">
        <v>11</v>
      </c>
      <c r="F131" s="24">
        <v>66</v>
      </c>
      <c r="G131" s="24">
        <v>57</v>
      </c>
      <c r="H131" s="59">
        <v>336.36</v>
      </c>
      <c r="I131" s="59">
        <v>15.79</v>
      </c>
      <c r="J131" s="59">
        <v>0.42</v>
      </c>
      <c r="K131" s="59">
        <v>0.14000000000000001</v>
      </c>
      <c r="L131" s="59">
        <v>0.1</v>
      </c>
      <c r="M131" s="59">
        <v>0.12</v>
      </c>
      <c r="N131" s="59"/>
      <c r="O131" s="59"/>
    </row>
    <row r="132" spans="1:15">
      <c r="A132" s="59">
        <v>92</v>
      </c>
      <c r="B132" s="59" t="s">
        <v>247</v>
      </c>
      <c r="C132" s="59" t="s">
        <v>23</v>
      </c>
      <c r="D132" s="24">
        <v>20</v>
      </c>
      <c r="E132" s="24">
        <v>23</v>
      </c>
      <c r="F132" s="24">
        <v>65</v>
      </c>
      <c r="G132" s="24">
        <v>36</v>
      </c>
      <c r="H132" s="59">
        <v>-13.04</v>
      </c>
      <c r="I132" s="59">
        <v>80.56</v>
      </c>
      <c r="J132" s="59">
        <v>0.17</v>
      </c>
      <c r="K132" s="59">
        <v>0.14000000000000001</v>
      </c>
      <c r="L132" s="59">
        <v>0.22</v>
      </c>
      <c r="M132" s="59">
        <v>0.08</v>
      </c>
      <c r="N132" s="59"/>
      <c r="O132" s="59"/>
    </row>
    <row r="133" spans="1:15">
      <c r="A133" s="59">
        <v>93</v>
      </c>
      <c r="B133" s="59" t="s">
        <v>432</v>
      </c>
      <c r="C133" s="59" t="s">
        <v>23</v>
      </c>
      <c r="D133" s="24">
        <v>18</v>
      </c>
      <c r="E133" s="24">
        <v>42</v>
      </c>
      <c r="F133" s="24">
        <v>63</v>
      </c>
      <c r="G133" s="24">
        <v>247</v>
      </c>
      <c r="H133" s="59">
        <v>-57.14</v>
      </c>
      <c r="I133" s="59">
        <v>-74.489999999999995</v>
      </c>
      <c r="J133" s="59">
        <v>0.16</v>
      </c>
      <c r="K133" s="59">
        <v>0.13</v>
      </c>
      <c r="L133" s="59">
        <v>0.4</v>
      </c>
      <c r="M133" s="59">
        <v>0.52</v>
      </c>
      <c r="N133" s="59"/>
      <c r="O133" s="59"/>
    </row>
    <row r="134" spans="1:15">
      <c r="A134" s="59">
        <v>94</v>
      </c>
      <c r="B134" s="59" t="s">
        <v>454</v>
      </c>
      <c r="C134" s="59" t="s">
        <v>23</v>
      </c>
      <c r="D134" s="24">
        <v>28</v>
      </c>
      <c r="E134" s="24">
        <v>23</v>
      </c>
      <c r="F134" s="24">
        <v>63</v>
      </c>
      <c r="G134" s="24">
        <v>167</v>
      </c>
      <c r="H134" s="59">
        <v>21.74</v>
      </c>
      <c r="I134" s="59">
        <v>-62.28</v>
      </c>
      <c r="J134" s="59">
        <v>0.24</v>
      </c>
      <c r="K134" s="59">
        <v>0.13</v>
      </c>
      <c r="L134" s="59">
        <v>0.22</v>
      </c>
      <c r="M134" s="59">
        <v>0.35</v>
      </c>
      <c r="N134" s="59"/>
      <c r="O134" s="59"/>
    </row>
    <row r="135" spans="1:15">
      <c r="A135" s="59">
        <v>95</v>
      </c>
      <c r="B135" s="59" t="s">
        <v>1071</v>
      </c>
      <c r="C135" s="59" t="s">
        <v>23</v>
      </c>
      <c r="D135" s="24">
        <v>0</v>
      </c>
      <c r="E135" s="24">
        <v>0</v>
      </c>
      <c r="F135" s="24">
        <v>63</v>
      </c>
      <c r="G135" s="24">
        <v>0</v>
      </c>
      <c r="H135" s="59">
        <v>0</v>
      </c>
      <c r="I135" s="59">
        <v>0</v>
      </c>
      <c r="J135" s="59">
        <v>0</v>
      </c>
      <c r="K135" s="59">
        <v>0.13</v>
      </c>
      <c r="L135" s="59">
        <v>0</v>
      </c>
      <c r="M135" s="59">
        <v>0</v>
      </c>
      <c r="N135" s="59"/>
      <c r="O135" s="59"/>
    </row>
    <row r="136" spans="1:15" hidden="1">
      <c r="A136" s="59">
        <v>96</v>
      </c>
      <c r="B136" s="59" t="s">
        <v>420</v>
      </c>
      <c r="C136" s="59" t="s">
        <v>24</v>
      </c>
      <c r="D136" s="24">
        <v>0</v>
      </c>
      <c r="E136" s="24">
        <v>26</v>
      </c>
      <c r="F136" s="24">
        <v>58</v>
      </c>
      <c r="G136" s="24">
        <v>180</v>
      </c>
      <c r="H136" s="59">
        <v>-100</v>
      </c>
      <c r="I136" s="59">
        <v>-67.78</v>
      </c>
      <c r="J136" s="59">
        <v>0</v>
      </c>
      <c r="K136" s="59">
        <v>0.12</v>
      </c>
      <c r="L136" s="59">
        <v>0.25</v>
      </c>
      <c r="M136" s="59">
        <v>0.38</v>
      </c>
      <c r="N136" s="59"/>
      <c r="O136" s="59"/>
    </row>
    <row r="137" spans="1:15">
      <c r="A137" s="59">
        <v>97</v>
      </c>
      <c r="B137" s="59" t="s">
        <v>159</v>
      </c>
      <c r="C137" s="59" t="s">
        <v>23</v>
      </c>
      <c r="D137" s="24">
        <v>0</v>
      </c>
      <c r="E137" s="24">
        <v>6</v>
      </c>
      <c r="F137" s="24">
        <v>56</v>
      </c>
      <c r="G137" s="24">
        <v>60</v>
      </c>
      <c r="H137" s="59">
        <v>-100</v>
      </c>
      <c r="I137" s="59">
        <v>-6.67</v>
      </c>
      <c r="J137" s="59">
        <v>0</v>
      </c>
      <c r="K137" s="59">
        <v>0.12</v>
      </c>
      <c r="L137" s="59">
        <v>0.06</v>
      </c>
      <c r="M137" s="59">
        <v>0.13</v>
      </c>
      <c r="N137" s="59"/>
      <c r="O137" s="59"/>
    </row>
    <row r="138" spans="1:15" hidden="1">
      <c r="A138" s="59">
        <v>98</v>
      </c>
      <c r="B138" s="59" t="s">
        <v>149</v>
      </c>
      <c r="C138" s="59" t="s">
        <v>24</v>
      </c>
      <c r="D138" s="24">
        <v>21</v>
      </c>
      <c r="E138" s="24">
        <v>0</v>
      </c>
      <c r="F138" s="24">
        <v>56</v>
      </c>
      <c r="G138" s="24">
        <v>0</v>
      </c>
      <c r="H138" s="59">
        <v>0</v>
      </c>
      <c r="I138" s="59">
        <v>0</v>
      </c>
      <c r="J138" s="59">
        <v>0.18</v>
      </c>
      <c r="K138" s="59">
        <v>0.12</v>
      </c>
      <c r="L138" s="59">
        <v>0</v>
      </c>
      <c r="M138" s="59">
        <v>0</v>
      </c>
      <c r="N138" s="59"/>
      <c r="O138" s="59"/>
    </row>
    <row r="139" spans="1:15" hidden="1">
      <c r="A139" s="59">
        <v>99</v>
      </c>
      <c r="B139" s="59" t="s">
        <v>1016</v>
      </c>
      <c r="C139" s="59" t="s">
        <v>24</v>
      </c>
      <c r="D139" s="24">
        <v>13</v>
      </c>
      <c r="E139" s="24">
        <v>0</v>
      </c>
      <c r="F139" s="24">
        <v>55</v>
      </c>
      <c r="G139" s="24">
        <v>0</v>
      </c>
      <c r="H139" s="59">
        <v>0</v>
      </c>
      <c r="I139" s="59">
        <v>0</v>
      </c>
      <c r="J139" s="59">
        <v>0.11</v>
      </c>
      <c r="K139" s="59">
        <v>0.12</v>
      </c>
      <c r="L139" s="59">
        <v>0</v>
      </c>
      <c r="M139" s="59">
        <v>0</v>
      </c>
      <c r="N139" s="59"/>
      <c r="O139" s="59"/>
    </row>
    <row r="140" spans="1:15">
      <c r="A140" s="59">
        <v>100</v>
      </c>
      <c r="B140" s="59" t="s">
        <v>523</v>
      </c>
      <c r="C140" s="59" t="s">
        <v>23</v>
      </c>
      <c r="D140" s="24">
        <v>16</v>
      </c>
      <c r="E140" s="24">
        <v>14</v>
      </c>
      <c r="F140" s="24">
        <v>50</v>
      </c>
      <c r="G140" s="24">
        <v>81</v>
      </c>
      <c r="H140" s="59">
        <v>14.29</v>
      </c>
      <c r="I140" s="59">
        <v>-38.270000000000003</v>
      </c>
      <c r="J140" s="59">
        <v>0.14000000000000001</v>
      </c>
      <c r="K140" s="59">
        <v>0.11</v>
      </c>
      <c r="L140" s="59">
        <v>0.13</v>
      </c>
      <c r="M140" s="59">
        <v>0.17</v>
      </c>
      <c r="N140" s="59"/>
      <c r="O140" s="59"/>
    </row>
    <row r="141" spans="1:15">
      <c r="A141" s="59">
        <v>101</v>
      </c>
      <c r="B141" s="59" t="s">
        <v>625</v>
      </c>
      <c r="C141" s="59" t="s">
        <v>23</v>
      </c>
      <c r="D141" s="24">
        <v>6</v>
      </c>
      <c r="E141" s="24">
        <v>0</v>
      </c>
      <c r="F141" s="24">
        <v>50</v>
      </c>
      <c r="G141" s="24">
        <v>40</v>
      </c>
      <c r="H141" s="59">
        <v>0</v>
      </c>
      <c r="I141" s="59">
        <v>25</v>
      </c>
      <c r="J141" s="59">
        <v>0.05</v>
      </c>
      <c r="K141" s="59">
        <v>0.11</v>
      </c>
      <c r="L141" s="59">
        <v>0</v>
      </c>
      <c r="M141" s="59">
        <v>0.08</v>
      </c>
      <c r="N141" s="59"/>
      <c r="O141" s="59"/>
    </row>
    <row r="142" spans="1:15">
      <c r="A142" s="59">
        <v>102</v>
      </c>
      <c r="B142" s="59" t="s">
        <v>1132</v>
      </c>
      <c r="C142" s="59" t="s">
        <v>23</v>
      </c>
      <c r="D142" s="24">
        <v>23</v>
      </c>
      <c r="E142" s="24">
        <v>0</v>
      </c>
      <c r="F142" s="24">
        <v>49</v>
      </c>
      <c r="G142" s="24">
        <v>0</v>
      </c>
      <c r="H142" s="59">
        <v>0</v>
      </c>
      <c r="I142" s="59">
        <v>0</v>
      </c>
      <c r="J142" s="59">
        <v>0.2</v>
      </c>
      <c r="K142" s="59">
        <v>0.1</v>
      </c>
      <c r="L142" s="59">
        <v>0</v>
      </c>
      <c r="M142" s="59">
        <v>0</v>
      </c>
      <c r="N142" s="59"/>
      <c r="O142" s="59"/>
    </row>
    <row r="143" spans="1:15" hidden="1">
      <c r="A143" s="59">
        <v>103</v>
      </c>
      <c r="B143" s="59" t="s">
        <v>737</v>
      </c>
      <c r="C143" s="59" t="s">
        <v>24</v>
      </c>
      <c r="D143" s="24">
        <v>10</v>
      </c>
      <c r="E143" s="24">
        <v>0</v>
      </c>
      <c r="F143" s="24">
        <v>49</v>
      </c>
      <c r="G143" s="24">
        <v>0</v>
      </c>
      <c r="H143" s="59">
        <v>0</v>
      </c>
      <c r="I143" s="59">
        <v>0</v>
      </c>
      <c r="J143" s="59">
        <v>0.09</v>
      </c>
      <c r="K143" s="59">
        <v>0.1</v>
      </c>
      <c r="L143" s="59">
        <v>0</v>
      </c>
      <c r="M143" s="59">
        <v>0</v>
      </c>
      <c r="N143" s="59"/>
      <c r="O143" s="59"/>
    </row>
    <row r="144" spans="1:15" hidden="1">
      <c r="A144" s="59">
        <v>104</v>
      </c>
      <c r="B144" s="59" t="s">
        <v>640</v>
      </c>
      <c r="C144" s="59" t="s">
        <v>24</v>
      </c>
      <c r="D144" s="24">
        <v>7</v>
      </c>
      <c r="E144" s="24">
        <v>58</v>
      </c>
      <c r="F144" s="24">
        <v>47</v>
      </c>
      <c r="G144" s="24">
        <v>144</v>
      </c>
      <c r="H144" s="59">
        <v>-87.93</v>
      </c>
      <c r="I144" s="59">
        <v>-67.36</v>
      </c>
      <c r="J144" s="59">
        <v>0.06</v>
      </c>
      <c r="K144" s="59">
        <v>0.1</v>
      </c>
      <c r="L144" s="59">
        <v>0.55000000000000004</v>
      </c>
      <c r="M144" s="59">
        <v>0.3</v>
      </c>
      <c r="N144" s="59"/>
      <c r="O144" s="59"/>
    </row>
    <row r="145" spans="1:15">
      <c r="A145" s="59">
        <v>105</v>
      </c>
      <c r="B145" s="59" t="s">
        <v>577</v>
      </c>
      <c r="C145" s="59" t="s">
        <v>23</v>
      </c>
      <c r="D145" s="24">
        <v>16</v>
      </c>
      <c r="E145" s="24">
        <v>26</v>
      </c>
      <c r="F145" s="24">
        <v>47</v>
      </c>
      <c r="G145" s="24">
        <v>61</v>
      </c>
      <c r="H145" s="59">
        <v>-38.46</v>
      </c>
      <c r="I145" s="59">
        <v>-22.95</v>
      </c>
      <c r="J145" s="59">
        <v>0.14000000000000001</v>
      </c>
      <c r="K145" s="59">
        <v>0.1</v>
      </c>
      <c r="L145" s="59">
        <v>0.25</v>
      </c>
      <c r="M145" s="59">
        <v>0.13</v>
      </c>
      <c r="N145" s="59"/>
      <c r="O145" s="59"/>
    </row>
    <row r="146" spans="1:15" hidden="1">
      <c r="A146" s="59">
        <v>106</v>
      </c>
      <c r="B146" s="59" t="s">
        <v>667</v>
      </c>
      <c r="C146" s="59" t="s">
        <v>24</v>
      </c>
      <c r="D146" s="24">
        <v>7</v>
      </c>
      <c r="E146" s="24">
        <v>133</v>
      </c>
      <c r="F146" s="24">
        <v>45</v>
      </c>
      <c r="G146" s="24">
        <v>237</v>
      </c>
      <c r="H146" s="59">
        <v>-94.74</v>
      </c>
      <c r="I146" s="59">
        <v>-81.010000000000005</v>
      </c>
      <c r="J146" s="59">
        <v>0.06</v>
      </c>
      <c r="K146" s="59">
        <v>0.1</v>
      </c>
      <c r="L146" s="59">
        <v>1.26</v>
      </c>
      <c r="M146" s="59">
        <v>0.49</v>
      </c>
      <c r="N146" s="59"/>
      <c r="O146" s="59"/>
    </row>
    <row r="147" spans="1:15" hidden="1">
      <c r="A147" s="59">
        <v>107</v>
      </c>
      <c r="B147" s="59" t="s">
        <v>682</v>
      </c>
      <c r="C147" s="59" t="s">
        <v>24</v>
      </c>
      <c r="D147" s="24">
        <v>6</v>
      </c>
      <c r="E147" s="24">
        <v>0</v>
      </c>
      <c r="F147" s="24">
        <v>44</v>
      </c>
      <c r="G147" s="24">
        <v>3</v>
      </c>
      <c r="H147" s="59">
        <v>0</v>
      </c>
      <c r="I147" s="59">
        <v>1366.67</v>
      </c>
      <c r="J147" s="59">
        <v>0.05</v>
      </c>
      <c r="K147" s="59">
        <v>0.09</v>
      </c>
      <c r="L147" s="59">
        <v>0</v>
      </c>
      <c r="M147" s="59">
        <v>0.01</v>
      </c>
      <c r="N147" s="59"/>
      <c r="O147" s="59"/>
    </row>
    <row r="148" spans="1:15" hidden="1">
      <c r="A148" s="59">
        <v>108</v>
      </c>
      <c r="B148" s="59" t="s">
        <v>689</v>
      </c>
      <c r="C148" s="59" t="s">
        <v>24</v>
      </c>
      <c r="D148" s="24">
        <v>12</v>
      </c>
      <c r="E148" s="24">
        <v>29</v>
      </c>
      <c r="F148" s="24">
        <v>42</v>
      </c>
      <c r="G148" s="24">
        <v>94</v>
      </c>
      <c r="H148" s="59">
        <v>-58.62</v>
      </c>
      <c r="I148" s="59">
        <v>-55.32</v>
      </c>
      <c r="J148" s="59">
        <v>0.1</v>
      </c>
      <c r="K148" s="59">
        <v>0.09</v>
      </c>
      <c r="L148" s="59">
        <v>0.27</v>
      </c>
      <c r="M148" s="59">
        <v>0.2</v>
      </c>
      <c r="N148" s="59"/>
      <c r="O148" s="59"/>
    </row>
    <row r="149" spans="1:15">
      <c r="A149" s="59">
        <v>109</v>
      </c>
      <c r="B149" s="59" t="s">
        <v>518</v>
      </c>
      <c r="C149" s="59" t="s">
        <v>23</v>
      </c>
      <c r="D149" s="24">
        <v>15</v>
      </c>
      <c r="E149" s="24">
        <v>18</v>
      </c>
      <c r="F149" s="24">
        <v>42</v>
      </c>
      <c r="G149" s="24">
        <v>58</v>
      </c>
      <c r="H149" s="59">
        <v>-16.670000000000002</v>
      </c>
      <c r="I149" s="59">
        <v>-27.59</v>
      </c>
      <c r="J149" s="59">
        <v>0.13</v>
      </c>
      <c r="K149" s="59">
        <v>0.09</v>
      </c>
      <c r="L149" s="59">
        <v>0.17</v>
      </c>
      <c r="M149" s="59">
        <v>0.12</v>
      </c>
      <c r="N149" s="59"/>
      <c r="O149" s="59"/>
    </row>
    <row r="150" spans="1:15" hidden="1">
      <c r="A150" s="59">
        <v>110</v>
      </c>
      <c r="B150" s="59" t="s">
        <v>1061</v>
      </c>
      <c r="C150" s="59" t="s">
        <v>24</v>
      </c>
      <c r="D150" s="24">
        <v>8</v>
      </c>
      <c r="E150" s="24">
        <v>0</v>
      </c>
      <c r="F150" s="24">
        <v>42</v>
      </c>
      <c r="G150" s="24">
        <v>0</v>
      </c>
      <c r="H150" s="59">
        <v>0</v>
      </c>
      <c r="I150" s="59">
        <v>0</v>
      </c>
      <c r="J150" s="59">
        <v>7.0000000000000007E-2</v>
      </c>
      <c r="K150" s="59">
        <v>0.09</v>
      </c>
      <c r="L150" s="59">
        <v>0</v>
      </c>
      <c r="M150" s="59">
        <v>0</v>
      </c>
      <c r="N150" s="59"/>
      <c r="O150" s="59"/>
    </row>
    <row r="151" spans="1:15" hidden="1">
      <c r="A151" s="59">
        <v>111</v>
      </c>
      <c r="B151" s="59" t="s">
        <v>1068</v>
      </c>
      <c r="C151" s="59" t="s">
        <v>24</v>
      </c>
      <c r="D151" s="24">
        <v>8</v>
      </c>
      <c r="E151" s="24">
        <v>0</v>
      </c>
      <c r="F151" s="24">
        <v>41</v>
      </c>
      <c r="G151" s="24">
        <v>0</v>
      </c>
      <c r="H151" s="59">
        <v>0</v>
      </c>
      <c r="I151" s="59">
        <v>0</v>
      </c>
      <c r="J151" s="59">
        <v>7.0000000000000007E-2</v>
      </c>
      <c r="K151" s="59">
        <v>0.09</v>
      </c>
      <c r="L151" s="59">
        <v>0</v>
      </c>
      <c r="M151" s="59">
        <v>0</v>
      </c>
      <c r="N151" s="59"/>
      <c r="O151" s="59"/>
    </row>
    <row r="152" spans="1:15" hidden="1">
      <c r="A152" s="59">
        <v>112</v>
      </c>
      <c r="B152" s="59" t="s">
        <v>1075</v>
      </c>
      <c r="C152" s="59" t="s">
        <v>24</v>
      </c>
      <c r="D152" s="24">
        <v>16</v>
      </c>
      <c r="E152" s="24">
        <v>0</v>
      </c>
      <c r="F152" s="24">
        <v>39</v>
      </c>
      <c r="G152" s="24">
        <v>0</v>
      </c>
      <c r="H152" s="59">
        <v>0</v>
      </c>
      <c r="I152" s="59">
        <v>0</v>
      </c>
      <c r="J152" s="59">
        <v>0.14000000000000001</v>
      </c>
      <c r="K152" s="59">
        <v>0.08</v>
      </c>
      <c r="L152" s="59">
        <v>0</v>
      </c>
      <c r="M152" s="59">
        <v>0</v>
      </c>
      <c r="N152" s="59"/>
      <c r="O152" s="59"/>
    </row>
    <row r="153" spans="1:15" hidden="1">
      <c r="A153" s="59">
        <v>213</v>
      </c>
      <c r="B153" s="59" t="s">
        <v>459</v>
      </c>
      <c r="C153" s="59" t="s">
        <v>24</v>
      </c>
      <c r="D153" s="24">
        <v>15</v>
      </c>
      <c r="E153" s="24">
        <v>8</v>
      </c>
      <c r="F153" s="24">
        <v>39</v>
      </c>
      <c r="G153" s="24">
        <v>37</v>
      </c>
      <c r="H153" s="67">
        <v>87.5</v>
      </c>
      <c r="I153" s="67">
        <v>5.41</v>
      </c>
      <c r="J153" s="59">
        <v>0.13</v>
      </c>
      <c r="K153" s="59">
        <v>0.08</v>
      </c>
      <c r="L153" s="59">
        <v>0.08</v>
      </c>
      <c r="M153" s="59">
        <v>0.08</v>
      </c>
      <c r="N153" s="59"/>
      <c r="O153" s="59"/>
    </row>
    <row r="154" spans="1:15">
      <c r="A154" s="59">
        <v>113</v>
      </c>
      <c r="B154" s="59" t="s">
        <v>79</v>
      </c>
      <c r="C154" s="59" t="s">
        <v>23</v>
      </c>
      <c r="D154" s="24">
        <v>11</v>
      </c>
      <c r="E154" s="24">
        <v>174</v>
      </c>
      <c r="F154" s="24">
        <v>38</v>
      </c>
      <c r="G154" s="24">
        <v>552</v>
      </c>
      <c r="H154" s="59">
        <v>-93.68</v>
      </c>
      <c r="I154" s="59">
        <v>-93.12</v>
      </c>
      <c r="J154" s="59">
        <v>0.1</v>
      </c>
      <c r="K154" s="59">
        <v>0.08</v>
      </c>
      <c r="L154" s="59">
        <v>1.65</v>
      </c>
      <c r="M154" s="59">
        <v>1.1499999999999999</v>
      </c>
      <c r="N154" s="59"/>
      <c r="O154" s="59"/>
    </row>
    <row r="155" spans="1:15">
      <c r="A155" s="59">
        <v>114</v>
      </c>
      <c r="B155" s="59" t="s">
        <v>1170</v>
      </c>
      <c r="C155" s="59" t="s">
        <v>23</v>
      </c>
      <c r="D155" s="24">
        <v>38</v>
      </c>
      <c r="E155" s="24">
        <v>0</v>
      </c>
      <c r="F155" s="24">
        <v>38</v>
      </c>
      <c r="G155" s="24">
        <v>0</v>
      </c>
      <c r="H155" s="59">
        <v>0</v>
      </c>
      <c r="I155" s="59">
        <v>0</v>
      </c>
      <c r="J155" s="59">
        <v>0.33</v>
      </c>
      <c r="K155" s="59">
        <v>0.08</v>
      </c>
      <c r="L155" s="59">
        <v>0</v>
      </c>
      <c r="M155" s="59">
        <v>0</v>
      </c>
      <c r="N155" s="59"/>
      <c r="O155" s="59"/>
    </row>
    <row r="156" spans="1:15" hidden="1">
      <c r="A156" s="59">
        <v>115</v>
      </c>
      <c r="B156" s="59" t="s">
        <v>455</v>
      </c>
      <c r="C156" s="59" t="s">
        <v>24</v>
      </c>
      <c r="D156" s="24">
        <v>5</v>
      </c>
      <c r="E156" s="24">
        <v>43</v>
      </c>
      <c r="F156" s="24">
        <v>36</v>
      </c>
      <c r="G156" s="24">
        <v>150</v>
      </c>
      <c r="H156" s="59">
        <v>-88.37</v>
      </c>
      <c r="I156" s="59">
        <v>-76</v>
      </c>
      <c r="J156" s="59">
        <v>0.04</v>
      </c>
      <c r="K156" s="59">
        <v>0.08</v>
      </c>
      <c r="L156" s="59">
        <v>0.41</v>
      </c>
      <c r="M156" s="59">
        <v>0.31</v>
      </c>
      <c r="N156" s="59"/>
      <c r="O156" s="59"/>
    </row>
    <row r="157" spans="1:15">
      <c r="A157" s="59">
        <v>116</v>
      </c>
      <c r="B157" s="59" t="s">
        <v>137</v>
      </c>
      <c r="C157" s="59" t="s">
        <v>23</v>
      </c>
      <c r="D157" s="24">
        <v>7</v>
      </c>
      <c r="E157" s="24">
        <v>4</v>
      </c>
      <c r="F157" s="24">
        <v>36</v>
      </c>
      <c r="G157" s="24">
        <v>13</v>
      </c>
      <c r="H157" s="59">
        <v>75</v>
      </c>
      <c r="I157" s="59">
        <v>176.92</v>
      </c>
      <c r="J157" s="59">
        <v>0.06</v>
      </c>
      <c r="K157" s="59">
        <v>0.08</v>
      </c>
      <c r="L157" s="59">
        <v>0.04</v>
      </c>
      <c r="M157" s="59">
        <v>0.03</v>
      </c>
      <c r="N157" s="59"/>
      <c r="O157" s="59"/>
    </row>
    <row r="158" spans="1:15">
      <c r="A158" s="59">
        <v>117</v>
      </c>
      <c r="B158" s="59" t="s">
        <v>638</v>
      </c>
      <c r="C158" s="59" t="s">
        <v>23</v>
      </c>
      <c r="D158" s="24">
        <v>10</v>
      </c>
      <c r="E158" s="24">
        <v>5</v>
      </c>
      <c r="F158" s="24">
        <v>35</v>
      </c>
      <c r="G158" s="24">
        <v>21</v>
      </c>
      <c r="H158" s="59">
        <v>100</v>
      </c>
      <c r="I158" s="59">
        <v>66.67</v>
      </c>
      <c r="J158" s="59">
        <v>0.09</v>
      </c>
      <c r="K158" s="59">
        <v>7.0000000000000007E-2</v>
      </c>
      <c r="L158" s="59">
        <v>0.05</v>
      </c>
      <c r="M158" s="59">
        <v>0.04</v>
      </c>
      <c r="N158" s="59"/>
      <c r="O158" s="59"/>
    </row>
    <row r="159" spans="1:15">
      <c r="A159" s="59">
        <v>118</v>
      </c>
      <c r="B159" s="59" t="s">
        <v>458</v>
      </c>
      <c r="C159" s="59" t="s">
        <v>23</v>
      </c>
      <c r="D159" s="24">
        <v>16</v>
      </c>
      <c r="E159" s="24">
        <v>1</v>
      </c>
      <c r="F159" s="24">
        <v>32</v>
      </c>
      <c r="G159" s="24">
        <v>23</v>
      </c>
      <c r="H159" s="59">
        <v>1500</v>
      </c>
      <c r="I159" s="59">
        <v>39.130000000000003</v>
      </c>
      <c r="J159" s="59">
        <v>0.14000000000000001</v>
      </c>
      <c r="K159" s="59">
        <v>7.0000000000000007E-2</v>
      </c>
      <c r="L159" s="59">
        <v>0.01</v>
      </c>
      <c r="M159" s="59">
        <v>0.05</v>
      </c>
      <c r="N159" s="59"/>
      <c r="O159" s="59"/>
    </row>
    <row r="160" spans="1:15" hidden="1">
      <c r="A160" s="59">
        <v>119</v>
      </c>
      <c r="B160" s="59" t="s">
        <v>1094</v>
      </c>
      <c r="C160" s="59" t="s">
        <v>24</v>
      </c>
      <c r="D160" s="24">
        <v>3</v>
      </c>
      <c r="E160" s="24">
        <v>0</v>
      </c>
      <c r="F160" s="24">
        <v>32</v>
      </c>
      <c r="G160" s="24">
        <v>0</v>
      </c>
      <c r="H160" s="59">
        <v>0</v>
      </c>
      <c r="I160" s="59">
        <v>0</v>
      </c>
      <c r="J160" s="59">
        <v>0.03</v>
      </c>
      <c r="K160" s="59">
        <v>7.0000000000000007E-2</v>
      </c>
      <c r="L160" s="59">
        <v>0</v>
      </c>
      <c r="M160" s="59">
        <v>0</v>
      </c>
      <c r="N160" s="59"/>
      <c r="O160" s="59"/>
    </row>
    <row r="161" spans="1:15">
      <c r="A161" s="59">
        <v>120</v>
      </c>
      <c r="B161" s="59" t="s">
        <v>449</v>
      </c>
      <c r="C161" s="59" t="s">
        <v>23</v>
      </c>
      <c r="D161" s="24">
        <v>1</v>
      </c>
      <c r="E161" s="24">
        <v>2</v>
      </c>
      <c r="F161" s="24">
        <v>31</v>
      </c>
      <c r="G161" s="24">
        <v>18</v>
      </c>
      <c r="H161" s="59">
        <v>-50</v>
      </c>
      <c r="I161" s="59">
        <v>72.22</v>
      </c>
      <c r="J161" s="59">
        <v>0.01</v>
      </c>
      <c r="K161" s="59">
        <v>7.0000000000000007E-2</v>
      </c>
      <c r="L161" s="59">
        <v>0.02</v>
      </c>
      <c r="M161" s="59">
        <v>0.04</v>
      </c>
      <c r="N161" s="59"/>
      <c r="O161" s="59"/>
    </row>
    <row r="162" spans="1:15">
      <c r="A162" s="59">
        <v>121</v>
      </c>
      <c r="B162" s="59" t="s">
        <v>1129</v>
      </c>
      <c r="C162" s="59" t="s">
        <v>23</v>
      </c>
      <c r="D162" s="24">
        <v>4</v>
      </c>
      <c r="E162" s="24">
        <v>0</v>
      </c>
      <c r="F162" s="24">
        <v>31</v>
      </c>
      <c r="G162" s="24">
        <v>0</v>
      </c>
      <c r="H162" s="59">
        <v>0</v>
      </c>
      <c r="I162" s="59">
        <v>0</v>
      </c>
      <c r="J162" s="59">
        <v>0.03</v>
      </c>
      <c r="K162" s="59">
        <v>7.0000000000000007E-2</v>
      </c>
      <c r="L162" s="59">
        <v>0</v>
      </c>
      <c r="M162" s="59">
        <v>0</v>
      </c>
      <c r="N162" s="59"/>
      <c r="O162" s="59"/>
    </row>
    <row r="163" spans="1:15">
      <c r="A163" s="59">
        <v>122</v>
      </c>
      <c r="B163" s="59" t="s">
        <v>450</v>
      </c>
      <c r="C163" s="59" t="s">
        <v>23</v>
      </c>
      <c r="D163" s="24">
        <v>12</v>
      </c>
      <c r="E163" s="24">
        <v>5</v>
      </c>
      <c r="F163" s="24">
        <v>30</v>
      </c>
      <c r="G163" s="24">
        <v>36</v>
      </c>
      <c r="H163" s="59">
        <v>140</v>
      </c>
      <c r="I163" s="59">
        <v>-16.670000000000002</v>
      </c>
      <c r="J163" s="59">
        <v>0.1</v>
      </c>
      <c r="K163" s="59">
        <v>0.06</v>
      </c>
      <c r="L163" s="59">
        <v>0.05</v>
      </c>
      <c r="M163" s="59">
        <v>0.08</v>
      </c>
      <c r="N163" s="59"/>
      <c r="O163" s="59"/>
    </row>
    <row r="164" spans="1:15">
      <c r="A164" s="59">
        <v>123</v>
      </c>
      <c r="B164" s="59" t="s">
        <v>451</v>
      </c>
      <c r="C164" s="59" t="s">
        <v>23</v>
      </c>
      <c r="D164" s="24">
        <v>6</v>
      </c>
      <c r="E164" s="24">
        <v>4</v>
      </c>
      <c r="F164" s="24">
        <v>30</v>
      </c>
      <c r="G164" s="24">
        <v>33</v>
      </c>
      <c r="H164" s="59">
        <v>50</v>
      </c>
      <c r="I164" s="59">
        <v>-9.09</v>
      </c>
      <c r="J164" s="59">
        <v>0.05</v>
      </c>
      <c r="K164" s="59">
        <v>0.06</v>
      </c>
      <c r="L164" s="59">
        <v>0.04</v>
      </c>
      <c r="M164" s="59">
        <v>7.0000000000000007E-2</v>
      </c>
      <c r="N164" s="59"/>
      <c r="O164" s="59"/>
    </row>
    <row r="165" spans="1:15">
      <c r="A165" s="59">
        <v>124</v>
      </c>
      <c r="B165" s="59" t="s">
        <v>1093</v>
      </c>
      <c r="C165" s="59" t="s">
        <v>23</v>
      </c>
      <c r="D165" s="24">
        <v>8</v>
      </c>
      <c r="E165" s="24">
        <v>0</v>
      </c>
      <c r="F165" s="24">
        <v>29</v>
      </c>
      <c r="G165" s="24">
        <v>0</v>
      </c>
      <c r="H165" s="59">
        <v>0</v>
      </c>
      <c r="I165" s="59">
        <v>0</v>
      </c>
      <c r="J165" s="59">
        <v>7.0000000000000007E-2</v>
      </c>
      <c r="K165" s="59">
        <v>0.06</v>
      </c>
      <c r="L165" s="59">
        <v>0</v>
      </c>
      <c r="M165" s="59">
        <v>0</v>
      </c>
      <c r="N165" s="59"/>
      <c r="O165" s="59"/>
    </row>
    <row r="166" spans="1:15">
      <c r="A166" s="59">
        <v>125</v>
      </c>
      <c r="B166" s="59" t="s">
        <v>441</v>
      </c>
      <c r="C166" s="59" t="s">
        <v>23</v>
      </c>
      <c r="D166" s="24">
        <v>21</v>
      </c>
      <c r="E166" s="24">
        <v>10</v>
      </c>
      <c r="F166" s="24">
        <v>25</v>
      </c>
      <c r="G166" s="24">
        <v>81</v>
      </c>
      <c r="H166" s="59">
        <v>110</v>
      </c>
      <c r="I166" s="59">
        <v>-69.14</v>
      </c>
      <c r="J166" s="59">
        <v>0.18</v>
      </c>
      <c r="K166" s="59">
        <v>0.05</v>
      </c>
      <c r="L166" s="59">
        <v>0.09</v>
      </c>
      <c r="M166" s="59">
        <v>0.17</v>
      </c>
      <c r="N166" s="59"/>
      <c r="O166" s="59"/>
    </row>
    <row r="167" spans="1:15" hidden="1">
      <c r="A167" s="59">
        <v>126</v>
      </c>
      <c r="B167" s="59" t="s">
        <v>1117</v>
      </c>
      <c r="C167" s="59" t="s">
        <v>24</v>
      </c>
      <c r="D167" s="24">
        <v>2</v>
      </c>
      <c r="E167" s="24">
        <v>0</v>
      </c>
      <c r="F167" s="24">
        <v>25</v>
      </c>
      <c r="G167" s="24">
        <v>0</v>
      </c>
      <c r="H167" s="59">
        <v>0</v>
      </c>
      <c r="I167" s="59">
        <v>0</v>
      </c>
      <c r="J167" s="59">
        <v>0.02</v>
      </c>
      <c r="K167" s="59">
        <v>0.05</v>
      </c>
      <c r="L167" s="59">
        <v>0</v>
      </c>
      <c r="M167" s="59">
        <v>0</v>
      </c>
      <c r="N167" s="59"/>
      <c r="O167" s="59"/>
    </row>
    <row r="168" spans="1:15" hidden="1">
      <c r="A168" s="59">
        <v>127</v>
      </c>
      <c r="B168" s="59" t="s">
        <v>1097</v>
      </c>
      <c r="C168" s="59" t="s">
        <v>24</v>
      </c>
      <c r="D168" s="24">
        <v>5</v>
      </c>
      <c r="E168" s="24">
        <v>0</v>
      </c>
      <c r="F168" s="24">
        <v>24</v>
      </c>
      <c r="G168" s="24">
        <v>0</v>
      </c>
      <c r="H168" s="59">
        <v>0</v>
      </c>
      <c r="I168" s="59">
        <v>0</v>
      </c>
      <c r="J168" s="59">
        <v>0.04</v>
      </c>
      <c r="K168" s="59">
        <v>0.05</v>
      </c>
      <c r="L168" s="59">
        <v>0</v>
      </c>
      <c r="M168" s="59">
        <v>0</v>
      </c>
      <c r="N168" s="59"/>
      <c r="O168" s="59"/>
    </row>
    <row r="169" spans="1:15">
      <c r="A169" s="59">
        <v>128</v>
      </c>
      <c r="B169" s="59" t="s">
        <v>675</v>
      </c>
      <c r="C169" s="59" t="s">
        <v>23</v>
      </c>
      <c r="D169" s="24">
        <v>7</v>
      </c>
      <c r="E169" s="24">
        <v>2</v>
      </c>
      <c r="F169" s="24">
        <v>23</v>
      </c>
      <c r="G169" s="24">
        <v>68</v>
      </c>
      <c r="H169" s="59">
        <v>250</v>
      </c>
      <c r="I169" s="59">
        <v>-66.180000000000007</v>
      </c>
      <c r="J169" s="59">
        <v>0.06</v>
      </c>
      <c r="K169" s="59">
        <v>0.05</v>
      </c>
      <c r="L169" s="59">
        <v>0.02</v>
      </c>
      <c r="M169" s="59">
        <v>0.14000000000000001</v>
      </c>
      <c r="N169" s="59"/>
      <c r="O169" s="59"/>
    </row>
    <row r="170" spans="1:15">
      <c r="A170" s="59">
        <v>129</v>
      </c>
      <c r="B170" s="59" t="s">
        <v>151</v>
      </c>
      <c r="C170" s="59" t="s">
        <v>23</v>
      </c>
      <c r="D170" s="24">
        <v>3</v>
      </c>
      <c r="E170" s="24">
        <v>1</v>
      </c>
      <c r="F170" s="24">
        <v>23</v>
      </c>
      <c r="G170" s="24">
        <v>35</v>
      </c>
      <c r="H170" s="59">
        <v>200</v>
      </c>
      <c r="I170" s="59">
        <v>-34.29</v>
      </c>
      <c r="J170" s="59">
        <v>0.03</v>
      </c>
      <c r="K170" s="59">
        <v>0.05</v>
      </c>
      <c r="L170" s="59">
        <v>0.01</v>
      </c>
      <c r="M170" s="59">
        <v>7.0000000000000007E-2</v>
      </c>
      <c r="N170" s="59"/>
      <c r="O170" s="59"/>
    </row>
    <row r="171" spans="1:15" hidden="1">
      <c r="A171" s="59">
        <v>130</v>
      </c>
      <c r="B171" s="59" t="s">
        <v>734</v>
      </c>
      <c r="C171" s="59" t="s">
        <v>24</v>
      </c>
      <c r="D171" s="24">
        <v>1</v>
      </c>
      <c r="E171" s="24">
        <v>0</v>
      </c>
      <c r="F171" s="24">
        <v>22</v>
      </c>
      <c r="G171" s="24">
        <v>0</v>
      </c>
      <c r="H171" s="59">
        <v>0</v>
      </c>
      <c r="I171" s="59">
        <v>0</v>
      </c>
      <c r="J171" s="59">
        <v>0.01</v>
      </c>
      <c r="K171" s="59">
        <v>0.05</v>
      </c>
      <c r="L171" s="59">
        <v>0</v>
      </c>
      <c r="M171" s="59">
        <v>0</v>
      </c>
      <c r="N171" s="59"/>
      <c r="O171" s="59"/>
    </row>
    <row r="172" spans="1:15" hidden="1">
      <c r="A172" s="59">
        <v>131</v>
      </c>
      <c r="B172" s="59" t="s">
        <v>1114</v>
      </c>
      <c r="C172" s="59" t="s">
        <v>24</v>
      </c>
      <c r="D172" s="24">
        <v>6</v>
      </c>
      <c r="E172" s="24">
        <v>0</v>
      </c>
      <c r="F172" s="24">
        <v>22</v>
      </c>
      <c r="G172" s="24">
        <v>0</v>
      </c>
      <c r="H172" s="59">
        <v>0</v>
      </c>
      <c r="I172" s="59">
        <v>0</v>
      </c>
      <c r="J172" s="59">
        <v>0.05</v>
      </c>
      <c r="K172" s="59">
        <v>0.05</v>
      </c>
      <c r="L172" s="59">
        <v>0</v>
      </c>
      <c r="M172" s="59">
        <v>0</v>
      </c>
      <c r="N172" s="59"/>
      <c r="O172" s="59"/>
    </row>
    <row r="173" spans="1:15" hidden="1">
      <c r="A173" s="59">
        <v>132</v>
      </c>
      <c r="B173" s="59" t="s">
        <v>1072</v>
      </c>
      <c r="C173" s="59" t="s">
        <v>24</v>
      </c>
      <c r="D173" s="24">
        <v>10</v>
      </c>
      <c r="E173" s="24">
        <v>0</v>
      </c>
      <c r="F173" s="24">
        <v>22</v>
      </c>
      <c r="G173" s="24">
        <v>0</v>
      </c>
      <c r="H173" s="59">
        <v>0</v>
      </c>
      <c r="I173" s="59">
        <v>0</v>
      </c>
      <c r="J173" s="59">
        <v>0.09</v>
      </c>
      <c r="K173" s="59">
        <v>0.05</v>
      </c>
      <c r="L173" s="59">
        <v>0</v>
      </c>
      <c r="M173" s="59">
        <v>0</v>
      </c>
      <c r="N173" s="59"/>
      <c r="O173" s="59"/>
    </row>
    <row r="174" spans="1:15">
      <c r="A174" s="59">
        <v>133</v>
      </c>
      <c r="B174" s="59" t="s">
        <v>1116</v>
      </c>
      <c r="C174" s="59" t="s">
        <v>23</v>
      </c>
      <c r="D174" s="24">
        <v>11</v>
      </c>
      <c r="E174" s="24">
        <v>0</v>
      </c>
      <c r="F174" s="24">
        <v>22</v>
      </c>
      <c r="G174" s="24">
        <v>0</v>
      </c>
      <c r="H174" s="59">
        <v>0</v>
      </c>
      <c r="I174" s="59">
        <v>0</v>
      </c>
      <c r="J174" s="59">
        <v>0.1</v>
      </c>
      <c r="K174" s="59">
        <v>0.05</v>
      </c>
      <c r="L174" s="59">
        <v>0</v>
      </c>
      <c r="M174" s="59">
        <v>0</v>
      </c>
      <c r="N174" s="59"/>
      <c r="O174" s="59"/>
    </row>
    <row r="175" spans="1:15" hidden="1">
      <c r="A175" s="59">
        <v>134</v>
      </c>
      <c r="B175" s="59" t="s">
        <v>421</v>
      </c>
      <c r="C175" s="59" t="s">
        <v>24</v>
      </c>
      <c r="D175" s="24">
        <v>4</v>
      </c>
      <c r="E175" s="24">
        <v>11</v>
      </c>
      <c r="F175" s="24">
        <v>19</v>
      </c>
      <c r="G175" s="24">
        <v>67</v>
      </c>
      <c r="H175" s="59">
        <v>-63.64</v>
      </c>
      <c r="I175" s="59">
        <v>-71.64</v>
      </c>
      <c r="J175" s="59">
        <v>0.03</v>
      </c>
      <c r="K175" s="59">
        <v>0.04</v>
      </c>
      <c r="L175" s="59">
        <v>0.1</v>
      </c>
      <c r="M175" s="59">
        <v>0.14000000000000001</v>
      </c>
      <c r="N175" s="59"/>
      <c r="O175" s="59"/>
    </row>
    <row r="176" spans="1:15" hidden="1">
      <c r="A176" s="59">
        <v>135</v>
      </c>
      <c r="B176" s="59" t="s">
        <v>676</v>
      </c>
      <c r="C176" s="59" t="s">
        <v>24</v>
      </c>
      <c r="D176" s="24">
        <v>7</v>
      </c>
      <c r="E176" s="24">
        <v>0</v>
      </c>
      <c r="F176" s="24">
        <v>19</v>
      </c>
      <c r="G176" s="24">
        <v>6</v>
      </c>
      <c r="H176" s="67">
        <v>0</v>
      </c>
      <c r="I176" s="67">
        <v>216.67</v>
      </c>
      <c r="J176" s="59">
        <v>0.06</v>
      </c>
      <c r="K176" s="59">
        <v>0.04</v>
      </c>
      <c r="L176" s="59">
        <v>0</v>
      </c>
      <c r="M176" s="59">
        <v>0.01</v>
      </c>
      <c r="N176" s="59"/>
      <c r="O176" s="59"/>
    </row>
    <row r="177" spans="1:15">
      <c r="A177" s="59">
        <v>136</v>
      </c>
      <c r="B177" s="59" t="s">
        <v>517</v>
      </c>
      <c r="C177" s="59" t="s">
        <v>23</v>
      </c>
      <c r="D177" s="24">
        <v>7</v>
      </c>
      <c r="E177" s="24">
        <v>8</v>
      </c>
      <c r="F177" s="24">
        <v>18</v>
      </c>
      <c r="G177" s="24">
        <v>34</v>
      </c>
      <c r="H177" s="59">
        <v>-12.5</v>
      </c>
      <c r="I177" s="59">
        <v>-47.06</v>
      </c>
      <c r="J177" s="59">
        <v>0.06</v>
      </c>
      <c r="K177" s="59">
        <v>0.04</v>
      </c>
      <c r="L177" s="59">
        <v>0.08</v>
      </c>
      <c r="M177" s="59">
        <v>7.0000000000000007E-2</v>
      </c>
      <c r="N177" s="59"/>
      <c r="O177" s="59"/>
    </row>
    <row r="178" spans="1:15" hidden="1">
      <c r="A178" s="59">
        <v>137</v>
      </c>
      <c r="B178" s="59" t="s">
        <v>525</v>
      </c>
      <c r="C178" s="59" t="s">
        <v>24</v>
      </c>
      <c r="D178" s="24">
        <v>0</v>
      </c>
      <c r="E178" s="24">
        <v>9</v>
      </c>
      <c r="F178" s="24">
        <v>18</v>
      </c>
      <c r="G178" s="24">
        <v>31</v>
      </c>
      <c r="H178" s="59">
        <v>-100</v>
      </c>
      <c r="I178" s="59">
        <v>-41.94</v>
      </c>
      <c r="J178" s="59">
        <v>0</v>
      </c>
      <c r="K178" s="59">
        <v>0.04</v>
      </c>
      <c r="L178" s="59">
        <v>0.09</v>
      </c>
      <c r="M178" s="59">
        <v>0.06</v>
      </c>
      <c r="N178" s="59"/>
      <c r="O178" s="59"/>
    </row>
    <row r="179" spans="1:15" hidden="1">
      <c r="A179" s="59">
        <v>138</v>
      </c>
      <c r="B179" s="59" t="s">
        <v>600</v>
      </c>
      <c r="C179" s="59" t="s">
        <v>24</v>
      </c>
      <c r="D179" s="24">
        <v>12</v>
      </c>
      <c r="E179" s="24">
        <v>1</v>
      </c>
      <c r="F179" s="24">
        <v>18</v>
      </c>
      <c r="G179" s="24">
        <v>25</v>
      </c>
      <c r="H179" s="67">
        <v>1100</v>
      </c>
      <c r="I179" s="67">
        <v>-28</v>
      </c>
      <c r="J179" s="59">
        <v>0.1</v>
      </c>
      <c r="K179" s="59">
        <v>0.04</v>
      </c>
      <c r="L179" s="59">
        <v>0.01</v>
      </c>
      <c r="M179" s="59">
        <v>0.05</v>
      </c>
      <c r="N179" s="59"/>
      <c r="O179" s="59"/>
    </row>
    <row r="180" spans="1:15" hidden="1">
      <c r="A180" s="59">
        <v>139</v>
      </c>
      <c r="B180" s="59" t="s">
        <v>452</v>
      </c>
      <c r="C180" s="59" t="s">
        <v>24</v>
      </c>
      <c r="D180" s="24">
        <v>5</v>
      </c>
      <c r="E180" s="24">
        <v>6</v>
      </c>
      <c r="F180" s="24">
        <v>18</v>
      </c>
      <c r="G180" s="24">
        <v>14</v>
      </c>
      <c r="H180" s="59">
        <v>-16.670000000000002</v>
      </c>
      <c r="I180" s="59">
        <v>28.57</v>
      </c>
      <c r="J180" s="59">
        <v>0.04</v>
      </c>
      <c r="K180" s="59">
        <v>0.04</v>
      </c>
      <c r="L180" s="59">
        <v>0.06</v>
      </c>
      <c r="M180" s="59">
        <v>0.03</v>
      </c>
      <c r="N180" s="59"/>
      <c r="O180" s="59"/>
    </row>
    <row r="181" spans="1:15">
      <c r="A181" s="59">
        <v>140</v>
      </c>
      <c r="B181" s="59" t="s">
        <v>1022</v>
      </c>
      <c r="C181" s="59" t="s">
        <v>23</v>
      </c>
      <c r="D181" s="24">
        <v>1</v>
      </c>
      <c r="E181" s="24">
        <v>0</v>
      </c>
      <c r="F181" s="24">
        <v>18</v>
      </c>
      <c r="G181" s="24">
        <v>0</v>
      </c>
      <c r="H181" s="59">
        <v>0</v>
      </c>
      <c r="I181" s="59">
        <v>0</v>
      </c>
      <c r="J181" s="59">
        <v>0.01</v>
      </c>
      <c r="K181" s="59">
        <v>0.04</v>
      </c>
      <c r="L181" s="59">
        <v>0</v>
      </c>
      <c r="M181" s="59">
        <v>0</v>
      </c>
      <c r="N181" s="59"/>
      <c r="O181" s="59"/>
    </row>
    <row r="182" spans="1:15">
      <c r="A182" s="59">
        <v>141</v>
      </c>
      <c r="B182" s="59" t="s">
        <v>728</v>
      </c>
      <c r="C182" s="59" t="s">
        <v>23</v>
      </c>
      <c r="D182" s="24">
        <v>2</v>
      </c>
      <c r="E182" s="24">
        <v>1</v>
      </c>
      <c r="F182" s="24">
        <v>17</v>
      </c>
      <c r="G182" s="24">
        <v>1</v>
      </c>
      <c r="H182" s="59">
        <v>100</v>
      </c>
      <c r="I182" s="59">
        <v>1600</v>
      </c>
      <c r="J182" s="59">
        <v>0.02</v>
      </c>
      <c r="K182" s="59">
        <v>0.04</v>
      </c>
      <c r="L182" s="59">
        <v>0.01</v>
      </c>
      <c r="M182" s="59">
        <v>0</v>
      </c>
      <c r="N182" s="59"/>
      <c r="O182" s="59"/>
    </row>
    <row r="183" spans="1:15" hidden="1">
      <c r="A183" s="59">
        <v>142</v>
      </c>
      <c r="B183" s="59" t="s">
        <v>1130</v>
      </c>
      <c r="C183" s="59" t="s">
        <v>24</v>
      </c>
      <c r="D183" s="24">
        <v>5</v>
      </c>
      <c r="E183" s="24">
        <v>1</v>
      </c>
      <c r="F183" s="24">
        <v>16</v>
      </c>
      <c r="G183" s="24">
        <v>30</v>
      </c>
      <c r="H183" s="59">
        <v>400</v>
      </c>
      <c r="I183" s="59">
        <v>-46.67</v>
      </c>
      <c r="J183" s="59">
        <v>0.04</v>
      </c>
      <c r="K183" s="59">
        <v>0.03</v>
      </c>
      <c r="L183" s="59">
        <v>0.01</v>
      </c>
      <c r="M183" s="59">
        <v>0.06</v>
      </c>
      <c r="N183" s="59"/>
      <c r="O183" s="59"/>
    </row>
    <row r="184" spans="1:15" hidden="1">
      <c r="A184" s="59">
        <v>143</v>
      </c>
      <c r="B184" s="59" t="s">
        <v>583</v>
      </c>
      <c r="C184" s="59" t="s">
        <v>24</v>
      </c>
      <c r="D184" s="24">
        <v>3</v>
      </c>
      <c r="E184" s="24">
        <v>14</v>
      </c>
      <c r="F184" s="24">
        <v>15</v>
      </c>
      <c r="G184" s="24">
        <v>64</v>
      </c>
      <c r="H184" s="59">
        <v>-78.569999999999993</v>
      </c>
      <c r="I184" s="59">
        <v>-76.56</v>
      </c>
      <c r="J184" s="59">
        <v>0.03</v>
      </c>
      <c r="K184" s="59">
        <v>0.03</v>
      </c>
      <c r="L184" s="59">
        <v>0.13</v>
      </c>
      <c r="M184" s="59">
        <v>0.13</v>
      </c>
      <c r="N184" s="59"/>
      <c r="O184" s="59"/>
    </row>
    <row r="185" spans="1:15">
      <c r="A185" s="59">
        <v>144</v>
      </c>
      <c r="B185" s="59" t="s">
        <v>440</v>
      </c>
      <c r="C185" s="59" t="s">
        <v>23</v>
      </c>
      <c r="D185" s="24">
        <v>5</v>
      </c>
      <c r="E185" s="24">
        <v>9</v>
      </c>
      <c r="F185" s="24">
        <v>15</v>
      </c>
      <c r="G185" s="24">
        <v>41</v>
      </c>
      <c r="H185" s="59">
        <v>-44.44</v>
      </c>
      <c r="I185" s="59">
        <v>-63.41</v>
      </c>
      <c r="J185" s="59">
        <v>0.04</v>
      </c>
      <c r="K185" s="59">
        <v>0.03</v>
      </c>
      <c r="L185" s="59">
        <v>0.09</v>
      </c>
      <c r="M185" s="59">
        <v>0.09</v>
      </c>
      <c r="N185" s="59"/>
      <c r="O185" s="59"/>
    </row>
    <row r="186" spans="1:15">
      <c r="A186" s="59">
        <v>145</v>
      </c>
      <c r="B186" s="59" t="s">
        <v>623</v>
      </c>
      <c r="C186" s="59" t="s">
        <v>23</v>
      </c>
      <c r="D186" s="24">
        <v>14</v>
      </c>
      <c r="E186" s="24">
        <v>13</v>
      </c>
      <c r="F186" s="24">
        <v>14</v>
      </c>
      <c r="G186" s="24">
        <v>110</v>
      </c>
      <c r="H186" s="59">
        <v>7.69</v>
      </c>
      <c r="I186" s="59">
        <v>-87.27</v>
      </c>
      <c r="J186" s="59">
        <v>0.12</v>
      </c>
      <c r="K186" s="59">
        <v>0.03</v>
      </c>
      <c r="L186" s="59">
        <v>0.12</v>
      </c>
      <c r="M186" s="59">
        <v>0.23</v>
      </c>
      <c r="N186" s="59"/>
      <c r="O186" s="59"/>
    </row>
    <row r="187" spans="1:15">
      <c r="A187" s="59">
        <v>146</v>
      </c>
      <c r="B187" s="59" t="s">
        <v>250</v>
      </c>
      <c r="C187" s="59" t="s">
        <v>23</v>
      </c>
      <c r="D187" s="24">
        <v>11</v>
      </c>
      <c r="E187" s="24">
        <v>2</v>
      </c>
      <c r="F187" s="24">
        <v>14</v>
      </c>
      <c r="G187" s="24">
        <v>19</v>
      </c>
      <c r="H187" s="59">
        <v>450</v>
      </c>
      <c r="I187" s="59">
        <v>-26.32</v>
      </c>
      <c r="J187" s="59">
        <v>0.1</v>
      </c>
      <c r="K187" s="59">
        <v>0.03</v>
      </c>
      <c r="L187" s="59">
        <v>0.02</v>
      </c>
      <c r="M187" s="59">
        <v>0.04</v>
      </c>
      <c r="N187" s="59"/>
      <c r="O187" s="59"/>
    </row>
    <row r="188" spans="1:15">
      <c r="A188" s="59">
        <v>147</v>
      </c>
      <c r="B188" s="59" t="s">
        <v>202</v>
      </c>
      <c r="C188" s="59" t="s">
        <v>23</v>
      </c>
      <c r="D188" s="24">
        <v>2</v>
      </c>
      <c r="E188" s="24">
        <v>0</v>
      </c>
      <c r="F188" s="24">
        <v>14</v>
      </c>
      <c r="G188" s="24">
        <v>0</v>
      </c>
      <c r="H188" s="59">
        <v>0</v>
      </c>
      <c r="I188" s="59">
        <v>0</v>
      </c>
      <c r="J188" s="59">
        <v>0.02</v>
      </c>
      <c r="K188" s="59">
        <v>0.03</v>
      </c>
      <c r="L188" s="59">
        <v>0</v>
      </c>
      <c r="M188" s="59">
        <v>0</v>
      </c>
      <c r="N188" s="59"/>
      <c r="O188" s="59"/>
    </row>
    <row r="189" spans="1:15">
      <c r="A189" s="59">
        <v>148</v>
      </c>
      <c r="B189" s="59" t="s">
        <v>1098</v>
      </c>
      <c r="C189" s="59" t="s">
        <v>23</v>
      </c>
      <c r="D189" s="24">
        <v>8</v>
      </c>
      <c r="E189" s="24">
        <v>0</v>
      </c>
      <c r="F189" s="24">
        <v>14</v>
      </c>
      <c r="G189" s="24">
        <v>0</v>
      </c>
      <c r="H189" s="59">
        <v>0</v>
      </c>
      <c r="I189" s="59">
        <v>0</v>
      </c>
      <c r="J189" s="59">
        <v>7.0000000000000007E-2</v>
      </c>
      <c r="K189" s="59">
        <v>0.03</v>
      </c>
      <c r="L189" s="59">
        <v>0</v>
      </c>
      <c r="M189" s="59">
        <v>0</v>
      </c>
      <c r="N189" s="59"/>
      <c r="O189" s="59"/>
    </row>
    <row r="190" spans="1:15" hidden="1">
      <c r="A190" s="59">
        <v>149</v>
      </c>
      <c r="B190" s="59" t="s">
        <v>522</v>
      </c>
      <c r="C190" s="59" t="s">
        <v>24</v>
      </c>
      <c r="D190" s="24">
        <v>3</v>
      </c>
      <c r="E190" s="24">
        <v>7</v>
      </c>
      <c r="F190" s="24">
        <v>13</v>
      </c>
      <c r="G190" s="24">
        <v>36</v>
      </c>
      <c r="H190" s="59">
        <v>-57.14</v>
      </c>
      <c r="I190" s="59">
        <v>-63.89</v>
      </c>
      <c r="J190" s="59">
        <v>0.03</v>
      </c>
      <c r="K190" s="59">
        <v>0.03</v>
      </c>
      <c r="L190" s="59">
        <v>7.0000000000000007E-2</v>
      </c>
      <c r="M190" s="59">
        <v>0.08</v>
      </c>
      <c r="N190" s="59"/>
      <c r="O190" s="59"/>
    </row>
    <row r="191" spans="1:15" hidden="1">
      <c r="A191" s="59">
        <v>150</v>
      </c>
      <c r="B191" s="59" t="s">
        <v>1073</v>
      </c>
      <c r="C191" s="59" t="s">
        <v>24</v>
      </c>
      <c r="D191" s="24">
        <v>2</v>
      </c>
      <c r="E191" s="24">
        <v>0</v>
      </c>
      <c r="F191" s="24">
        <v>13</v>
      </c>
      <c r="G191" s="24">
        <v>0</v>
      </c>
      <c r="H191" s="59">
        <v>0</v>
      </c>
      <c r="I191" s="59">
        <v>0</v>
      </c>
      <c r="J191" s="59">
        <v>0.02</v>
      </c>
      <c r="K191" s="59">
        <v>0.03</v>
      </c>
      <c r="L191" s="59">
        <v>0</v>
      </c>
      <c r="M191" s="59">
        <v>0</v>
      </c>
      <c r="N191" s="59"/>
      <c r="O191" s="59"/>
    </row>
    <row r="192" spans="1:15">
      <c r="A192" s="59">
        <v>151</v>
      </c>
      <c r="B192" s="59" t="s">
        <v>732</v>
      </c>
      <c r="C192" s="59" t="s">
        <v>23</v>
      </c>
      <c r="D192" s="24">
        <v>3</v>
      </c>
      <c r="E192" s="24">
        <v>0</v>
      </c>
      <c r="F192" s="24">
        <v>12</v>
      </c>
      <c r="G192" s="24">
        <v>0</v>
      </c>
      <c r="H192" s="59">
        <v>0</v>
      </c>
      <c r="I192" s="59">
        <v>0</v>
      </c>
      <c r="J192" s="59">
        <v>0.03</v>
      </c>
      <c r="K192" s="59">
        <v>0.03</v>
      </c>
      <c r="L192" s="59">
        <v>0</v>
      </c>
      <c r="M192" s="59">
        <v>0</v>
      </c>
      <c r="N192" s="59"/>
      <c r="O192" s="59"/>
    </row>
    <row r="193" spans="1:15" hidden="1">
      <c r="A193" s="59">
        <v>152</v>
      </c>
      <c r="B193" s="59" t="s">
        <v>1202</v>
      </c>
      <c r="C193" s="59" t="s">
        <v>24</v>
      </c>
      <c r="D193" s="24">
        <v>12</v>
      </c>
      <c r="E193" s="24">
        <v>0</v>
      </c>
      <c r="F193" s="24">
        <v>12</v>
      </c>
      <c r="G193" s="24">
        <v>0</v>
      </c>
      <c r="H193" s="59">
        <v>0</v>
      </c>
      <c r="I193" s="59">
        <v>0</v>
      </c>
      <c r="J193" s="59">
        <v>0.1</v>
      </c>
      <c r="K193" s="59">
        <v>0.03</v>
      </c>
      <c r="L193" s="59">
        <v>0</v>
      </c>
      <c r="M193" s="59">
        <v>0</v>
      </c>
      <c r="N193" s="59"/>
      <c r="O193" s="59"/>
    </row>
    <row r="194" spans="1:15">
      <c r="A194" s="59">
        <v>153</v>
      </c>
      <c r="B194" s="59" t="s">
        <v>141</v>
      </c>
      <c r="C194" s="59" t="s">
        <v>23</v>
      </c>
      <c r="D194" s="24">
        <v>3</v>
      </c>
      <c r="E194" s="24">
        <v>11</v>
      </c>
      <c r="F194" s="24">
        <v>11</v>
      </c>
      <c r="G194" s="24">
        <v>54</v>
      </c>
      <c r="H194" s="59">
        <v>-72.73</v>
      </c>
      <c r="I194" s="59">
        <v>-79.63</v>
      </c>
      <c r="J194" s="59">
        <v>0.03</v>
      </c>
      <c r="K194" s="59">
        <v>0.02</v>
      </c>
      <c r="L194" s="59">
        <v>0.1</v>
      </c>
      <c r="M194" s="59">
        <v>0.11</v>
      </c>
      <c r="N194" s="59"/>
      <c r="O194" s="59"/>
    </row>
    <row r="195" spans="1:15">
      <c r="A195" s="59">
        <v>154</v>
      </c>
      <c r="B195" s="59" t="s">
        <v>457</v>
      </c>
      <c r="C195" s="59" t="s">
        <v>23</v>
      </c>
      <c r="D195" s="24">
        <v>3</v>
      </c>
      <c r="E195" s="24">
        <v>19</v>
      </c>
      <c r="F195" s="24">
        <v>11</v>
      </c>
      <c r="G195" s="24">
        <v>36</v>
      </c>
      <c r="H195" s="67">
        <v>-84.21</v>
      </c>
      <c r="I195" s="67">
        <v>-69.44</v>
      </c>
      <c r="J195" s="67">
        <v>0.03</v>
      </c>
      <c r="K195" s="67">
        <v>0.02</v>
      </c>
      <c r="L195" s="67">
        <v>0.18</v>
      </c>
      <c r="M195" s="67">
        <v>0.08</v>
      </c>
      <c r="N195" s="59"/>
      <c r="O195" s="59"/>
    </row>
    <row r="196" spans="1:15" hidden="1">
      <c r="A196" s="59">
        <v>155</v>
      </c>
      <c r="B196" s="59" t="s">
        <v>460</v>
      </c>
      <c r="C196" s="59" t="s">
        <v>24</v>
      </c>
      <c r="D196" s="24">
        <v>5</v>
      </c>
      <c r="E196" s="24">
        <v>2</v>
      </c>
      <c r="F196" s="24">
        <v>11</v>
      </c>
      <c r="G196" s="24">
        <v>8</v>
      </c>
      <c r="H196" s="59">
        <v>150</v>
      </c>
      <c r="I196" s="59">
        <v>37.5</v>
      </c>
      <c r="J196" s="59">
        <v>0.04</v>
      </c>
      <c r="K196" s="59">
        <v>0.02</v>
      </c>
      <c r="L196" s="59">
        <v>0.02</v>
      </c>
      <c r="M196" s="59">
        <v>0.02</v>
      </c>
      <c r="N196" s="59"/>
      <c r="O196" s="59"/>
    </row>
    <row r="197" spans="1:15">
      <c r="A197" s="59">
        <v>156</v>
      </c>
      <c r="B197" s="59" t="s">
        <v>519</v>
      </c>
      <c r="C197" s="59" t="s">
        <v>23</v>
      </c>
      <c r="D197" s="24">
        <v>6</v>
      </c>
      <c r="E197" s="24">
        <v>1</v>
      </c>
      <c r="F197" s="24">
        <v>11</v>
      </c>
      <c r="G197" s="24">
        <v>5</v>
      </c>
      <c r="H197" s="59">
        <v>500</v>
      </c>
      <c r="I197" s="59">
        <v>120</v>
      </c>
      <c r="J197" s="59">
        <v>0.05</v>
      </c>
      <c r="K197" s="59">
        <v>0.02</v>
      </c>
      <c r="L197" s="59">
        <v>0.01</v>
      </c>
      <c r="M197" s="59">
        <v>0.01</v>
      </c>
      <c r="N197" s="59"/>
      <c r="O197" s="59"/>
    </row>
    <row r="198" spans="1:15">
      <c r="A198" s="59">
        <v>157</v>
      </c>
      <c r="B198" s="59" t="s">
        <v>183</v>
      </c>
      <c r="C198" s="59" t="s">
        <v>23</v>
      </c>
      <c r="D198" s="24">
        <v>0</v>
      </c>
      <c r="E198" s="24">
        <v>5</v>
      </c>
      <c r="F198" s="24">
        <v>10</v>
      </c>
      <c r="G198" s="24">
        <v>10</v>
      </c>
      <c r="H198" s="59">
        <v>-100</v>
      </c>
      <c r="I198" s="59">
        <v>0</v>
      </c>
      <c r="J198" s="59">
        <v>0</v>
      </c>
      <c r="K198" s="59">
        <v>0.02</v>
      </c>
      <c r="L198" s="59">
        <v>0.05</v>
      </c>
      <c r="M198" s="59">
        <v>0.02</v>
      </c>
      <c r="N198" s="59"/>
      <c r="O198" s="59"/>
    </row>
    <row r="199" spans="1:15">
      <c r="A199" s="59">
        <v>158</v>
      </c>
      <c r="B199" s="59" t="s">
        <v>720</v>
      </c>
      <c r="C199" s="59" t="s">
        <v>23</v>
      </c>
      <c r="D199" s="24">
        <v>7</v>
      </c>
      <c r="E199" s="24">
        <v>2</v>
      </c>
      <c r="F199" s="24">
        <v>10</v>
      </c>
      <c r="G199" s="24">
        <v>2</v>
      </c>
      <c r="H199" s="59">
        <v>250</v>
      </c>
      <c r="I199" s="59">
        <v>400</v>
      </c>
      <c r="J199" s="59">
        <v>0.06</v>
      </c>
      <c r="K199" s="59">
        <v>0.02</v>
      </c>
      <c r="L199" s="59">
        <v>0.02</v>
      </c>
      <c r="M199" s="59">
        <v>0</v>
      </c>
      <c r="N199" s="59"/>
      <c r="O199" s="59"/>
    </row>
    <row r="200" spans="1:15" hidden="1">
      <c r="A200" s="59">
        <v>159</v>
      </c>
      <c r="B200" s="59" t="s">
        <v>673</v>
      </c>
      <c r="C200" s="59" t="s">
        <v>24</v>
      </c>
      <c r="D200" s="24">
        <v>3</v>
      </c>
      <c r="E200" s="24">
        <v>9</v>
      </c>
      <c r="F200" s="24">
        <v>9</v>
      </c>
      <c r="G200" s="24">
        <v>27</v>
      </c>
      <c r="H200" s="59">
        <v>-66.67</v>
      </c>
      <c r="I200" s="59">
        <v>-66.67</v>
      </c>
      <c r="J200" s="59">
        <v>0.03</v>
      </c>
      <c r="K200" s="59">
        <v>0.02</v>
      </c>
      <c r="L200" s="59">
        <v>0.09</v>
      </c>
      <c r="M200" s="59">
        <v>0.06</v>
      </c>
      <c r="N200" s="59"/>
      <c r="O200" s="59"/>
    </row>
    <row r="201" spans="1:15" hidden="1">
      <c r="A201" s="59">
        <v>160</v>
      </c>
      <c r="B201" s="59" t="s">
        <v>639</v>
      </c>
      <c r="C201" s="59" t="s">
        <v>24</v>
      </c>
      <c r="D201" s="24">
        <v>1</v>
      </c>
      <c r="E201" s="24">
        <v>0</v>
      </c>
      <c r="F201" s="24">
        <v>9</v>
      </c>
      <c r="G201" s="24">
        <v>14</v>
      </c>
      <c r="H201" s="59">
        <v>0</v>
      </c>
      <c r="I201" s="59">
        <v>-35.71</v>
      </c>
      <c r="J201" s="59">
        <v>0.01</v>
      </c>
      <c r="K201" s="59">
        <v>0.02</v>
      </c>
      <c r="L201" s="59">
        <v>0</v>
      </c>
      <c r="M201" s="59">
        <v>0.03</v>
      </c>
      <c r="N201" s="59"/>
      <c r="O201" s="59"/>
    </row>
    <row r="202" spans="1:15" hidden="1">
      <c r="A202" s="59">
        <v>161</v>
      </c>
      <c r="B202" s="59" t="s">
        <v>1137</v>
      </c>
      <c r="C202" s="59" t="s">
        <v>24</v>
      </c>
      <c r="D202" s="24">
        <v>4</v>
      </c>
      <c r="E202" s="24">
        <v>5</v>
      </c>
      <c r="F202" s="24">
        <v>9</v>
      </c>
      <c r="G202" s="24">
        <v>6</v>
      </c>
      <c r="H202" s="59">
        <v>-20</v>
      </c>
      <c r="I202" s="59">
        <v>50</v>
      </c>
      <c r="J202" s="59">
        <v>0.03</v>
      </c>
      <c r="K202" s="59">
        <v>0.02</v>
      </c>
      <c r="L202" s="59">
        <v>0.05</v>
      </c>
      <c r="M202" s="59">
        <v>0.01</v>
      </c>
      <c r="N202" s="59"/>
      <c r="O202" s="59"/>
    </row>
    <row r="203" spans="1:15" hidden="1">
      <c r="A203" s="59">
        <v>162</v>
      </c>
      <c r="B203" s="59" t="s">
        <v>1168</v>
      </c>
      <c r="C203" s="59" t="s">
        <v>24</v>
      </c>
      <c r="D203" s="24">
        <v>3</v>
      </c>
      <c r="E203" s="24">
        <v>0</v>
      </c>
      <c r="F203" s="24">
        <v>9</v>
      </c>
      <c r="G203" s="24">
        <v>0</v>
      </c>
      <c r="H203" s="59">
        <v>0</v>
      </c>
      <c r="I203" s="59">
        <v>0</v>
      </c>
      <c r="J203" s="59">
        <v>0.03</v>
      </c>
      <c r="K203" s="59">
        <v>0.02</v>
      </c>
      <c r="L203" s="59">
        <v>0</v>
      </c>
      <c r="M203" s="59">
        <v>0</v>
      </c>
      <c r="N203" s="59"/>
      <c r="O203" s="59"/>
    </row>
    <row r="204" spans="1:15">
      <c r="A204" s="59">
        <v>163</v>
      </c>
      <c r="B204" s="59" t="s">
        <v>1195</v>
      </c>
      <c r="C204" s="59" t="s">
        <v>23</v>
      </c>
      <c r="D204" s="24">
        <v>8</v>
      </c>
      <c r="E204" s="24">
        <v>0</v>
      </c>
      <c r="F204" s="24">
        <v>8</v>
      </c>
      <c r="G204" s="24">
        <v>0</v>
      </c>
      <c r="H204" s="59">
        <v>0</v>
      </c>
      <c r="I204" s="59">
        <v>0</v>
      </c>
      <c r="J204" s="59">
        <v>7.0000000000000007E-2</v>
      </c>
      <c r="K204" s="59">
        <v>0.02</v>
      </c>
      <c r="L204" s="59">
        <v>0</v>
      </c>
      <c r="M204" s="59">
        <v>0</v>
      </c>
      <c r="N204" s="59"/>
      <c r="O204" s="59"/>
    </row>
    <row r="205" spans="1:15">
      <c r="A205" s="152">
        <v>164</v>
      </c>
      <c r="B205" s="152" t="s">
        <v>524</v>
      </c>
      <c r="C205" s="152" t="s">
        <v>23</v>
      </c>
      <c r="D205" s="159">
        <v>0</v>
      </c>
      <c r="E205" s="159">
        <v>4</v>
      </c>
      <c r="F205" s="159">
        <v>7</v>
      </c>
      <c r="G205" s="159">
        <v>16</v>
      </c>
      <c r="H205" s="152">
        <v>-100</v>
      </c>
      <c r="I205" s="152">
        <v>-56.25</v>
      </c>
      <c r="J205" s="152">
        <v>0</v>
      </c>
      <c r="K205" s="152">
        <v>0.01</v>
      </c>
      <c r="L205" s="152">
        <v>0.04</v>
      </c>
      <c r="M205" s="152">
        <v>0.03</v>
      </c>
      <c r="N205" s="59"/>
      <c r="O205" s="59"/>
    </row>
    <row r="206" spans="1:15">
      <c r="A206" s="152">
        <v>165</v>
      </c>
      <c r="B206" s="152" t="s">
        <v>379</v>
      </c>
      <c r="C206" s="152" t="s">
        <v>23</v>
      </c>
      <c r="D206" s="159">
        <v>0</v>
      </c>
      <c r="E206" s="159">
        <v>1</v>
      </c>
      <c r="F206" s="159">
        <v>7</v>
      </c>
      <c r="G206" s="159">
        <v>5</v>
      </c>
      <c r="H206" s="152">
        <v>-100</v>
      </c>
      <c r="I206" s="152">
        <v>40</v>
      </c>
      <c r="J206" s="152">
        <v>0</v>
      </c>
      <c r="K206" s="152">
        <v>0.01</v>
      </c>
      <c r="L206" s="152">
        <v>0.01</v>
      </c>
      <c r="M206" s="152">
        <v>0.01</v>
      </c>
      <c r="N206" s="59"/>
      <c r="O206" s="59"/>
    </row>
    <row r="207" spans="1:15" hidden="1">
      <c r="A207" s="152">
        <v>166</v>
      </c>
      <c r="B207" s="152" t="s">
        <v>1122</v>
      </c>
      <c r="C207" s="152" t="s">
        <v>24</v>
      </c>
      <c r="D207" s="159">
        <v>0</v>
      </c>
      <c r="E207" s="159">
        <v>0</v>
      </c>
      <c r="F207" s="159">
        <v>7</v>
      </c>
      <c r="G207" s="159">
        <v>0</v>
      </c>
      <c r="H207" s="152">
        <v>0</v>
      </c>
      <c r="I207" s="152">
        <v>0</v>
      </c>
      <c r="J207" s="152">
        <v>0</v>
      </c>
      <c r="K207" s="152">
        <v>0.01</v>
      </c>
      <c r="L207" s="152">
        <v>0</v>
      </c>
      <c r="M207" s="152">
        <v>0</v>
      </c>
      <c r="N207" s="59"/>
      <c r="O207" s="59"/>
    </row>
    <row r="208" spans="1:15">
      <c r="A208" s="152">
        <v>167</v>
      </c>
      <c r="B208" s="152" t="s">
        <v>398</v>
      </c>
      <c r="C208" s="152" t="s">
        <v>23</v>
      </c>
      <c r="D208" s="159">
        <v>0</v>
      </c>
      <c r="E208" s="159">
        <v>10</v>
      </c>
      <c r="F208" s="159">
        <v>6</v>
      </c>
      <c r="G208" s="159">
        <v>43</v>
      </c>
      <c r="H208" s="152">
        <v>-100</v>
      </c>
      <c r="I208" s="152">
        <v>-86.05</v>
      </c>
      <c r="J208" s="152">
        <v>0</v>
      </c>
      <c r="K208" s="152">
        <v>0.01</v>
      </c>
      <c r="L208" s="152">
        <v>0.09</v>
      </c>
      <c r="M208" s="152">
        <v>0.09</v>
      </c>
      <c r="N208" s="59"/>
      <c r="O208" s="59"/>
    </row>
    <row r="209" spans="1:15">
      <c r="A209" s="152">
        <v>168</v>
      </c>
      <c r="B209" s="152" t="s">
        <v>244</v>
      </c>
      <c r="C209" s="152" t="s">
        <v>23</v>
      </c>
      <c r="D209" s="159">
        <v>0</v>
      </c>
      <c r="E209" s="159">
        <v>2</v>
      </c>
      <c r="F209" s="159">
        <v>6</v>
      </c>
      <c r="G209" s="159">
        <v>15</v>
      </c>
      <c r="H209" s="152">
        <v>-100</v>
      </c>
      <c r="I209" s="152">
        <v>-60</v>
      </c>
      <c r="J209" s="152">
        <v>0</v>
      </c>
      <c r="K209" s="152">
        <v>0.01</v>
      </c>
      <c r="L209" s="152">
        <v>0.02</v>
      </c>
      <c r="M209" s="152">
        <v>0.03</v>
      </c>
      <c r="N209" s="59"/>
      <c r="O209" s="59"/>
    </row>
    <row r="210" spans="1:15" hidden="1">
      <c r="A210" s="152">
        <v>169</v>
      </c>
      <c r="B210" s="152" t="s">
        <v>1048</v>
      </c>
      <c r="C210" s="152" t="s">
        <v>24</v>
      </c>
      <c r="D210" s="159">
        <v>0</v>
      </c>
      <c r="E210" s="159">
        <v>0</v>
      </c>
      <c r="F210" s="159">
        <v>6</v>
      </c>
      <c r="G210" s="159">
        <v>0</v>
      </c>
      <c r="H210" s="152">
        <v>0</v>
      </c>
      <c r="I210" s="152">
        <v>0</v>
      </c>
      <c r="J210" s="152">
        <v>0</v>
      </c>
      <c r="K210" s="152">
        <v>0.01</v>
      </c>
      <c r="L210" s="152">
        <v>0</v>
      </c>
      <c r="M210" s="152">
        <v>0</v>
      </c>
      <c r="N210" s="59"/>
      <c r="O210" s="59"/>
    </row>
    <row r="211" spans="1:15" hidden="1">
      <c r="A211" s="152">
        <v>170</v>
      </c>
      <c r="B211" s="152" t="s">
        <v>409</v>
      </c>
      <c r="C211" s="152" t="s">
        <v>24</v>
      </c>
      <c r="D211" s="159">
        <v>0</v>
      </c>
      <c r="E211" s="159">
        <v>11</v>
      </c>
      <c r="F211" s="159">
        <v>5</v>
      </c>
      <c r="G211" s="159">
        <v>59</v>
      </c>
      <c r="H211" s="152">
        <v>-100</v>
      </c>
      <c r="I211" s="152">
        <v>-91.53</v>
      </c>
      <c r="J211" s="152">
        <v>0</v>
      </c>
      <c r="K211" s="152">
        <v>0.01</v>
      </c>
      <c r="L211" s="152">
        <v>0.1</v>
      </c>
      <c r="M211" s="152">
        <v>0.12</v>
      </c>
      <c r="N211" s="59"/>
      <c r="O211" s="59"/>
    </row>
    <row r="212" spans="1:15">
      <c r="A212" s="152">
        <v>171</v>
      </c>
      <c r="B212" s="152" t="s">
        <v>624</v>
      </c>
      <c r="C212" s="152" t="s">
        <v>23</v>
      </c>
      <c r="D212" s="159">
        <v>2</v>
      </c>
      <c r="E212" s="159">
        <v>3</v>
      </c>
      <c r="F212" s="159">
        <v>5</v>
      </c>
      <c r="G212" s="159">
        <v>28</v>
      </c>
      <c r="H212" s="152">
        <v>-33.33</v>
      </c>
      <c r="I212" s="152">
        <v>-82.14</v>
      </c>
      <c r="J212" s="152">
        <v>0.02</v>
      </c>
      <c r="K212" s="152">
        <v>0.01</v>
      </c>
      <c r="L212" s="152">
        <v>0.03</v>
      </c>
      <c r="M212" s="152">
        <v>0.06</v>
      </c>
      <c r="N212" s="59"/>
      <c r="O212" s="59"/>
    </row>
    <row r="213" spans="1:15">
      <c r="A213" s="152">
        <v>172</v>
      </c>
      <c r="B213" s="152" t="s">
        <v>444</v>
      </c>
      <c r="C213" s="152" t="s">
        <v>23</v>
      </c>
      <c r="D213" s="159">
        <v>0</v>
      </c>
      <c r="E213" s="159">
        <v>2</v>
      </c>
      <c r="F213" s="159">
        <v>5</v>
      </c>
      <c r="G213" s="159">
        <v>23</v>
      </c>
      <c r="H213" s="152">
        <v>-100</v>
      </c>
      <c r="I213" s="152">
        <v>-78.260000000000005</v>
      </c>
      <c r="J213" s="152">
        <v>0</v>
      </c>
      <c r="K213" s="152">
        <v>0.01</v>
      </c>
      <c r="L213" s="152">
        <v>0.02</v>
      </c>
      <c r="M213" s="152">
        <v>0.05</v>
      </c>
      <c r="N213" s="59"/>
      <c r="O213" s="59"/>
    </row>
    <row r="214" spans="1:15">
      <c r="A214" s="152">
        <v>173</v>
      </c>
      <c r="B214" s="152" t="s">
        <v>442</v>
      </c>
      <c r="C214" s="152" t="s">
        <v>23</v>
      </c>
      <c r="D214" s="159">
        <v>1</v>
      </c>
      <c r="E214" s="159">
        <v>0</v>
      </c>
      <c r="F214" s="159">
        <v>5</v>
      </c>
      <c r="G214" s="159">
        <v>13</v>
      </c>
      <c r="H214" s="154">
        <v>0</v>
      </c>
      <c r="I214" s="154">
        <v>-61.54</v>
      </c>
      <c r="J214" s="154">
        <v>0.01</v>
      </c>
      <c r="K214" s="154">
        <v>0.01</v>
      </c>
      <c r="L214" s="154">
        <v>0</v>
      </c>
      <c r="M214" s="154">
        <v>0.03</v>
      </c>
      <c r="N214" s="59"/>
      <c r="O214" s="59"/>
    </row>
    <row r="215" spans="1:15" hidden="1">
      <c r="A215" s="152">
        <v>174</v>
      </c>
      <c r="B215" s="152" t="s">
        <v>1119</v>
      </c>
      <c r="C215" s="152" t="s">
        <v>24</v>
      </c>
      <c r="D215" s="159">
        <v>0</v>
      </c>
      <c r="E215" s="159">
        <v>3</v>
      </c>
      <c r="F215" s="159">
        <v>5</v>
      </c>
      <c r="G215" s="159">
        <v>8</v>
      </c>
      <c r="H215" s="152">
        <v>-100</v>
      </c>
      <c r="I215" s="152">
        <v>-37.5</v>
      </c>
      <c r="J215" s="152">
        <v>0</v>
      </c>
      <c r="K215" s="152">
        <v>0.01</v>
      </c>
      <c r="L215" s="152">
        <v>0.03</v>
      </c>
      <c r="M215" s="152">
        <v>0.02</v>
      </c>
      <c r="N215" s="59"/>
      <c r="O215" s="59"/>
    </row>
    <row r="216" spans="1:15">
      <c r="A216" s="152">
        <v>175</v>
      </c>
      <c r="B216" s="152" t="s">
        <v>412</v>
      </c>
      <c r="C216" s="152" t="s">
        <v>23</v>
      </c>
      <c r="D216" s="159">
        <v>1</v>
      </c>
      <c r="E216" s="159">
        <v>0</v>
      </c>
      <c r="F216" s="159">
        <v>5</v>
      </c>
      <c r="G216" s="159">
        <v>0</v>
      </c>
      <c r="H216" s="152">
        <v>0</v>
      </c>
      <c r="I216" s="152">
        <v>0</v>
      </c>
      <c r="J216" s="152">
        <v>0.01</v>
      </c>
      <c r="K216" s="152">
        <v>0.01</v>
      </c>
      <c r="L216" s="152">
        <v>0</v>
      </c>
      <c r="M216" s="152">
        <v>0</v>
      </c>
      <c r="N216" s="59"/>
      <c r="O216" s="59"/>
    </row>
    <row r="217" spans="1:15">
      <c r="A217" s="152">
        <v>176</v>
      </c>
      <c r="B217" s="152" t="s">
        <v>1134</v>
      </c>
      <c r="C217" s="152" t="s">
        <v>23</v>
      </c>
      <c r="D217" s="159">
        <v>0</v>
      </c>
      <c r="E217" s="159">
        <v>0</v>
      </c>
      <c r="F217" s="159">
        <v>5</v>
      </c>
      <c r="G217" s="159">
        <v>0</v>
      </c>
      <c r="H217" s="152">
        <v>0</v>
      </c>
      <c r="I217" s="152">
        <v>0</v>
      </c>
      <c r="J217" s="152">
        <v>0</v>
      </c>
      <c r="K217" s="152">
        <v>0.01</v>
      </c>
      <c r="L217" s="152">
        <v>0</v>
      </c>
      <c r="M217" s="152">
        <v>0</v>
      </c>
      <c r="N217" s="59"/>
      <c r="O217" s="59"/>
    </row>
    <row r="218" spans="1:15">
      <c r="A218" s="152">
        <v>177</v>
      </c>
      <c r="B218" s="152" t="s">
        <v>516</v>
      </c>
      <c r="C218" s="152" t="s">
        <v>23</v>
      </c>
      <c r="D218" s="159">
        <v>2</v>
      </c>
      <c r="E218" s="159">
        <v>7</v>
      </c>
      <c r="F218" s="159">
        <v>4</v>
      </c>
      <c r="G218" s="159">
        <v>25</v>
      </c>
      <c r="H218" s="152">
        <v>-71.430000000000007</v>
      </c>
      <c r="I218" s="152">
        <v>-84</v>
      </c>
      <c r="J218" s="152">
        <v>0.02</v>
      </c>
      <c r="K218" s="152">
        <v>0.01</v>
      </c>
      <c r="L218" s="152">
        <v>7.0000000000000007E-2</v>
      </c>
      <c r="M218" s="152">
        <v>0.05</v>
      </c>
      <c r="N218" s="59"/>
      <c r="O218" s="59"/>
    </row>
    <row r="219" spans="1:15" hidden="1">
      <c r="A219" s="152">
        <v>178</v>
      </c>
      <c r="B219" s="152" t="s">
        <v>1174</v>
      </c>
      <c r="C219" s="152" t="s">
        <v>24</v>
      </c>
      <c r="D219" s="159">
        <v>0</v>
      </c>
      <c r="E219" s="159">
        <v>0</v>
      </c>
      <c r="F219" s="159">
        <v>4</v>
      </c>
      <c r="G219" s="159">
        <v>0</v>
      </c>
      <c r="H219" s="152">
        <v>0</v>
      </c>
      <c r="I219" s="152">
        <v>0</v>
      </c>
      <c r="J219" s="152">
        <v>0</v>
      </c>
      <c r="K219" s="152">
        <v>0.01</v>
      </c>
      <c r="L219" s="152">
        <v>0</v>
      </c>
      <c r="M219" s="152">
        <v>0</v>
      </c>
      <c r="N219" s="59"/>
      <c r="O219" s="59"/>
    </row>
    <row r="220" spans="1:15">
      <c r="A220" s="152">
        <v>179</v>
      </c>
      <c r="B220" s="152" t="s">
        <v>152</v>
      </c>
      <c r="C220" s="152" t="s">
        <v>23</v>
      </c>
      <c r="D220" s="159">
        <v>1</v>
      </c>
      <c r="E220" s="159">
        <v>15</v>
      </c>
      <c r="F220" s="159">
        <v>3</v>
      </c>
      <c r="G220" s="159">
        <v>81</v>
      </c>
      <c r="H220" s="152">
        <v>-93.33</v>
      </c>
      <c r="I220" s="152">
        <v>-96.3</v>
      </c>
      <c r="J220" s="152">
        <v>0.01</v>
      </c>
      <c r="K220" s="152">
        <v>0.01</v>
      </c>
      <c r="L220" s="152">
        <v>0.14000000000000001</v>
      </c>
      <c r="M220" s="152">
        <v>0.17</v>
      </c>
      <c r="N220" s="59"/>
      <c r="O220" s="59"/>
    </row>
    <row r="221" spans="1:15">
      <c r="A221" s="152">
        <v>180</v>
      </c>
      <c r="B221" s="152" t="s">
        <v>1133</v>
      </c>
      <c r="C221" s="152" t="s">
        <v>23</v>
      </c>
      <c r="D221" s="159">
        <v>0</v>
      </c>
      <c r="E221" s="159">
        <v>0</v>
      </c>
      <c r="F221" s="159">
        <v>3</v>
      </c>
      <c r="G221" s="159">
        <v>2</v>
      </c>
      <c r="H221" s="152">
        <v>0</v>
      </c>
      <c r="I221" s="152">
        <v>50</v>
      </c>
      <c r="J221" s="152">
        <v>0</v>
      </c>
      <c r="K221" s="152">
        <v>0.01</v>
      </c>
      <c r="L221" s="152">
        <v>0</v>
      </c>
      <c r="M221" s="152">
        <v>0</v>
      </c>
      <c r="N221" s="59"/>
      <c r="O221" s="59"/>
    </row>
    <row r="222" spans="1:15" hidden="1">
      <c r="A222" s="152">
        <v>181</v>
      </c>
      <c r="B222" s="152" t="s">
        <v>1203</v>
      </c>
      <c r="C222" s="152" t="s">
        <v>1204</v>
      </c>
      <c r="D222" s="159">
        <v>0</v>
      </c>
      <c r="E222" s="159">
        <v>0</v>
      </c>
      <c r="F222" s="159">
        <v>3</v>
      </c>
      <c r="G222" s="159">
        <v>0</v>
      </c>
      <c r="H222" s="152">
        <v>0</v>
      </c>
      <c r="I222" s="152">
        <v>0</v>
      </c>
      <c r="J222" s="152">
        <v>0</v>
      </c>
      <c r="K222" s="152">
        <v>0.01</v>
      </c>
      <c r="L222" s="152">
        <v>0</v>
      </c>
      <c r="M222" s="152">
        <v>0</v>
      </c>
      <c r="N222" s="59"/>
      <c r="O222" s="59"/>
    </row>
    <row r="223" spans="1:15" hidden="1">
      <c r="A223" s="152">
        <v>182</v>
      </c>
      <c r="B223" s="152" t="s">
        <v>242</v>
      </c>
      <c r="C223" s="152" t="s">
        <v>24</v>
      </c>
      <c r="D223" s="159">
        <v>0</v>
      </c>
      <c r="E223" s="159">
        <v>294</v>
      </c>
      <c r="F223" s="159">
        <v>2</v>
      </c>
      <c r="G223" s="159">
        <v>1171</v>
      </c>
      <c r="H223" s="152">
        <v>-100</v>
      </c>
      <c r="I223" s="152">
        <v>-99.83</v>
      </c>
      <c r="J223" s="152">
        <v>0</v>
      </c>
      <c r="K223" s="152">
        <v>0</v>
      </c>
      <c r="L223" s="152">
        <v>2.78</v>
      </c>
      <c r="M223" s="152">
        <v>2.44</v>
      </c>
      <c r="N223" s="59"/>
      <c r="O223" s="59"/>
    </row>
    <row r="224" spans="1:15">
      <c r="A224" s="152">
        <v>183</v>
      </c>
      <c r="B224" s="152" t="s">
        <v>578</v>
      </c>
      <c r="C224" s="152" t="s">
        <v>23</v>
      </c>
      <c r="D224" s="159">
        <v>2</v>
      </c>
      <c r="E224" s="159">
        <v>0</v>
      </c>
      <c r="F224" s="159">
        <v>2</v>
      </c>
      <c r="G224" s="159">
        <v>2</v>
      </c>
      <c r="H224" s="152">
        <v>0</v>
      </c>
      <c r="I224" s="152">
        <v>0</v>
      </c>
      <c r="J224" s="152">
        <v>0.02</v>
      </c>
      <c r="K224" s="152">
        <v>0</v>
      </c>
      <c r="L224" s="152">
        <v>0</v>
      </c>
      <c r="M224" s="152">
        <v>0</v>
      </c>
      <c r="N224" s="59"/>
      <c r="O224" s="59"/>
    </row>
    <row r="225" spans="1:15" hidden="1">
      <c r="A225" s="152">
        <v>184</v>
      </c>
      <c r="B225" s="152" t="s">
        <v>513</v>
      </c>
      <c r="C225" s="152" t="s">
        <v>1024</v>
      </c>
      <c r="D225" s="159">
        <v>0</v>
      </c>
      <c r="E225" s="159">
        <v>0</v>
      </c>
      <c r="F225" s="159">
        <v>2</v>
      </c>
      <c r="G225" s="159">
        <v>2</v>
      </c>
      <c r="H225" s="152">
        <v>0</v>
      </c>
      <c r="I225" s="152">
        <v>0</v>
      </c>
      <c r="J225" s="152">
        <v>0</v>
      </c>
      <c r="K225" s="152">
        <v>0</v>
      </c>
      <c r="L225" s="152">
        <v>0</v>
      </c>
      <c r="M225" s="152">
        <v>0</v>
      </c>
      <c r="N225" s="59"/>
      <c r="O225" s="59"/>
    </row>
    <row r="226" spans="1:15">
      <c r="A226" s="152">
        <v>185</v>
      </c>
      <c r="B226" s="152" t="s">
        <v>699</v>
      </c>
      <c r="C226" s="152" t="s">
        <v>23</v>
      </c>
      <c r="D226" s="159">
        <v>0</v>
      </c>
      <c r="E226" s="159">
        <v>1</v>
      </c>
      <c r="F226" s="159">
        <v>2</v>
      </c>
      <c r="G226" s="159">
        <v>1</v>
      </c>
      <c r="H226" s="152">
        <v>-100</v>
      </c>
      <c r="I226" s="152">
        <v>100</v>
      </c>
      <c r="J226" s="152">
        <v>0</v>
      </c>
      <c r="K226" s="152">
        <v>0</v>
      </c>
      <c r="L226" s="152">
        <v>0.01</v>
      </c>
      <c r="M226" s="152">
        <v>0</v>
      </c>
      <c r="N226" s="59"/>
      <c r="O226" s="59"/>
    </row>
    <row r="227" spans="1:15">
      <c r="A227" s="152">
        <v>186</v>
      </c>
      <c r="B227" s="152" t="s">
        <v>1136</v>
      </c>
      <c r="C227" s="152" t="s">
        <v>23</v>
      </c>
      <c r="D227" s="159">
        <v>1</v>
      </c>
      <c r="E227" s="159">
        <v>1</v>
      </c>
      <c r="F227" s="159">
        <v>2</v>
      </c>
      <c r="G227" s="159">
        <v>1</v>
      </c>
      <c r="H227" s="152">
        <v>0</v>
      </c>
      <c r="I227" s="152">
        <v>100</v>
      </c>
      <c r="J227" s="152">
        <v>0.01</v>
      </c>
      <c r="K227" s="152">
        <v>0</v>
      </c>
      <c r="L227" s="152">
        <v>0.01</v>
      </c>
      <c r="M227" s="152">
        <v>0</v>
      </c>
      <c r="N227" s="59"/>
      <c r="O227" s="59"/>
    </row>
    <row r="228" spans="1:15">
      <c r="A228" s="152">
        <v>187</v>
      </c>
      <c r="B228" s="152" t="s">
        <v>1205</v>
      </c>
      <c r="C228" s="152" t="s">
        <v>23</v>
      </c>
      <c r="D228" s="159">
        <v>2</v>
      </c>
      <c r="E228" s="159">
        <v>0</v>
      </c>
      <c r="F228" s="159">
        <v>2</v>
      </c>
      <c r="G228" s="159">
        <v>0</v>
      </c>
      <c r="H228" s="152">
        <v>0</v>
      </c>
      <c r="I228" s="152">
        <v>0</v>
      </c>
      <c r="J228" s="152">
        <v>0.02</v>
      </c>
      <c r="K228" s="152">
        <v>0</v>
      </c>
      <c r="L228" s="152">
        <v>0</v>
      </c>
      <c r="M228" s="152">
        <v>0</v>
      </c>
      <c r="N228" s="59"/>
      <c r="O228" s="59"/>
    </row>
    <row r="229" spans="1:15">
      <c r="A229" s="152">
        <v>188</v>
      </c>
      <c r="B229" s="152" t="s">
        <v>1099</v>
      </c>
      <c r="C229" s="152" t="s">
        <v>23</v>
      </c>
      <c r="D229" s="159">
        <v>0</v>
      </c>
      <c r="E229" s="159">
        <v>0</v>
      </c>
      <c r="F229" s="159">
        <v>2</v>
      </c>
      <c r="G229" s="159">
        <v>0</v>
      </c>
      <c r="H229" s="152">
        <v>0</v>
      </c>
      <c r="I229" s="152">
        <v>0</v>
      </c>
      <c r="J229" s="152">
        <v>0</v>
      </c>
      <c r="K229" s="152">
        <v>0</v>
      </c>
      <c r="L229" s="152">
        <v>0</v>
      </c>
      <c r="M229" s="152">
        <v>0</v>
      </c>
    </row>
    <row r="230" spans="1:15" hidden="1">
      <c r="A230" s="152">
        <v>189</v>
      </c>
      <c r="B230" s="152" t="s">
        <v>1196</v>
      </c>
      <c r="C230" s="152" t="s">
        <v>24</v>
      </c>
      <c r="D230" s="159">
        <v>2</v>
      </c>
      <c r="E230" s="159">
        <v>0</v>
      </c>
      <c r="F230" s="159">
        <v>2</v>
      </c>
      <c r="G230" s="159">
        <v>0</v>
      </c>
      <c r="H230" s="152">
        <v>0</v>
      </c>
      <c r="I230" s="152">
        <v>0</v>
      </c>
      <c r="J230" s="152">
        <v>0.02</v>
      </c>
      <c r="K230" s="152">
        <v>0</v>
      </c>
      <c r="L230" s="152">
        <v>0</v>
      </c>
      <c r="M230" s="152">
        <v>0</v>
      </c>
    </row>
    <row r="231" spans="1:15">
      <c r="A231" s="152">
        <v>190</v>
      </c>
      <c r="B231" s="152" t="s">
        <v>443</v>
      </c>
      <c r="C231" s="152" t="s">
        <v>23</v>
      </c>
      <c r="D231" s="159">
        <v>0</v>
      </c>
      <c r="E231" s="159">
        <v>20</v>
      </c>
      <c r="F231" s="159">
        <v>1</v>
      </c>
      <c r="G231" s="159">
        <v>82</v>
      </c>
      <c r="H231" s="152">
        <v>-100</v>
      </c>
      <c r="I231" s="152">
        <v>-98.78</v>
      </c>
      <c r="J231" s="152">
        <v>0</v>
      </c>
      <c r="K231" s="152">
        <v>0</v>
      </c>
      <c r="L231" s="152">
        <v>0.19</v>
      </c>
      <c r="M231" s="152">
        <v>0.17</v>
      </c>
    </row>
    <row r="232" spans="1:15">
      <c r="A232" s="152">
        <v>191</v>
      </c>
      <c r="B232" s="152" t="s">
        <v>1138</v>
      </c>
      <c r="C232" s="152" t="s">
        <v>23</v>
      </c>
      <c r="D232" s="159">
        <v>1</v>
      </c>
      <c r="E232" s="159">
        <v>11</v>
      </c>
      <c r="F232" s="159">
        <v>1</v>
      </c>
      <c r="G232" s="159">
        <v>32</v>
      </c>
      <c r="H232" s="152">
        <v>-90.91</v>
      </c>
      <c r="I232" s="152">
        <v>-96.88</v>
      </c>
      <c r="J232" s="152">
        <v>0.01</v>
      </c>
      <c r="K232" s="152">
        <v>0</v>
      </c>
      <c r="L232" s="152">
        <v>0.1</v>
      </c>
      <c r="M232" s="152">
        <v>7.0000000000000007E-2</v>
      </c>
    </row>
    <row r="233" spans="1:15">
      <c r="A233" s="152">
        <v>192</v>
      </c>
      <c r="B233" s="152" t="s">
        <v>521</v>
      </c>
      <c r="C233" s="152" t="s">
        <v>23</v>
      </c>
      <c r="D233" s="159">
        <v>0</v>
      </c>
      <c r="E233" s="159">
        <v>4</v>
      </c>
      <c r="F233" s="159">
        <v>1</v>
      </c>
      <c r="G233" s="159">
        <v>26</v>
      </c>
      <c r="H233" s="152">
        <v>-100</v>
      </c>
      <c r="I233" s="152">
        <v>-96.15</v>
      </c>
      <c r="J233" s="152">
        <v>0</v>
      </c>
      <c r="K233" s="152">
        <v>0</v>
      </c>
      <c r="L233" s="152">
        <v>0.04</v>
      </c>
      <c r="M233" s="152">
        <v>0.05</v>
      </c>
    </row>
    <row r="234" spans="1:15">
      <c r="A234" s="152">
        <v>193</v>
      </c>
      <c r="B234" s="152" t="s">
        <v>182</v>
      </c>
      <c r="C234" s="152" t="s">
        <v>23</v>
      </c>
      <c r="D234" s="159">
        <v>0</v>
      </c>
      <c r="E234" s="159">
        <v>0</v>
      </c>
      <c r="F234" s="159">
        <v>1</v>
      </c>
      <c r="G234" s="159">
        <v>2</v>
      </c>
      <c r="H234" s="152">
        <v>0</v>
      </c>
      <c r="I234" s="152">
        <v>-50</v>
      </c>
      <c r="J234" s="152">
        <v>0</v>
      </c>
      <c r="K234" s="152">
        <v>0</v>
      </c>
      <c r="L234" s="152">
        <v>0</v>
      </c>
      <c r="M234" s="152">
        <v>0</v>
      </c>
    </row>
    <row r="235" spans="1:15">
      <c r="A235" s="152">
        <v>194</v>
      </c>
      <c r="B235" s="152" t="s">
        <v>1135</v>
      </c>
      <c r="C235" s="152" t="s">
        <v>23</v>
      </c>
      <c r="D235" s="159">
        <v>0</v>
      </c>
      <c r="E235" s="159">
        <v>0</v>
      </c>
      <c r="F235" s="159">
        <v>1</v>
      </c>
      <c r="G235" s="159">
        <v>1</v>
      </c>
      <c r="H235" s="152">
        <v>0</v>
      </c>
      <c r="I235" s="152">
        <v>0</v>
      </c>
      <c r="J235" s="152">
        <v>0</v>
      </c>
      <c r="K235" s="152">
        <v>0</v>
      </c>
      <c r="L235" s="152">
        <v>0</v>
      </c>
      <c r="M235" s="152">
        <v>0</v>
      </c>
    </row>
    <row r="236" spans="1:15">
      <c r="A236" s="152">
        <v>195</v>
      </c>
      <c r="B236" s="152" t="s">
        <v>1140</v>
      </c>
      <c r="C236" s="152" t="s">
        <v>23</v>
      </c>
      <c r="D236" s="159">
        <v>0</v>
      </c>
      <c r="E236" s="159">
        <v>0</v>
      </c>
      <c r="F236" s="159">
        <v>1</v>
      </c>
      <c r="G236" s="159">
        <v>1</v>
      </c>
      <c r="H236" s="152">
        <v>0</v>
      </c>
      <c r="I236" s="152">
        <v>0</v>
      </c>
      <c r="J236" s="152">
        <v>0</v>
      </c>
      <c r="K236" s="152">
        <v>0</v>
      </c>
      <c r="L236" s="152">
        <v>0</v>
      </c>
      <c r="M236" s="152">
        <v>0</v>
      </c>
    </row>
    <row r="237" spans="1:15" hidden="1">
      <c r="A237" s="152">
        <v>196</v>
      </c>
      <c r="B237" s="152" t="s">
        <v>1206</v>
      </c>
      <c r="C237" s="152" t="s">
        <v>24</v>
      </c>
      <c r="D237" s="159">
        <v>1</v>
      </c>
      <c r="E237" s="159">
        <v>1</v>
      </c>
      <c r="F237" s="159">
        <v>1</v>
      </c>
      <c r="G237" s="159">
        <v>1</v>
      </c>
      <c r="H237" s="152">
        <v>0</v>
      </c>
      <c r="I237" s="152">
        <v>0</v>
      </c>
      <c r="J237" s="152">
        <v>0.01</v>
      </c>
      <c r="K237" s="152">
        <v>0</v>
      </c>
      <c r="L237" s="152">
        <v>0.01</v>
      </c>
      <c r="M237" s="152">
        <v>0</v>
      </c>
    </row>
    <row r="238" spans="1:15">
      <c r="A238" s="152">
        <v>197</v>
      </c>
      <c r="B238" s="152" t="s">
        <v>1207</v>
      </c>
      <c r="C238" s="152" t="s">
        <v>23</v>
      </c>
      <c r="D238" s="159">
        <v>1</v>
      </c>
      <c r="E238" s="159">
        <v>0</v>
      </c>
      <c r="F238" s="159">
        <v>1</v>
      </c>
      <c r="G238" s="159">
        <v>0</v>
      </c>
      <c r="H238" s="152">
        <v>0</v>
      </c>
      <c r="I238" s="152">
        <v>0</v>
      </c>
      <c r="J238" s="152">
        <v>0.01</v>
      </c>
      <c r="K238" s="152">
        <v>0</v>
      </c>
      <c r="L238" s="152">
        <v>0</v>
      </c>
      <c r="M238" s="152">
        <v>0</v>
      </c>
    </row>
    <row r="239" spans="1:15">
      <c r="A239" s="152">
        <v>198</v>
      </c>
      <c r="B239" s="152" t="s">
        <v>1175</v>
      </c>
      <c r="C239" s="152" t="s">
        <v>23</v>
      </c>
      <c r="D239" s="159">
        <v>0</v>
      </c>
      <c r="E239" s="159">
        <v>0</v>
      </c>
      <c r="F239" s="159">
        <v>1</v>
      </c>
      <c r="G239" s="159">
        <v>0</v>
      </c>
      <c r="H239" s="152">
        <v>0</v>
      </c>
      <c r="I239" s="152">
        <v>0</v>
      </c>
      <c r="J239" s="152">
        <v>0</v>
      </c>
      <c r="K239" s="152">
        <v>0</v>
      </c>
      <c r="L239" s="152">
        <v>0</v>
      </c>
      <c r="M239" s="152">
        <v>0</v>
      </c>
    </row>
    <row r="240" spans="1:15" hidden="1">
      <c r="A240" s="152">
        <v>199</v>
      </c>
      <c r="B240" s="152" t="s">
        <v>586</v>
      </c>
      <c r="C240" s="152" t="s">
        <v>24</v>
      </c>
      <c r="D240" s="159">
        <v>0</v>
      </c>
      <c r="E240" s="159">
        <v>6</v>
      </c>
      <c r="F240" s="159">
        <v>0</v>
      </c>
      <c r="G240" s="159">
        <v>22</v>
      </c>
      <c r="H240" s="152">
        <v>-100</v>
      </c>
      <c r="I240" s="152">
        <v>-100</v>
      </c>
      <c r="J240" s="152">
        <v>0</v>
      </c>
      <c r="K240" s="152">
        <v>0</v>
      </c>
      <c r="L240" s="152">
        <v>0.06</v>
      </c>
      <c r="M240" s="152">
        <v>0.05</v>
      </c>
    </row>
    <row r="241" spans="1:13">
      <c r="A241" s="152">
        <v>200</v>
      </c>
      <c r="B241" s="152" t="s">
        <v>245</v>
      </c>
      <c r="C241" s="152" t="s">
        <v>23</v>
      </c>
      <c r="D241" s="159">
        <v>0</v>
      </c>
      <c r="E241" s="159">
        <v>3</v>
      </c>
      <c r="F241" s="159">
        <v>0</v>
      </c>
      <c r="G241" s="159">
        <v>18</v>
      </c>
      <c r="H241" s="152">
        <v>-100</v>
      </c>
      <c r="I241" s="152">
        <v>-100</v>
      </c>
      <c r="J241" s="152">
        <v>0</v>
      </c>
      <c r="K241" s="152">
        <v>0</v>
      </c>
      <c r="L241" s="152">
        <v>0.03</v>
      </c>
      <c r="M241" s="152">
        <v>0.04</v>
      </c>
    </row>
    <row r="242" spans="1:13">
      <c r="A242" s="152">
        <v>201</v>
      </c>
      <c r="B242" s="152" t="s">
        <v>373</v>
      </c>
      <c r="C242" s="152" t="s">
        <v>23</v>
      </c>
      <c r="D242" s="159">
        <v>0</v>
      </c>
      <c r="E242" s="159">
        <v>3</v>
      </c>
      <c r="F242" s="159">
        <v>0</v>
      </c>
      <c r="G242" s="159">
        <v>17</v>
      </c>
      <c r="H242" s="152">
        <v>-100</v>
      </c>
      <c r="I242" s="152">
        <v>-100</v>
      </c>
      <c r="J242" s="152">
        <v>0</v>
      </c>
      <c r="K242" s="152">
        <v>0</v>
      </c>
      <c r="L242" s="152">
        <v>0.03</v>
      </c>
      <c r="M242" s="152">
        <v>0.04</v>
      </c>
    </row>
    <row r="243" spans="1:13">
      <c r="A243" s="152">
        <v>202</v>
      </c>
      <c r="B243" s="152" t="s">
        <v>249</v>
      </c>
      <c r="C243" s="152" t="s">
        <v>23</v>
      </c>
      <c r="D243" s="159">
        <v>0</v>
      </c>
      <c r="E243" s="159">
        <v>1</v>
      </c>
      <c r="F243" s="159">
        <v>0</v>
      </c>
      <c r="G243" s="159">
        <v>11</v>
      </c>
      <c r="H243" s="152">
        <v>-100</v>
      </c>
      <c r="I243" s="152">
        <v>-100</v>
      </c>
      <c r="J243" s="152">
        <v>0</v>
      </c>
      <c r="K243" s="152">
        <v>0</v>
      </c>
      <c r="L243" s="152">
        <v>0.01</v>
      </c>
      <c r="M243" s="152">
        <v>0.02</v>
      </c>
    </row>
    <row r="244" spans="1:13">
      <c r="A244" s="152">
        <v>203</v>
      </c>
      <c r="B244" s="152" t="s">
        <v>368</v>
      </c>
      <c r="C244" s="152" t="s">
        <v>23</v>
      </c>
      <c r="D244" s="159">
        <v>0</v>
      </c>
      <c r="E244" s="159">
        <v>1</v>
      </c>
      <c r="F244" s="159">
        <v>0</v>
      </c>
      <c r="G244" s="159">
        <v>10</v>
      </c>
      <c r="H244" s="152">
        <v>-100</v>
      </c>
      <c r="I244" s="152">
        <v>-100</v>
      </c>
      <c r="J244" s="152">
        <v>0</v>
      </c>
      <c r="K244" s="152">
        <v>0</v>
      </c>
      <c r="L244" s="152">
        <v>0.01</v>
      </c>
      <c r="M244" s="152">
        <v>0.02</v>
      </c>
    </row>
    <row r="245" spans="1:13">
      <c r="A245" s="152">
        <v>204</v>
      </c>
      <c r="B245" s="152" t="s">
        <v>404</v>
      </c>
      <c r="C245" s="152" t="s">
        <v>23</v>
      </c>
      <c r="D245" s="159">
        <v>0</v>
      </c>
      <c r="E245" s="159">
        <v>1</v>
      </c>
      <c r="F245" s="159">
        <v>0</v>
      </c>
      <c r="G245" s="159">
        <v>8</v>
      </c>
      <c r="H245" s="152">
        <v>-100</v>
      </c>
      <c r="I245" s="152">
        <v>-100</v>
      </c>
      <c r="J245" s="152">
        <v>0</v>
      </c>
      <c r="K245" s="152">
        <v>0</v>
      </c>
      <c r="L245" s="152">
        <v>0.01</v>
      </c>
      <c r="M245" s="152">
        <v>0.02</v>
      </c>
    </row>
    <row r="246" spans="1:13" hidden="1">
      <c r="A246" s="152">
        <v>205</v>
      </c>
      <c r="B246" s="152" t="s">
        <v>425</v>
      </c>
      <c r="C246" s="152" t="s">
        <v>1100</v>
      </c>
      <c r="D246" s="159">
        <v>0</v>
      </c>
      <c r="E246" s="159">
        <v>2</v>
      </c>
      <c r="F246" s="159">
        <v>0</v>
      </c>
      <c r="G246" s="159">
        <v>5</v>
      </c>
      <c r="H246" s="152">
        <v>-100</v>
      </c>
      <c r="I246" s="152">
        <v>-100</v>
      </c>
      <c r="J246" s="152">
        <v>0</v>
      </c>
      <c r="K246" s="152">
        <v>0</v>
      </c>
      <c r="L246" s="152">
        <v>0.02</v>
      </c>
      <c r="M246" s="152">
        <v>0.01</v>
      </c>
    </row>
    <row r="247" spans="1:13" hidden="1">
      <c r="A247" s="152">
        <v>206</v>
      </c>
      <c r="B247" s="152" t="s">
        <v>1198</v>
      </c>
      <c r="C247" s="152" t="s">
        <v>24</v>
      </c>
      <c r="D247" s="159">
        <v>0</v>
      </c>
      <c r="E247" s="159">
        <v>5</v>
      </c>
      <c r="F247" s="159">
        <v>0</v>
      </c>
      <c r="G247" s="159">
        <v>5</v>
      </c>
      <c r="H247" s="152">
        <v>-100</v>
      </c>
      <c r="I247" s="152">
        <v>-100</v>
      </c>
      <c r="J247" s="152">
        <v>0</v>
      </c>
      <c r="K247" s="152">
        <v>0</v>
      </c>
      <c r="L247" s="152">
        <v>0.05</v>
      </c>
      <c r="M247" s="152">
        <v>0.01</v>
      </c>
    </row>
    <row r="248" spans="1:13" hidden="1">
      <c r="A248" s="152">
        <v>207</v>
      </c>
      <c r="B248" s="152" t="s">
        <v>1199</v>
      </c>
      <c r="C248" s="152" t="s">
        <v>24</v>
      </c>
      <c r="D248" s="159">
        <v>0</v>
      </c>
      <c r="E248" s="159">
        <v>2</v>
      </c>
      <c r="F248" s="159">
        <v>0</v>
      </c>
      <c r="G248" s="159">
        <v>2</v>
      </c>
      <c r="H248" s="152">
        <v>-100</v>
      </c>
      <c r="I248" s="152">
        <v>-100</v>
      </c>
      <c r="J248" s="152">
        <v>0</v>
      </c>
      <c r="K248" s="152">
        <v>0</v>
      </c>
      <c r="L248" s="152">
        <v>0.02</v>
      </c>
      <c r="M248" s="152">
        <v>0</v>
      </c>
    </row>
    <row r="249" spans="1:13">
      <c r="A249" s="152">
        <v>208</v>
      </c>
      <c r="B249" s="152" t="s">
        <v>456</v>
      </c>
      <c r="C249" s="152" t="s">
        <v>23</v>
      </c>
      <c r="D249" s="159">
        <v>0</v>
      </c>
      <c r="E249" s="159">
        <v>0</v>
      </c>
      <c r="F249" s="159">
        <v>0</v>
      </c>
      <c r="G249" s="159">
        <v>2</v>
      </c>
      <c r="H249" s="152">
        <v>0</v>
      </c>
      <c r="I249" s="152">
        <v>-100</v>
      </c>
      <c r="J249" s="152">
        <v>0</v>
      </c>
      <c r="K249" s="152">
        <v>0</v>
      </c>
      <c r="L249" s="152">
        <v>0</v>
      </c>
      <c r="M249" s="152">
        <v>0</v>
      </c>
    </row>
    <row r="250" spans="1:13">
      <c r="A250" s="152">
        <v>209</v>
      </c>
      <c r="B250" s="152" t="s">
        <v>216</v>
      </c>
      <c r="C250" s="152" t="s">
        <v>23</v>
      </c>
      <c r="D250" s="159">
        <v>0</v>
      </c>
      <c r="E250" s="159">
        <v>0</v>
      </c>
      <c r="F250" s="159">
        <v>0</v>
      </c>
      <c r="G250" s="159">
        <v>2</v>
      </c>
      <c r="H250" s="152">
        <v>0</v>
      </c>
      <c r="I250" s="152">
        <v>-100</v>
      </c>
      <c r="J250" s="152">
        <v>0</v>
      </c>
      <c r="K250" s="152">
        <v>0</v>
      </c>
      <c r="L250" s="152">
        <v>0</v>
      </c>
      <c r="M250" s="152">
        <v>0</v>
      </c>
    </row>
    <row r="251" spans="1:13">
      <c r="A251" s="152">
        <v>210</v>
      </c>
      <c r="B251" s="152" t="s">
        <v>1139</v>
      </c>
      <c r="C251" s="152" t="s">
        <v>23</v>
      </c>
      <c r="D251" s="159">
        <v>0</v>
      </c>
      <c r="E251" s="159">
        <v>0</v>
      </c>
      <c r="F251" s="159">
        <v>0</v>
      </c>
      <c r="G251" s="159">
        <v>1</v>
      </c>
      <c r="H251" s="152">
        <v>0</v>
      </c>
      <c r="I251" s="152">
        <v>-100</v>
      </c>
      <c r="J251" s="152">
        <v>0</v>
      </c>
      <c r="K251" s="152">
        <v>0</v>
      </c>
      <c r="L251" s="152">
        <v>0</v>
      </c>
      <c r="M251" s="152">
        <v>0</v>
      </c>
    </row>
    <row r="252" spans="1:13">
      <c r="A252" s="152">
        <v>211</v>
      </c>
      <c r="B252" s="152" t="s">
        <v>1176</v>
      </c>
      <c r="C252" s="152" t="s">
        <v>23</v>
      </c>
      <c r="D252" s="159">
        <v>0</v>
      </c>
      <c r="E252" s="159">
        <v>0</v>
      </c>
      <c r="F252" s="159">
        <v>0</v>
      </c>
      <c r="G252" s="159">
        <v>1</v>
      </c>
      <c r="H252" s="152">
        <v>0</v>
      </c>
      <c r="I252" s="152">
        <v>-100</v>
      </c>
      <c r="J252" s="152">
        <v>0</v>
      </c>
      <c r="K252" s="152">
        <v>0</v>
      </c>
      <c r="L252" s="152">
        <v>0</v>
      </c>
      <c r="M252" s="152">
        <v>0</v>
      </c>
    </row>
    <row r="253" spans="1:13">
      <c r="A253" s="152">
        <v>212</v>
      </c>
      <c r="B253" s="152" t="s">
        <v>1208</v>
      </c>
      <c r="C253" s="152" t="s">
        <v>23</v>
      </c>
      <c r="D253" s="159">
        <v>0</v>
      </c>
      <c r="E253" s="159">
        <v>1</v>
      </c>
      <c r="F253" s="159">
        <v>0</v>
      </c>
      <c r="G253" s="159">
        <v>1</v>
      </c>
      <c r="H253" s="152">
        <v>-100</v>
      </c>
      <c r="I253" s="152">
        <v>-100</v>
      </c>
      <c r="J253" s="152">
        <v>0</v>
      </c>
      <c r="K253" s="152">
        <v>0</v>
      </c>
      <c r="L253" s="152">
        <v>0.01</v>
      </c>
      <c r="M253" s="152">
        <v>0</v>
      </c>
    </row>
    <row r="254" spans="1:13">
      <c r="A254" s="152"/>
      <c r="B254" s="152" t="s">
        <v>477</v>
      </c>
      <c r="C254" s="152"/>
      <c r="D254" s="159">
        <f>SUBTOTAL(109,getAggRechargeModels619[antalPerioden])</f>
        <v>4549</v>
      </c>
      <c r="E254" s="159">
        <f>SUBTOTAL(109,getAggRechargeModels619[antalFGPeriod])</f>
        <v>5144</v>
      </c>
      <c r="F254" s="159">
        <f>SUBTOTAL(109,getAggRechargeModels619[antalÅret])</f>
        <v>17356</v>
      </c>
      <c r="G254" s="159">
        <f>SUBTOTAL(109,getAggRechargeModels619[antalFGAr])</f>
        <v>22808</v>
      </c>
      <c r="H254" s="154">
        <f>IF(getAggRechargeModels619[[#Totals],[antalFGPeriod]] &gt;0,(getAggRechargeModels619[[#Totals],[antalPerioden]] - getAggRechargeModels619[[#Totals],[antalFGPeriod]] ) / getAggRechargeModels619[[#Totals],[antalFGPeriod]] *100,0)</f>
        <v>-11.566874027993778</v>
      </c>
      <c r="I254" s="154">
        <f>IF(getAggRechargeModels619[[#Totals],[antalFGAr]] &gt; 0,( getAggRechargeModels619[[#Totals],[antalÅret]] - getAggRechargeModels619[[#Totals],[antalFGAr]] ) / getAggRechargeModels619[[#Totals],[antalFGAr]] * 100,0)</f>
        <v>-23.903893370747106</v>
      </c>
      <c r="J254" s="160">
        <f>IF(getAggModelsPB[[#Totals],[antalPerioden]] &gt; 0,getAggRechargeModels619[[#Totals],[antalPerioden]]  / getAggModelsPB[[#Totals],[antalPerioden]] * 100,0)</f>
        <v>22.097542018847761</v>
      </c>
      <c r="K254" s="160">
        <f>IF(getAggModelsPB[[#Totals],[antalÅret]] &gt; 0,getAggRechargeModels619[[#Totals],[antalÅret]]  / getAggModelsPB[[#Totals],[antalÅret]] * 100,0)</f>
        <v>20.688997496721896</v>
      </c>
      <c r="L254" s="160">
        <f>IF(getAggModelsPB[[#Totals],[antalFGPeriod]] &gt; 0,getAggRechargeModels619[[#Totals],[antalFGPeriod]]  / getAggModelsPB[[#Totals],[antalFGPeriod]] * 100,0)</f>
        <v>23.443624099899736</v>
      </c>
      <c r="M254" s="160">
        <f>IF(getAggModelsPB[[#Totals],[antalFGAr]] &gt; 0,getAggRechargeModels619[[#Totals],[antalFGAr]]  / getAggModelsPB[[#Totals],[antalFGAr]] * 100,0)</f>
        <v>24.877564598989977</v>
      </c>
    </row>
    <row r="257" spans="1:1">
      <c r="A257" t="s">
        <v>707</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82</vt:i4>
      </vt:variant>
    </vt:vector>
  </HeadingPairs>
  <TitlesOfParts>
    <vt:vector size="102"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CalcAvgCO2Sum</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Microsoft Office User</cp:lastModifiedBy>
  <cp:lastPrinted>2022-09-06T10:01:43Z</cp:lastPrinted>
  <dcterms:created xsi:type="dcterms:W3CDTF">2020-01-13T13:32:32Z</dcterms:created>
  <dcterms:modified xsi:type="dcterms:W3CDTF">2023-05-02T09:09:40Z</dcterms:modified>
</cp:coreProperties>
</file>